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<sst xmlns="http://schemas.openxmlformats.org/spreadsheetml/2006/main" count="2003" uniqueCount="663">
  <si>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</si>
  <si>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</si>
  <si>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</si>
  <si>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</si>
  <si>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</si>
  <si>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</si>
  <si>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</si>
  <si>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</si>
  <si>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</si>
  <si>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</si>
  <si>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</si>
  <si>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</si>
  <si>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</si>
  <si>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</si>
  <si>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</si>
  <si>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</si>
  <si>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</si>
  <si>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</si>
  <si>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</si>
  <si>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</si>
  <si>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</si>
  <si>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</si>
  <si>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</si>
  <si>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</si>
  <si>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</si>
  <si>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</si>
  <si>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</si>
  <si>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</si>
  <si>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</si>
  <si>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</si>
  <si>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</si>
  <si>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</si>
  <si>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</si>
  <si>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</si>
  <si>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</si>
  <si>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</si>
  <si>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</si>
  <si>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</si>
  <si>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</si>
  <si>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</si>
  <si>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</si>
  <si>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</si>
  <si>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</si>
  <si>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</si>
  <si>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</si>
  <si>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</si>
  <si>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</si>
  <si>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</si>
  <si>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</si>
  <si>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</si>
  <si>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</si>
  <si>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</si>
  <si>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</si>
  <si>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</si>
  <si>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</si>
  <si>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</si>
  <si>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</si>
  <si>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</si>
  <si>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</si>
  <si>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</si>
  <si>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</si>
  <si>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</si>
  <si>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</si>
  <si>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</si>
  <si>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</si>
  <si>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</si>
  <si>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</si>
  <si>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</si>
  <si>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</si>
  <si>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</si>
  <si>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</si>
  <si>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</si>
  <si>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</si>
  <si>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</si>
  <si>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</si>
  <si>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</si>
  <si>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</si>
  <si>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</si>
  <si>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</si>
  <si>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</si>
  <si>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</si>
  <si>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</si>
  <si>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</si>
  <si>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</si>
  <si>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</si>
  <si>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</si>
  <si>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</si>
  <si>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</si>
  <si>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</si>
  <si>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</si>
  <si>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</si>
  <si>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</si>
  <si>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</si>
  <si>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</si>
  <si>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</si>
  <si>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</si>
  <si>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</si>
  <si>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</si>
  <si>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</si>
  <si>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</si>
  <si>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</si>
  <si>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</si>
  <si>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</si>
  <si>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</si>
  <si>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</si>
  <si>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</si>
  <si>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</si>
  <si>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</si>
  <si>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</si>
  <si>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</si>
  <si>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</si>
  <si>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</si>
  <si>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</si>
  <si>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</si>
  <si>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</si>
  <si>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</si>
  <si>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</si>
  <si>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</si>
  <si>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</si>
  <si>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</si>
  <si>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</si>
  <si>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</si>
  <si>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</si>
  <si>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</si>
  <si>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</si>
  <si>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</si>
  <si>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</si>
  <si>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</si>
  <si>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</si>
  <si>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</si>
  <si>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</si>
  <si>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</si>
  <si>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</si>
  <si>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</si>
  <si>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</si>
  <si>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</si>
  <si>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</si>
  <si>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</si>
  <si>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</si>
  <si>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</si>
  <si>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</si>
  <si>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</si>
  <si>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</si>
  <si>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</si>
  <si>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</si>
  <si>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</si>
  <si>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</si>
  <si>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</si>
  <si>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</si>
  <si>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</si>
  <si>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</si>
  <si>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</si>
  <si>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</si>
  <si>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</si>
  <si>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</si>
  <si>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</si>
  <si>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</si>
  <si>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</si>
  <si>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</si>
  <si>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</si>
  <si>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</si>
  <si>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</si>
  <si>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</si>
  <si>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</si>
  <si>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</si>
  <si>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</si>
  <si>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</si>
  <si>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</si>
  <si>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</si>
  <si>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</si>
  <si>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</si>
  <si>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</si>
  <si>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</si>
  <si>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</si>
  <si>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</si>
  <si>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</si>
  <si>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</si>
  <si>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</si>
  <si>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</si>
  <si>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</si>
  <si>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</si>
  <si>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</si>
  <si>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</si>
  <si>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</si>
  <si>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</si>
  <si>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</si>
  <si>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</si>
  <si>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</si>
  <si>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</si>
  <si>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</si>
  <si>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</si>
  <si>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</si>
  <si>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</si>
  <si>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</si>
  <si>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</si>
  <si>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</si>
  <si>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</si>
  <si>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</si>
  <si>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</si>
  <si>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</si>
  <si>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</si>
  <si>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</si>
  <si>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</si>
  <si>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</si>
  <si>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</si>
  <si>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</si>
  <si>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</si>
  <si>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</si>
  <si>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</si>
  <si>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</si>
  <si>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</si>
  <si>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</si>
  <si>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</si>
  <si>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</si>
  <si>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</si>
  <si>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</si>
  <si>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</si>
  <si>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</si>
  <si>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</si>
  <si>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</si>
  <si>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</si>
  <si>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</si>
  <si>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</si>
  <si>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</si>
  <si>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</si>
  <si>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</si>
  <si>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</si>
  <si>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</si>
  <si>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</si>
  <si>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</si>
  <si>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</si>
  <si>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</si>
  <si>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</si>
  <si>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</si>
  <si>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</si>
  <si>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</si>
  <si>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</si>
  <si>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</si>
  <si>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</si>
  <si>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</si>
  <si>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</si>
  <si>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</si>
  <si>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</si>
  <si>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</si>
  <si>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</si>
  <si>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</si>
  <si>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</si>
  <si>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</si>
  <si>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</si>
  <si>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</si>
  <si>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</si>
  <si>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</si>
  <si>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</si>
  <si>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</si>
  <si>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</si>
  <si>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</si>
  <si>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</si>
  <si>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</si>
  <si>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</si>
  <si>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</si>
  <si>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</si>
  <si>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</si>
  <si>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</si>
  <si>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</si>
  <si>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</si>
  <si>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</si>
  <si>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</si>
  <si>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</si>
  <si>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</si>
  <si>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</si>
  <si>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</si>
  <si>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</si>
  <si>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</si>
  <si>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</si>
  <si>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</si>
  <si>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</si>
  <si>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</si>
  <si>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</si>
  <si>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</si>
  <si>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</si>
  <si>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</si>
  <si>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</si>
  <si>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H82002</t>
  </si>
  <si>
    <t>H82003</t>
  </si>
  <si>
    <t>H82004</t>
  </si>
  <si>
    <t>H82005</t>
  </si>
  <si>
    <t>H82006</t>
  </si>
  <si>
    <t>H82007</t>
  </si>
  <si>
    <t>H82008</t>
  </si>
  <si>
    <t>H82009</t>
  </si>
  <si>
    <t>H82010</t>
  </si>
  <si>
    <t>H82011</t>
  </si>
  <si>
    <t>H82012</t>
  </si>
  <si>
    <t>H82013</t>
  </si>
  <si>
    <t>H82014</t>
  </si>
  <si>
    <t>H82015</t>
  </si>
  <si>
    <t>H82016</t>
  </si>
  <si>
    <t>H82017</t>
  </si>
  <si>
    <t>H82020</t>
  </si>
  <si>
    <t>H82021</t>
  </si>
  <si>
    <t>H82022</t>
  </si>
  <si>
    <t>H82023</t>
  </si>
  <si>
    <t>H82024</t>
  </si>
  <si>
    <t>H82025</t>
  </si>
  <si>
    <t>H82026</t>
  </si>
  <si>
    <t>H82027</t>
  </si>
  <si>
    <t>H82028</t>
  </si>
  <si>
    <t>H82029</t>
  </si>
  <si>
    <t>H82030</t>
  </si>
  <si>
    <t>H82031</t>
  </si>
  <si>
    <t>H82032</t>
  </si>
  <si>
    <t>H82033</t>
  </si>
  <si>
    <t>H82034</t>
  </si>
  <si>
    <t>H82035</t>
  </si>
  <si>
    <t>H82036</t>
  </si>
  <si>
    <t>H82037</t>
  </si>
  <si>
    <t>H82038</t>
  </si>
  <si>
    <t>H82039</t>
  </si>
  <si>
    <t>H82040</t>
  </si>
  <si>
    <t>H82041</t>
  </si>
  <si>
    <t>H82042</t>
  </si>
  <si>
    <t>H82043</t>
  </si>
  <si>
    <t>H82044</t>
  </si>
  <si>
    <t>H82045</t>
  </si>
  <si>
    <t>H82046</t>
  </si>
  <si>
    <t>H82047</t>
  </si>
  <si>
    <t>H82048</t>
  </si>
  <si>
    <t>H82049</t>
  </si>
  <si>
    <t>H82050</t>
  </si>
  <si>
    <t>H82051</t>
  </si>
  <si>
    <t>H82052</t>
  </si>
  <si>
    <t>H82053</t>
  </si>
  <si>
    <t>H82055</t>
  </si>
  <si>
    <t>H82056</t>
  </si>
  <si>
    <t>H82057</t>
  </si>
  <si>
    <t>H82058</t>
  </si>
  <si>
    <t>H82059</t>
  </si>
  <si>
    <t>H82060</t>
  </si>
  <si>
    <t>H82061</t>
  </si>
  <si>
    <t>H82063</t>
  </si>
  <si>
    <t>H82064</t>
  </si>
  <si>
    <t>H82065</t>
  </si>
  <si>
    <t>H82066</t>
  </si>
  <si>
    <t>H82067</t>
  </si>
  <si>
    <t>H82068</t>
  </si>
  <si>
    <t>H82069</t>
  </si>
  <si>
    <t>H82070</t>
  </si>
  <si>
    <t>H82072</t>
  </si>
  <si>
    <t>H82076</t>
  </si>
  <si>
    <t>H82077</t>
  </si>
  <si>
    <t>H82078</t>
  </si>
  <si>
    <t>H82079</t>
  </si>
  <si>
    <t>H82083</t>
  </si>
  <si>
    <t>H82084</t>
  </si>
  <si>
    <t>H82086</t>
  </si>
  <si>
    <t>H82087</t>
  </si>
  <si>
    <t>H82088</t>
  </si>
  <si>
    <t>H82089</t>
  </si>
  <si>
    <t>H82091</t>
  </si>
  <si>
    <t>H82092</t>
  </si>
  <si>
    <t>H82094</t>
  </si>
  <si>
    <t>H82095</t>
  </si>
  <si>
    <t>H82096</t>
  </si>
  <si>
    <t>H82098</t>
  </si>
  <si>
    <t>H82099</t>
  </si>
  <si>
    <t>H82100</t>
  </si>
  <si>
    <t>H82101</t>
  </si>
  <si>
    <t>H82615</t>
  </si>
  <si>
    <t>H82621</t>
  </si>
  <si>
    <t>H82625</t>
  </si>
  <si>
    <t>H82640</t>
  </si>
  <si>
    <t>H82641</t>
  </si>
  <si>
    <t>H82643</t>
  </si>
  <si>
    <t>5CC</t>
  </si>
  <si>
    <t>Y00351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</si>
  <si>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</si>
  <si>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</si>
  <si>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</si>
  <si>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</si>
  <si>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</si>
  <si>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</si>
  <si>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</si>
  <si>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</si>
  <si>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</si>
  <si>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</si>
  <si>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</si>
  <si>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</si>
  <si>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</si>
  <si>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</si>
  <si>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</si>
  <si>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</si>
  <si>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</si>
  <si>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</si>
  <si>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</si>
  <si>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</si>
  <si>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</si>
  <si>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</si>
  <si>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</si>
  <si>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</si>
  <si>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</si>
  <si>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</si>
  <si>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</si>
  <si>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</si>
  <si>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</si>
  <si>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</si>
  <si>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</si>
  <si>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</si>
  <si>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</si>
  <si>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</si>
  <si>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</si>
  <si>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</si>
  <si>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</si>
  <si>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</si>
  <si>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</si>
  <si>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</si>
  <si>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</si>
  <si>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</si>
  <si>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</si>
  <si>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</si>
  <si>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</si>
  <si>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</si>
  <si>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</si>
  <si>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</si>
  <si>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</si>
  <si>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</si>
  <si>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</si>
  <si>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</si>
  <si>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</si>
  <si>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</si>
  <si>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</si>
  <si>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</si>
  <si>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</si>
  <si>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</si>
  <si>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</si>
  <si>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</si>
  <si>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</si>
  <si>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</si>
  <si>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</si>
  <si>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</si>
  <si>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</si>
  <si>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</si>
  <si>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</si>
  <si>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</si>
  <si>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</si>
  <si>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</si>
  <si>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</si>
  <si>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</si>
  <si>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</si>
  <si>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</si>
  <si>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</si>
  <si>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</si>
  <si>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</si>
  <si>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</si>
  <si>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</si>
  <si>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</si>
  <si>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</si>
  <si>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</si>
  <si>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</si>
  <si>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</si>
  <si>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</si>
  <si>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</si>
  <si>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</si>
  <si>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</si>
  <si>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</si>
  <si>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</si>
  <si>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</si>
  <si>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</si>
  <si>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</si>
  <si>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</si>
  <si>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</si>
  <si>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</si>
  <si>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</si>
  <si>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</si>
  <si>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</si>
  <si>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</si>
  <si>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</si>
  <si>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</si>
  <si>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</si>
  <si>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</si>
  <si>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</si>
  <si>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</si>
  <si>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</si>
  <si>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</si>
  <si>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</si>
  <si>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</si>
  <si>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</si>
  <si>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</si>
  <si>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</si>
  <si>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</si>
  <si>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</si>
  <si>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</si>
  <si>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</si>
  <si>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</si>
  <si>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</si>
  <si>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</si>
  <si>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</si>
  <si>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</si>
  <si>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</si>
  <si>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</si>
  <si>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</si>
  <si>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</si>
  <si>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</si>
  <si>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</si>
  <si>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</si>
  <si>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</si>
  <si>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</si>
  <si>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</si>
  <si>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</si>
  <si>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</si>
  <si>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</si>
  <si>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</si>
  <si>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</si>
  <si>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</si>
  <si>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</si>
  <si>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</si>
  <si>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</si>
  <si>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</si>
  <si>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</si>
  <si>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</si>
  <si>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</si>
  <si>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</si>
  <si>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</si>
  <si>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</si>
  <si>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</si>
  <si>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</si>
  <si>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</si>
  <si>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</si>
  <si>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</si>
  <si>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</si>
  <si>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</si>
  <si>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</si>
  <si>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</si>
  <si>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</si>
  <si>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</si>
  <si>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</si>
  <si>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</si>
  <si>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</si>
  <si>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</si>
  <si>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</si>
  <si>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</si>
  <si>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</si>
  <si>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</si>
  <si>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</si>
  <si>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</si>
  <si>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</si>
  <si>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</si>
  <si>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</si>
  <si>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</si>
  <si>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</si>
  <si>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</si>
  <si>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</si>
  <si>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</si>
  <si>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</si>
  <si>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</si>
  <si>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</si>
  <si>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</si>
  <si>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</si>
  <si>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</si>
  <si>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</si>
  <si>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(H82002) THE LYONS PRACTICE</t>
  </si>
  <si>
    <t>(H82003) MEADOWS SURGERY</t>
  </si>
  <si>
    <t>(H82004) COWFOLD SURGERY</t>
  </si>
  <si>
    <t>(H82005) CUCKFIELD MEDICAL CENTRE</t>
  </si>
  <si>
    <t>(H82006) THE PETWORTH SURGERY</t>
  </si>
  <si>
    <t>(H82007) WESTCOURT MEDICAL CENTRE</t>
  </si>
  <si>
    <t>(H82008) SHIP STREET SURGERY</t>
  </si>
  <si>
    <t>(H82009) ST. LAWRENCE SURGERY</t>
  </si>
  <si>
    <t>(H82010) JUDGES CLOSE SURGERY</t>
  </si>
  <si>
    <t>(H82011) STRAND MEDICAL GROUP</t>
  </si>
  <si>
    <t>(H82012) LEACROFT MEDICAL PRACTICE</t>
  </si>
  <si>
    <t>(H82013) LANGLEY HOUSE SURGERY</t>
  </si>
  <si>
    <t>(H82014) COPPICE SURGERY</t>
  </si>
  <si>
    <t>(H82015) PHOENIX SURGERY</t>
  </si>
  <si>
    <t>(H82016) BERSTED GREEN SURGERY</t>
  </si>
  <si>
    <t>(H82017) PARK SURGERY</t>
  </si>
  <si>
    <t>(H82020) BOGNOR MEDICAL CENTRE</t>
  </si>
  <si>
    <t>(H82021) ARUNDEL SURGERY</t>
  </si>
  <si>
    <t>(H82022) STEYNING HEALTH CENTRE</t>
  </si>
  <si>
    <t>(H82023) ADUR MEDICAL GROUP</t>
  </si>
  <si>
    <t>(H82024) SEAL MEDICAL GROUP</t>
  </si>
  <si>
    <t>(H82026) SAXONBROOK MEDICAL CENTRE</t>
  </si>
  <si>
    <t>(H82027) RUDGWICK MEDICAL CENTRE</t>
  </si>
  <si>
    <t>(H82028) THE COURTYARD SURGERY</t>
  </si>
  <si>
    <t>(H82029) MANOR PRACTICE</t>
  </si>
  <si>
    <t>(H82030) PULBOROUGH MEDICAL GROUP</t>
  </si>
  <si>
    <t>(H82031) LOXWOOD SURGERY</t>
  </si>
  <si>
    <t>(H82032) RIVERBANK MEDICAL CENTRE</t>
  </si>
  <si>
    <t>(H82033) GOSSOPS GREEN MEDICAL CENTRE</t>
  </si>
  <si>
    <t>(H82034) LIME TREE SURGERY</t>
  </si>
  <si>
    <t>(H82035) LINDFIELD MEDICAL CENTRE</t>
  </si>
  <si>
    <t>(H82036) ORCHARD SURGERY</t>
  </si>
  <si>
    <t>(H82037) SELSEY MEDICAL PRACTICE</t>
  </si>
  <si>
    <t>(H82038) FLANSHAM PARK HEALTH CENTRE</t>
  </si>
  <si>
    <t>(H82039) PARK SURGERY</t>
  </si>
  <si>
    <t>(H82040) CRAWLEY DOWN HEALTH CENTRE</t>
  </si>
  <si>
    <t>(H82041) VICTORIA ROAD SURGERY</t>
  </si>
  <si>
    <t>(H82042) CATHEDRAL MEDICAL GROUP</t>
  </si>
  <si>
    <t>(H82043) GROVE HOUSE SURGERY</t>
  </si>
  <si>
    <t>(H82044) DOLPHINS PRACTICE</t>
  </si>
  <si>
    <t>(H82045) WORTHING MEDICAL GROUP</t>
  </si>
  <si>
    <t>(H82046) BROADWATER MEDICAL CENTRE</t>
  </si>
  <si>
    <t>(H82047) BRIDGE MEDICAL CENTRE</t>
  </si>
  <si>
    <t>(H82048) AVISFORD MEDICAL GROUP</t>
  </si>
  <si>
    <t>(H82049) PARKLANDS SURGERY</t>
  </si>
  <si>
    <t>(H82050) IFIELD MEDICAL PRACTICE</t>
  </si>
  <si>
    <t>(H82051) LAVANT ROAD SURGERY</t>
  </si>
  <si>
    <t>(H82052) POUND HILL MEDICAL GROUP</t>
  </si>
  <si>
    <t>(H82053) FURNACE GREEN SURGERY</t>
  </si>
  <si>
    <t>(H82055) BILLINGSHURST SURGERY</t>
  </si>
  <si>
    <t>(H82056) NEWTONS PRACTICE</t>
  </si>
  <si>
    <t>(H82057) MID SUSSEX HEALTH CARE</t>
  </si>
  <si>
    <t>(H82058) MAYWOOD HEALTH CARE CENTRE</t>
  </si>
  <si>
    <t>(H82059) WILLOW GREEN SURGERY</t>
  </si>
  <si>
    <t>(H82060) HENFIELD MEDICAL CENTRE</t>
  </si>
  <si>
    <t>(H82061) SELDEN MEDICAL CENTRE</t>
  </si>
  <si>
    <t>(H82063) MOATFIELD SURGERY</t>
  </si>
  <si>
    <t>(H82064) SOUTHGATE SURGERY</t>
  </si>
  <si>
    <t>(H82065) BALL TREE SURGERY</t>
  </si>
  <si>
    <t>(H82066) FITZALAN MEDICAL GROUP</t>
  </si>
  <si>
    <t>(H82067) TANGMERE MEDICAL CENTRE</t>
  </si>
  <si>
    <t>(H82068) MILL STREAM MEDICAL CENTRE</t>
  </si>
  <si>
    <t>(H82069) ARUN MEDICAL GROUP</t>
  </si>
  <si>
    <t>(H82070) GLEBE SURGERY</t>
  </si>
  <si>
    <t>(H82072) SILVERDALE PRACTICE</t>
  </si>
  <si>
    <t>(H82076) CORNERWAYS SURGERY</t>
  </si>
  <si>
    <t>(H82077) THE CROFT SURGERY</t>
  </si>
  <si>
    <t>(H82078) SOUTHBOURNE SURGERY</t>
  </si>
  <si>
    <t>(H82079) NORFOLK SQUARE SURGERY</t>
  </si>
  <si>
    <t>(H82083) NORTHBOURNE MEDICAL CENTRE</t>
  </si>
  <si>
    <t>(H82084) BROW MEDICAL CENTRE</t>
  </si>
  <si>
    <t>(H82086) HIGHDOWN SURGERY</t>
  </si>
  <si>
    <t>(H82087) BARN SURGERY</t>
  </si>
  <si>
    <t>(H82088) BEWBUSH MEDICAL CENTRE</t>
  </si>
  <si>
    <t>(H82089) RIVERSIDE SURGERY</t>
  </si>
  <si>
    <t>(H82091) NEW POND ROW SURGERY</t>
  </si>
  <si>
    <t>(H82092) VILLAGE SURGERY</t>
  </si>
  <si>
    <t>(H82094) KINGFISHER FAMILY PRACTICE</t>
  </si>
  <si>
    <t>(H82095) WITTERINGS HC</t>
  </si>
  <si>
    <t>(H82096) ORCHARD SURGERY</t>
  </si>
  <si>
    <t>(H82098) COACHMANS MEDICAL PRACTICE</t>
  </si>
  <si>
    <t>(H82099) WEST MEADS SURGERY</t>
  </si>
  <si>
    <t>(H82100) NORTHLANDS WOOD SURGERY</t>
  </si>
  <si>
    <t>(H82101) HEENE ROAD SURGERY</t>
  </si>
  <si>
    <t>(H82615) OUSE VALLEY PRACTICE</t>
  </si>
  <si>
    <t>(H82621) PARK VIEW HEALTH PARTNERSHIP</t>
  </si>
  <si>
    <t>(H82625) OLD SHOREHAM ROAD SURGERY</t>
  </si>
  <si>
    <t>(H82640) HOLBROOK SURGERY</t>
  </si>
  <si>
    <t>(H82641) THE LAWNS SURGERY</t>
  </si>
  <si>
    <t>(H82643) THE MAYFLOWER SURGERY</t>
  </si>
  <si>
    <t>(Y00351) LANGLEY CORNER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</si>
  <si>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</si>
  <si>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</si>
  <si>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</si>
  <si>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</si>
  <si>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</si>
  <si>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</si>
  <si>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</si>
  <si>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</si>
  <si>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</si>
  <si>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</si>
  <si>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(H82025) WOODLANDS+CLERKLANDS PARTNERSHIP</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</si>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</sst>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0.6525860191879558</c:v>
                </c:pt>
                <c:pt idx="8">
                  <c:v>0.8880354621928889</c:v>
                </c:pt>
                <c:pt idx="9">
                  <c:v>0.6838113098443069</c:v>
                </c:pt>
                <c:pt idx="10">
                  <c:v>0.6749084606569966</c:v>
                </c:pt>
                <c:pt idx="11">
                  <c:v>0.7179636642050043</c:v>
                </c:pt>
                <c:pt idx="12">
                  <c:v>1</c:v>
                </c:pt>
                <c:pt idx="13">
                  <c:v>0</c:v>
                </c:pt>
                <c:pt idx="14">
                  <c:v>1</c:v>
                </c:pt>
                <c:pt idx="15">
                  <c:v>0.9359351335592726</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0.5996040326634886</c:v>
                </c:pt>
                <c:pt idx="3">
                  <c:v>0.6666666252745539</c:v>
                </c:pt>
                <c:pt idx="4">
                  <c:v>0.6242286212729418</c:v>
                </c:pt>
                <c:pt idx="5">
                  <c:v>0.5698407663096079</c:v>
                </c:pt>
                <c:pt idx="6">
                  <c:v>0.5600000044703479</c:v>
                </c:pt>
                <c:pt idx="7">
                  <c:v>0.5474045379204309</c:v>
                </c:pt>
                <c:pt idx="8">
                  <c:v>0.7841400257084131</c:v>
                </c:pt>
                <c:pt idx="9">
                  <c:v>0.5414604654068864</c:v>
                </c:pt>
                <c:pt idx="10">
                  <c:v>0.565383336724639</c:v>
                </c:pt>
                <c:pt idx="11">
                  <c:v>0.5427774263785476</c:v>
                </c:pt>
                <c:pt idx="12">
                  <c:v>0.5320245546628624</c:v>
                </c:pt>
                <c:pt idx="13">
                  <c:v>0</c:v>
                </c:pt>
                <c:pt idx="14">
                  <c:v>0.5842490906076324</c:v>
                </c:pt>
                <c:pt idx="15">
                  <c:v>0.5986245287091466</c:v>
                </c:pt>
                <c:pt idx="16">
                  <c:v>0.6075028362692632</c:v>
                </c:pt>
                <c:pt idx="17">
                  <c:v>0.52703052876505</c:v>
                </c:pt>
                <c:pt idx="18">
                  <c:v>0.5971343730848027</c:v>
                </c:pt>
                <c:pt idx="19">
                  <c:v>0.5440416275218426</c:v>
                </c:pt>
                <c:pt idx="20">
                  <c:v>0.5777553333060821</c:v>
                </c:pt>
                <c:pt idx="21">
                  <c:v>0.5967202312519757</c:v>
                </c:pt>
                <c:pt idx="22">
                  <c:v>0.5983116608184449</c:v>
                </c:pt>
                <c:pt idx="23">
                  <c:v>0.5867280132304901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0.43223500306774637</c:v>
                </c:pt>
                <c:pt idx="3">
                  <c:v>0.388888875091518</c:v>
                </c:pt>
                <c:pt idx="4">
                  <c:v>0.4112458408481529</c:v>
                </c:pt>
                <c:pt idx="5">
                  <c:v>0.4111577350506365</c:v>
                </c:pt>
                <c:pt idx="6">
                  <c:v>0.4400000327825517</c:v>
                </c:pt>
                <c:pt idx="7">
                  <c:v>0.39481474157582974</c:v>
                </c:pt>
                <c:pt idx="8">
                  <c:v>0.2964524523922913</c:v>
                </c:pt>
                <c:pt idx="9">
                  <c:v>0.4279424222989549</c:v>
                </c:pt>
                <c:pt idx="10">
                  <c:v>0.1758624021199518</c:v>
                </c:pt>
                <c:pt idx="11">
                  <c:v>0.43528301615674314</c:v>
                </c:pt>
                <c:pt idx="12">
                  <c:v>0.4463719647677163</c:v>
                </c:pt>
                <c:pt idx="13">
                  <c:v>0</c:v>
                </c:pt>
                <c:pt idx="14">
                  <c:v>0.43535950167263343</c:v>
                </c:pt>
                <c:pt idx="15">
                  <c:v>0.38501020090656035</c:v>
                </c:pt>
                <c:pt idx="16">
                  <c:v>0.42706379276225936</c:v>
                </c:pt>
                <c:pt idx="17">
                  <c:v>0.4768106807463753</c:v>
                </c:pt>
                <c:pt idx="18">
                  <c:v>0.412728998244554</c:v>
                </c:pt>
                <c:pt idx="19">
                  <c:v>0.45797029734414063</c:v>
                </c:pt>
                <c:pt idx="20">
                  <c:v>0.47032989307674916</c:v>
                </c:pt>
                <c:pt idx="21">
                  <c:v>0.4057058265490036</c:v>
                </c:pt>
                <c:pt idx="22">
                  <c:v>0.40400679729666733</c:v>
                </c:pt>
                <c:pt idx="23">
                  <c:v>0.4603887329573442</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0.16821586392399376</c:v>
                </c:pt>
                <c:pt idx="3">
                  <c:v>0.2222222084248513</c:v>
                </c:pt>
                <c:pt idx="4">
                  <c:v>0.15818504225293137</c:v>
                </c:pt>
                <c:pt idx="5">
                  <c:v>0.2203085352625119</c:v>
                </c:pt>
                <c:pt idx="6">
                  <c:v>0.22000003501772566</c:v>
                </c:pt>
                <c:pt idx="7">
                  <c:v>0</c:v>
                </c:pt>
                <c:pt idx="8">
                  <c:v>0</c:v>
                </c:pt>
                <c:pt idx="9">
                  <c:v>0</c:v>
                </c:pt>
                <c:pt idx="10">
                  <c:v>0</c:v>
                </c:pt>
                <c:pt idx="11">
                  <c:v>0</c:v>
                </c:pt>
                <c:pt idx="12">
                  <c:v>0.35700631699075674</c:v>
                </c:pt>
                <c:pt idx="13">
                  <c:v>0</c:v>
                </c:pt>
                <c:pt idx="14">
                  <c:v>0.30519301054368986</c:v>
                </c:pt>
                <c:pt idx="15">
                  <c:v>0</c:v>
                </c:pt>
                <c:pt idx="16">
                  <c:v>0.14670474949929443</c:v>
                </c:pt>
                <c:pt idx="17">
                  <c:v>0.431875884601525</c:v>
                </c:pt>
                <c:pt idx="18">
                  <c:v>0.217996557461477</c:v>
                </c:pt>
                <c:pt idx="19">
                  <c:v>0.34560130136053285</c:v>
                </c:pt>
                <c:pt idx="20">
                  <c:v>0.4007357465822697</c:v>
                </c:pt>
                <c:pt idx="21">
                  <c:v>0.17765981295528666</c:v>
                </c:pt>
                <c:pt idx="22">
                  <c:v>0.24712866140083176</c:v>
                </c:pt>
                <c:pt idx="23">
                  <c:v>0.30172044695312916</c:v>
                </c:pt>
                <c:pt idx="24">
                  <c:v>0</c:v>
                </c:pt>
                <c:pt idx="25">
                  <c:v>0</c:v>
                </c:pt>
                <c:pt idx="26">
                  <c:v>0</c:v>
                </c:pt>
              </c:numCache>
            </c:numRef>
          </c:val>
        </c:ser>
        <c:overlap val="100"/>
        <c:gapWidth val="100"/>
        <c:axId val="41688293"/>
        <c:axId val="3965031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0.41458360018688056</c:v>
                </c:pt>
                <c:pt idx="3">
                  <c:v>0.8339405386707555</c:v>
                </c:pt>
                <c:pt idx="4">
                  <c:v>0.47271464408669917</c:v>
                </c:pt>
                <c:pt idx="5">
                  <c:v>0.44910213152184947</c:v>
                </c:pt>
                <c:pt idx="6">
                  <c:v>0.4188145430497908</c:v>
                </c:pt>
                <c:pt idx="7">
                  <c:v>0.4592196398771806</c:v>
                </c:pt>
                <c:pt idx="8">
                  <c:v>0.7470002088259265</c:v>
                </c:pt>
                <c:pt idx="9">
                  <c:v>0.43037659768678366</c:v>
                </c:pt>
                <c:pt idx="10">
                  <c:v>0.3968805844187833</c:v>
                </c:pt>
                <c:pt idx="11">
                  <c:v>0.40185075295392475</c:v>
                </c:pt>
                <c:pt idx="12">
                  <c:v>0.47828784421757836</c:v>
                </c:pt>
                <c:pt idx="13">
                  <c:v>0.5</c:v>
                </c:pt>
                <c:pt idx="14">
                  <c:v>0.5053554076824789</c:v>
                </c:pt>
                <c:pt idx="15">
                  <c:v>0.543394282972519</c:v>
                </c:pt>
                <c:pt idx="16">
                  <c:v>0.49992689611792274</c:v>
                </c:pt>
                <c:pt idx="17">
                  <c:v>0.4989800762019995</c:v>
                </c:pt>
                <c:pt idx="18">
                  <c:v>0.5701733014568108</c:v>
                </c:pt>
                <c:pt idx="19">
                  <c:v>0.4830803026756476</c:v>
                </c:pt>
                <c:pt idx="20">
                  <c:v>0.49176392893926246</c:v>
                </c:pt>
                <c:pt idx="21">
                  <c:v>0.5678813349071087</c:v>
                </c:pt>
                <c:pt idx="22">
                  <c:v>0.4456619515856476</c:v>
                </c:pt>
                <c:pt idx="23">
                  <c:v>0.5300055366523186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0.5666833790932815</c:v>
                </c:pt>
                <c:pt idx="6">
                  <c:v>0.500000008940696</c:v>
                </c:pt>
                <c:pt idx="7">
                  <c:v>-999</c:v>
                </c:pt>
                <c:pt idx="8">
                  <c:v>-999</c:v>
                </c:pt>
                <c:pt idx="9">
                  <c:v>0.4609475668821021</c:v>
                </c:pt>
                <c:pt idx="10">
                  <c:v>-999</c:v>
                </c:pt>
                <c:pt idx="11">
                  <c:v>0.5260100845319241</c:v>
                </c:pt>
                <c:pt idx="12">
                  <c:v>-999</c:v>
                </c:pt>
                <c:pt idx="13">
                  <c:v>-999</c:v>
                </c:pt>
                <c:pt idx="14">
                  <c:v>-999</c:v>
                </c:pt>
                <c:pt idx="15">
                  <c:v>0.5891688286251496</c:v>
                </c:pt>
                <c:pt idx="16">
                  <c:v>-999</c:v>
                </c:pt>
                <c:pt idx="17">
                  <c:v>-999</c:v>
                </c:pt>
                <c:pt idx="18">
                  <c:v>0.6876425698874149</c:v>
                </c:pt>
                <c:pt idx="19">
                  <c:v>0.5733408943870588</c:v>
                </c:pt>
                <c:pt idx="20">
                  <c:v>-999</c:v>
                </c:pt>
                <c:pt idx="21">
                  <c:v>0.5402807770964088</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0.560695508635258</c:v>
                </c:pt>
                <c:pt idx="3">
                  <c:v>0.6111110868277383</c:v>
                </c:pt>
                <c:pt idx="4">
                  <c:v>0.3594273643521408</c:v>
                </c:pt>
                <c:pt idx="5">
                  <c:v>-999</c:v>
                </c:pt>
                <c:pt idx="6">
                  <c:v>-999</c:v>
                </c:pt>
                <c:pt idx="7">
                  <c:v>0.5423666446388816</c:v>
                </c:pt>
                <c:pt idx="8">
                  <c:v>0.5335073693505167</c:v>
                </c:pt>
                <c:pt idx="9">
                  <c:v>-999</c:v>
                </c:pt>
                <c:pt idx="10">
                  <c:v>0.5672452816546716</c:v>
                </c:pt>
                <c:pt idx="11">
                  <c:v>-999</c:v>
                </c:pt>
                <c:pt idx="12">
                  <c:v>0.628946750223701</c:v>
                </c:pt>
                <c:pt idx="13">
                  <c:v>0.7218134005217706</c:v>
                </c:pt>
                <c:pt idx="14">
                  <c:v>0.39684952821829456</c:v>
                </c:pt>
                <c:pt idx="15">
                  <c:v>-999</c:v>
                </c:pt>
                <c:pt idx="16">
                  <c:v>0.8783513249591921</c:v>
                </c:pt>
                <c:pt idx="17">
                  <c:v>0.6125311225825728</c:v>
                </c:pt>
                <c:pt idx="18">
                  <c:v>-999</c:v>
                </c:pt>
                <c:pt idx="19">
                  <c:v>-999</c:v>
                </c:pt>
                <c:pt idx="20">
                  <c:v>0.617589912756693</c:v>
                </c:pt>
                <c:pt idx="21">
                  <c:v>-999</c:v>
                </c:pt>
                <c:pt idx="22">
                  <c:v>0.5977267482496968</c:v>
                </c:pt>
                <c:pt idx="23">
                  <c:v>0.6467660096494107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1308543"/>
        <c:axId val="57559160"/>
      </c:scatterChart>
      <c:catAx>
        <c:axId val="41688293"/>
        <c:scaling>
          <c:orientation val="maxMin"/>
        </c:scaling>
        <c:axPos val="l"/>
        <c:delete val="0"/>
        <c:numFmt formatCode="General" sourceLinked="1"/>
        <c:majorTickMark val="out"/>
        <c:minorTickMark val="none"/>
        <c:tickLblPos val="none"/>
        <c:spPr>
          <a:ln w="3175">
            <a:noFill/>
          </a:ln>
        </c:spPr>
        <c:crossAx val="39650318"/>
        <c:crosses val="autoZero"/>
        <c:auto val="1"/>
        <c:lblOffset val="100"/>
        <c:tickLblSkip val="1"/>
        <c:noMultiLvlLbl val="0"/>
      </c:catAx>
      <c:valAx>
        <c:axId val="39650318"/>
        <c:scaling>
          <c:orientation val="minMax"/>
          <c:max val="1"/>
          <c:min val="0"/>
        </c:scaling>
        <c:axPos val="t"/>
        <c:delete val="0"/>
        <c:numFmt formatCode="General" sourceLinked="1"/>
        <c:majorTickMark val="none"/>
        <c:minorTickMark val="none"/>
        <c:tickLblPos val="none"/>
        <c:spPr>
          <a:ln w="3175">
            <a:noFill/>
          </a:ln>
        </c:spPr>
        <c:crossAx val="41688293"/>
        <c:crossesAt val="1"/>
        <c:crossBetween val="between"/>
        <c:dispUnits/>
        <c:majorUnit val="1"/>
      </c:valAx>
      <c:valAx>
        <c:axId val="21308543"/>
        <c:scaling>
          <c:orientation val="minMax"/>
          <c:max val="1"/>
          <c:min val="0"/>
        </c:scaling>
        <c:axPos val="t"/>
        <c:delete val="0"/>
        <c:numFmt formatCode="General" sourceLinked="1"/>
        <c:majorTickMark val="none"/>
        <c:minorTickMark val="none"/>
        <c:tickLblPos val="none"/>
        <c:spPr>
          <a:ln w="3175">
            <a:noFill/>
          </a:ln>
        </c:spPr>
        <c:crossAx val="57559160"/>
        <c:crosses val="max"/>
        <c:crossBetween val="midCat"/>
        <c:dispUnits/>
        <c:majorUnit val="0.1"/>
        <c:minorUnit val="0.020000000000000004"/>
      </c:valAx>
      <c:valAx>
        <c:axId val="57559160"/>
        <c:scaling>
          <c:orientation val="maxMin"/>
          <c:max val="29"/>
          <c:min val="0"/>
        </c:scaling>
        <c:axPos val="l"/>
        <c:delete val="0"/>
        <c:numFmt formatCode="General" sourceLinked="1"/>
        <c:majorTickMark val="none"/>
        <c:minorTickMark val="none"/>
        <c:tickLblPos val="none"/>
        <c:spPr>
          <a:ln w="3175">
            <a:noFill/>
          </a:ln>
        </c:spPr>
        <c:crossAx val="2130854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(H82023) ADUR MEDICAL GROUP, WEST SUSSEX PCT (5P6)</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528</v>
      </c>
      <c r="Q3" s="65"/>
      <c r="R3" s="66"/>
      <c r="S3" s="66"/>
      <c r="T3" s="66"/>
      <c r="U3" s="66"/>
      <c r="V3" s="66"/>
      <c r="W3" s="66"/>
      <c r="X3" s="66"/>
      <c r="Y3" s="66"/>
      <c r="Z3" s="66"/>
      <c r="AA3" s="66"/>
      <c r="AB3" s="66"/>
      <c r="AC3" s="66"/>
    </row>
    <row r="4" spans="2:29" ht="18" customHeight="1">
      <c r="B4" s="319" t="s">
        <v>653</v>
      </c>
      <c r="C4" s="320"/>
      <c r="D4" s="320"/>
      <c r="E4" s="320"/>
      <c r="F4" s="320"/>
      <c r="G4" s="321"/>
      <c r="H4" s="112"/>
      <c r="I4" s="112"/>
      <c r="J4" s="112"/>
      <c r="K4" s="112"/>
      <c r="L4" s="113"/>
      <c r="M4" s="65"/>
      <c r="N4" s="65"/>
      <c r="O4" s="65"/>
      <c r="P4" s="134" t="s">
        <v>529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530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425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652</v>
      </c>
      <c r="C8" s="115"/>
      <c r="D8" s="115"/>
      <c r="E8" s="128">
        <f>VLOOKUP('Hide - Control'!A$3,'All practice data'!A:CA,4,FALSE)</f>
        <v>7536</v>
      </c>
      <c r="F8" s="310" t="str">
        <f>VLOOKUP('Hide - Control'!B4,'Hide - Calculation'!AY:BA,3,FALSE)</f>
        <v>Please note: Bowel screening indicators are based on less than 30 but over 12 months of data.</v>
      </c>
      <c r="G8" s="310"/>
      <c r="H8" s="310"/>
      <c r="I8" s="115"/>
      <c r="J8" s="115"/>
      <c r="K8" s="115"/>
      <c r="L8" s="115"/>
      <c r="M8" s="109"/>
      <c r="N8" s="314" t="s">
        <v>538</v>
      </c>
      <c r="O8" s="314"/>
      <c r="P8" s="314"/>
      <c r="Q8" s="314" t="s">
        <v>32</v>
      </c>
      <c r="R8" s="314"/>
      <c r="S8" s="314"/>
      <c r="T8" s="314" t="s">
        <v>656</v>
      </c>
      <c r="U8" s="314"/>
      <c r="V8" s="314" t="s">
        <v>33</v>
      </c>
      <c r="W8" s="314"/>
      <c r="X8" s="314"/>
      <c r="Y8" s="135"/>
      <c r="Z8" s="314" t="s">
        <v>531</v>
      </c>
      <c r="AA8" s="314"/>
      <c r="AB8" s="161"/>
      <c r="AC8" s="109"/>
    </row>
    <row r="9" spans="2:29" s="61" customFormat="1" ht="19.5" customHeight="1" thickBot="1">
      <c r="B9" s="114" t="s">
        <v>523</v>
      </c>
      <c r="C9" s="114"/>
      <c r="D9" s="114"/>
      <c r="E9" s="129">
        <f>VLOOKUP('Hide - Control'!B4,'Hide - Calculation'!AY:BB,4,FALSE)</f>
        <v>825533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520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501</v>
      </c>
      <c r="E11" s="317"/>
      <c r="F11" s="318"/>
      <c r="G11" s="263" t="s">
        <v>499</v>
      </c>
      <c r="H11" s="255" t="s">
        <v>500</v>
      </c>
      <c r="I11" s="255" t="s">
        <v>511</v>
      </c>
      <c r="J11" s="255" t="s">
        <v>512</v>
      </c>
      <c r="K11" s="255" t="s">
        <v>384</v>
      </c>
      <c r="L11" s="256" t="s">
        <v>425</v>
      </c>
      <c r="M11" s="257" t="s">
        <v>521</v>
      </c>
      <c r="N11" s="334" t="s">
        <v>519</v>
      </c>
      <c r="O11" s="334"/>
      <c r="P11" s="334"/>
      <c r="Q11" s="334"/>
      <c r="R11" s="334"/>
      <c r="S11" s="334"/>
      <c r="T11" s="334"/>
      <c r="U11" s="334"/>
      <c r="V11" s="334"/>
      <c r="W11" s="334"/>
      <c r="X11" s="334"/>
      <c r="Y11" s="334"/>
      <c r="Z11" s="334"/>
      <c r="AA11" s="258" t="s">
        <v>522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382</v>
      </c>
      <c r="C13" s="163">
        <v>1</v>
      </c>
      <c r="D13" s="312" t="s">
        <v>378</v>
      </c>
      <c r="E13" s="313"/>
      <c r="F13" s="313"/>
      <c r="G13" s="166">
        <f>IF(VLOOKUP('Hide - Control'!A$3,'All practice data'!A:CA,C13+4,FALSE)=" "," ",VLOOKUP('Hide - Control'!A$3,'All practice data'!A:CA,C13+4,FALSE))</f>
        <v>1728</v>
      </c>
      <c r="H13" s="190">
        <f>IF(VLOOKUP('Hide - Control'!A$3,'All practice data'!A:CA,C13+30,FALSE)=" "," ",VLOOKUP('Hide - Control'!A$3,'All practice data'!A:CA,C13+30,FALSE))</f>
        <v>0.22929936305732485</v>
      </c>
      <c r="I13" s="191">
        <f>IF(LEFT(G13,1)=" "," n/a",+((2*G13+1.96^2-1.96*SQRT(1.96^2+4*G13*(1-G13/E$8)))/(2*(E$8+1.96^2))))</f>
        <v>0.21994731082193716</v>
      </c>
      <c r="J13" s="191">
        <f>IF(LEFT(G13,1)=" "," n/a",+((2*G13+1.96^2+1.96*SQRT(1.96^2+4*G13*(1-G13/E$8)))/(2*(E$8+1.96^2))))</f>
        <v>0.23892726288263513</v>
      </c>
      <c r="K13" s="190">
        <f>IF('Hide - Calculation'!N7="","",'Hide - Calculation'!N7)</f>
        <v>0.20329169154958068</v>
      </c>
      <c r="L13" s="192">
        <f>'Hide - Calculation'!O7</f>
        <v>0.1599882305185145</v>
      </c>
      <c r="M13" s="208">
        <f>IF(ISBLANK('Hide - Calculation'!K7),"",'Hide - Calculation'!U7)</f>
        <v>0.04311872273683548</v>
      </c>
      <c r="N13" s="173"/>
      <c r="O13" s="173"/>
      <c r="P13" s="173"/>
      <c r="Q13" s="173"/>
      <c r="R13" s="173"/>
      <c r="S13" s="173"/>
      <c r="T13" s="173"/>
      <c r="U13" s="173"/>
      <c r="V13" s="173"/>
      <c r="W13" s="173"/>
      <c r="X13" s="173"/>
      <c r="Y13" s="173"/>
      <c r="Z13" s="173"/>
      <c r="AA13" s="226">
        <f>IF(ISBLANK('Hide - Calculation'!K7),"",'Hide - Calculation'!T7)</f>
        <v>0.4376923143863678</v>
      </c>
      <c r="AB13" s="233" t="s">
        <v>650</v>
      </c>
      <c r="AC13" s="209" t="s">
        <v>651</v>
      </c>
    </row>
    <row r="14" spans="2:29" ht="33.75" customHeight="1">
      <c r="B14" s="306"/>
      <c r="C14" s="137">
        <v>2</v>
      </c>
      <c r="D14" s="132" t="s">
        <v>532</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0.11</v>
      </c>
      <c r="I14" s="120">
        <f>IF(LEFT(G14,1)=" "," n/a",+((2*H14*E8+1.96^2-1.96*SQRT(1.96^2+4*H14*E8*(1-H14*E8/E$8)))/(2*(E$8+1.96^2))))</f>
        <v>0.10313328526530754</v>
      </c>
      <c r="J14" s="120">
        <f>IF(LEFT(G14,1)=" "," n/a",+((2*H14*E8+1.96^2+1.96*SQRT(1.96^2+4*H14*E8*(1-H14*E8/E$8)))/(2*(E$8+1.96^2))))</f>
        <v>0.11726412998012681</v>
      </c>
      <c r="K14" s="119">
        <f>IF('Hide - Calculation'!N8="","",'Hide - Calculation'!N8)</f>
        <v>0.09510837240909807</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0.18000000715255737</v>
      </c>
      <c r="AB14" s="234" t="s">
        <v>39</v>
      </c>
      <c r="AC14" s="130" t="s">
        <v>651</v>
      </c>
    </row>
    <row r="15" spans="2:39" s="63" customFormat="1" ht="33.75" customHeight="1">
      <c r="B15" s="306"/>
      <c r="C15" s="137">
        <v>3</v>
      </c>
      <c r="D15" s="132" t="s">
        <v>387</v>
      </c>
      <c r="E15" s="85"/>
      <c r="F15" s="85"/>
      <c r="G15" s="121">
        <f>IF(VLOOKUP('Hide - Control'!A$3,'All practice data'!A:CA,C15+4,FALSE)=" "," ",VLOOKUP('Hide - Control'!A$3,'All practice data'!A:CA,C15+4,FALSE))</f>
        <v>24</v>
      </c>
      <c r="H15" s="122">
        <f>IF(VLOOKUP('Hide - Control'!A$3,'All practice data'!A:CA,C15+30,FALSE)=" "," ",VLOOKUP('Hide - Control'!A$3,'All practice data'!A:CA,C15+30,FALSE))</f>
        <v>318.47133757961785</v>
      </c>
      <c r="I15" s="123">
        <f>IF(LEFT(G15,1)=" "," n/a",IF(G15&lt;5,100000*VLOOKUP(G15,'Hide - Calculation'!AQ:AR,2,FALSE)/$E$8,100000*(G15*(1-1/(9*G15)-1.96/(3*SQRT(G15)))^3)/$E$8))</f>
        <v>203.9887180833279</v>
      </c>
      <c r="J15" s="123">
        <f>IF(LEFT(G15,1)=" "," n/a",IF(G15&lt;5,100000*VLOOKUP(G15,'Hide - Calculation'!AQ:AS,3,FALSE)/$E$8,100000*((G15+1)*(1-1/(9*(G15+1))+1.96/(3*SQRT(G15+1)))^3)/$E$8))</f>
        <v>473.8832913655969</v>
      </c>
      <c r="K15" s="122">
        <f>IF('Hide - Calculation'!N9="","",'Hide - Calculation'!N9)</f>
        <v>480.7802958815698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1037.4212646484375</v>
      </c>
      <c r="AB15" s="234" t="s">
        <v>502</v>
      </c>
      <c r="AC15" s="131">
        <v>2009</v>
      </c>
      <c r="AD15" s="64"/>
      <c r="AE15" s="64"/>
      <c r="AF15" s="64"/>
      <c r="AG15" s="64"/>
      <c r="AH15" s="64"/>
      <c r="AI15" s="64"/>
      <c r="AJ15" s="64"/>
      <c r="AK15" s="64"/>
      <c r="AL15" s="64"/>
      <c r="AM15" s="64"/>
    </row>
    <row r="16" spans="2:29" s="63" customFormat="1" ht="33.75" customHeight="1">
      <c r="B16" s="306"/>
      <c r="C16" s="137">
        <v>4</v>
      </c>
      <c r="D16" s="132" t="s">
        <v>524</v>
      </c>
      <c r="E16" s="85"/>
      <c r="F16" s="85"/>
      <c r="G16" s="121">
        <f>IF(VLOOKUP('Hide - Control'!A$3,'All practice data'!A:CA,C16+4,FALSE)=" "," ",VLOOKUP('Hide - Control'!A$3,'All practice data'!A:CA,C16+4,FALSE))</f>
        <v>25</v>
      </c>
      <c r="H16" s="122">
        <f>IF(VLOOKUP('Hide - Control'!A$3,'All practice data'!A:CA,C16+30,FALSE)=" "," ",VLOOKUP('Hide - Control'!A$3,'All practice data'!A:CA,C16+30,FALSE))</f>
        <v>331.74097664543524</v>
      </c>
      <c r="I16" s="123">
        <f>IF(LEFT(G16,1)=" "," n/a",IF(G16&lt;5,100000*VLOOKUP(G16,'Hide - Calculation'!AQ:AR,2,FALSE)/$E$8,100000*(G16*(1-1/(9*G16)-1.96/(3*SQRT(G16)))^3)/$E$8))</f>
        <v>214.6248834601685</v>
      </c>
      <c r="J16" s="123">
        <f>IF(LEFT(G16,1)=" "," n/a",IF(G16&lt;5,100000*VLOOKUP(G16,'Hide - Calculation'!AQ:AS,3,FALSE)/$E$8,100000*((G16+1)*(1-1/(9*(G16+1))+1.96/(3*SQRT(G16+1)))^3)/$E$8))</f>
        <v>489.7383577888226</v>
      </c>
      <c r="K16" s="122">
        <f>IF('Hide - Calculation'!N10="","",'Hide - Calculation'!N10)</f>
        <v>275.2161330921962</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691.4893798828125</v>
      </c>
      <c r="AB16" s="234" t="s">
        <v>381</v>
      </c>
      <c r="AC16" s="131" t="s">
        <v>556</v>
      </c>
    </row>
    <row r="17" spans="2:29" s="63" customFormat="1" ht="33.75" customHeight="1" thickBot="1">
      <c r="B17" s="309"/>
      <c r="C17" s="180">
        <v>5</v>
      </c>
      <c r="D17" s="195" t="s">
        <v>386</v>
      </c>
      <c r="E17" s="182"/>
      <c r="F17" s="182"/>
      <c r="G17" s="140">
        <f>IF(VLOOKUP('Hide - Control'!A$3,'All practice data'!A:CA,C17+4,FALSE)=" "," ",VLOOKUP('Hide - Control'!A$3,'All practice data'!A:CA,C17+4,FALSE))</f>
        <v>154</v>
      </c>
      <c r="H17" s="141">
        <f>IF(VLOOKUP('Hide - Control'!A$3,'All practice data'!A:CA,C17+30,FALSE)=" "," ",VLOOKUP('Hide - Control'!A$3,'All practice data'!A:CA,C17+30,FALSE))</f>
        <v>0.02</v>
      </c>
      <c r="I17" s="142">
        <f>IF(LEFT(G17,1)=" "," n/a",+((2*G17+1.96^2-1.96*SQRT(1.96^2+4*G17*(1-G17/E$8)))/(2*(E$8+1.96^2))))</f>
        <v>0.017476645187360886</v>
      </c>
      <c r="J17" s="142">
        <f>IF(LEFT(G17,1)=" "," n/a",+((2*G17+1.96^2+1.96*SQRT(1.96^2+4*G17*(1-G17/E$8)))/(2*(E$8+1.96^2))))</f>
        <v>0.02388252607162153</v>
      </c>
      <c r="K17" s="141">
        <f>IF('Hide - Calculation'!N11="","",'Hide - Calculation'!N11)</f>
        <v>0.019886546025416306</v>
      </c>
      <c r="L17" s="157">
        <f>'Hide - Calculation'!O11</f>
        <v>0.015940726342527432</v>
      </c>
      <c r="M17" s="210">
        <f>IF(ISBLANK('Hide - Calculation'!K11),"",'Hide - Calculation'!U11)</f>
        <v>0.006000000052154064</v>
      </c>
      <c r="N17" s="91"/>
      <c r="O17" s="91"/>
      <c r="P17" s="91"/>
      <c r="Q17" s="91"/>
      <c r="R17" s="91"/>
      <c r="S17" s="91"/>
      <c r="T17" s="91"/>
      <c r="U17" s="91"/>
      <c r="V17" s="91"/>
      <c r="W17" s="91"/>
      <c r="X17" s="91"/>
      <c r="Y17" s="91"/>
      <c r="Z17" s="91"/>
      <c r="AA17" s="229">
        <f>IF(ISBLANK('Hide - Calculation'!K11),"",'Hide - Calculation'!T11)</f>
        <v>0.04500000178813934</v>
      </c>
      <c r="AB17" s="235" t="s">
        <v>525</v>
      </c>
      <c r="AC17" s="189" t="s">
        <v>556</v>
      </c>
    </row>
    <row r="18" spans="2:29" s="63" customFormat="1" ht="33.75" customHeight="1">
      <c r="B18" s="308" t="s">
        <v>13</v>
      </c>
      <c r="C18" s="163">
        <v>6</v>
      </c>
      <c r="D18" s="164" t="s">
        <v>533</v>
      </c>
      <c r="E18" s="165"/>
      <c r="F18" s="165"/>
      <c r="G18" s="219">
        <f>IF(OR(VLOOKUP('Hide - Control'!A$3,'All practice data'!A:CA,C18+4,FALSE)=" ",VLOOKUP('Hide - Control'!A$3,'All practice data'!A:CA,C18+52,FALSE)=0)," n/a",VLOOKUP('Hide - Control'!A$3,'All practice data'!A:CA,C18+4,FALSE))</f>
        <v>731</v>
      </c>
      <c r="H18" s="220">
        <f>IF(OR(VLOOKUP('Hide - Control'!A$3,'All practice data'!A:CA,C18+30,FALSE)=" ",VLOOKUP('Hide - Control'!A$3,'All practice data'!A:CA,C18+52,FALSE)=0)," n/a",VLOOKUP('Hide - Control'!A$3,'All practice data'!A:CA,C18+30,FALSE))</f>
        <v>0.769474</v>
      </c>
      <c r="I18" s="191">
        <f>IF(OR(LEFT(H18,1)=" ",VLOOKUP('Hide - Control'!A$3,'All practice data'!A:CA,C18+52,FALSE)=0)," n/a",+((2*G18+1.96^2-1.96*SQRT(1.96^2+4*G18*(1-G18/(VLOOKUP('Hide - Control'!A$3,'All practice data'!A:CA,C18+52,FALSE)))))/(2*(((VLOOKUP('Hide - Control'!A$3,'All practice data'!A:CA,C18+52,FALSE)))+1.96^2))))</f>
        <v>0.7416378223929476</v>
      </c>
      <c r="J18" s="191">
        <f>IF(OR(LEFT(H18,1)=" ",VLOOKUP('Hide - Control'!A$3,'All practice data'!A:CA,C18+52,FALSE)=0)," n/a",+((2*G18+1.96^2+1.96*SQRT(1.96^2+4*G18*(1-G18/(VLOOKUP('Hide - Control'!A$3,'All practice data'!A:CA,C18+52,FALSE)))))/(2*((VLOOKUP('Hide - Control'!A$3,'All practice data'!A:CA,C18+52,FALSE))+1.96^2))))</f>
        <v>0.795138933831566</v>
      </c>
      <c r="K18" s="220">
        <f>IF('Hide - Calculation'!N12="","",'Hide - Calculation'!N12)</f>
        <v>0.7307685203996823</v>
      </c>
      <c r="L18" s="192">
        <f>'Hide - Calculation'!O12</f>
        <v>0.7248631360507991</v>
      </c>
      <c r="M18" s="193">
        <f>IF(ISBLANK('Hide - Calculation'!K12),"",'Hide - Calculation'!U12)</f>
        <v>0.47847801446914673</v>
      </c>
      <c r="N18" s="194"/>
      <c r="O18" s="173"/>
      <c r="P18" s="173"/>
      <c r="Q18" s="173"/>
      <c r="R18" s="173"/>
      <c r="S18" s="173"/>
      <c r="T18" s="173"/>
      <c r="U18" s="173"/>
      <c r="V18" s="173"/>
      <c r="W18" s="173"/>
      <c r="X18" s="173"/>
      <c r="Y18" s="173"/>
      <c r="Z18" s="174"/>
      <c r="AA18" s="193">
        <f>IF(ISBLANK('Hide - Calculation'!K12),"",'Hide - Calculation'!T12)</f>
        <v>0.8286100029945374</v>
      </c>
      <c r="AB18" s="233" t="s">
        <v>48</v>
      </c>
      <c r="AC18" s="175" t="s">
        <v>557</v>
      </c>
    </row>
    <row r="19" spans="2:29" s="63" customFormat="1" ht="33.75" customHeight="1">
      <c r="B19" s="306"/>
      <c r="C19" s="137">
        <v>7</v>
      </c>
      <c r="D19" s="132" t="s">
        <v>534</v>
      </c>
      <c r="E19" s="85"/>
      <c r="F19" s="85"/>
      <c r="G19" s="221">
        <f>IF(OR(VLOOKUP('Hide - Control'!A$3,'All practice data'!A:CA,C19+4,FALSE)=" ",VLOOKUP('Hide - Control'!A$3,'All practice data'!A:CA,C19+52,FALSE)=0)," n/a",VLOOKUP('Hide - Control'!A$3,'All practice data'!A:CA,C19+4,FALSE))</f>
        <v>12</v>
      </c>
      <c r="H19" s="218">
        <f>IF(OR(VLOOKUP('Hide - Control'!A$3,'All practice data'!A:CA,C19+30,FALSE)=" ",VLOOKUP('Hide - Control'!A$3,'All practice data'!A:CA,C19+52,FALSE)=0)," n/a",VLOOKUP('Hide - Control'!A$3,'All practice data'!A:CA,C19+30,FALSE))</f>
        <v>0.571429</v>
      </c>
      <c r="I19" s="120">
        <f>IF(OR(LEFT(H19,1)=" ",VLOOKUP('Hide - Control'!A$3,'All practice data'!A:CA,C19+52,FALSE)=0)," n/a",+((2*G19+1.96^2-1.96*SQRT(1.96^2+4*G19*(1-G19/(VLOOKUP('Hide - Control'!A$3,'All practice data'!A:CA,C19+52,FALSE)))))/(2*(((VLOOKUP('Hide - Control'!A$3,'All practice data'!A:CA,C19+52,FALSE)))+1.96^2))))</f>
        <v>0.3654621629703245</v>
      </c>
      <c r="J19" s="120">
        <f>IF(OR(LEFT(H19,1)=" ",VLOOKUP('Hide - Control'!A$3,'All practice data'!A:CA,C19+52,FALSE)=0)," n/a",+((2*G19+1.96^2+1.96*SQRT(1.96^2+4*G19*(1-G19/(VLOOKUP('Hide - Control'!A$3,'All practice data'!A:CA,C19+52,FALSE)))))/(2*((VLOOKUP('Hide - Control'!A$3,'All practice data'!A:CA,C19+52,FALSE))+1.96^2))))</f>
        <v>0.7553030051347894</v>
      </c>
      <c r="K19" s="218">
        <f>IF('Hide - Calculation'!N13="","",'Hide - Calculation'!N13)</f>
        <v>0.7810960090973087</v>
      </c>
      <c r="L19" s="155">
        <f>'Hide - Calculation'!O13</f>
        <v>0.7467412166569077</v>
      </c>
      <c r="M19" s="152">
        <f>IF(ISBLANK('Hide - Calculation'!K13),"",'Hide - Calculation'!U13)</f>
        <v>0.1333329975605011</v>
      </c>
      <c r="N19" s="160"/>
      <c r="O19" s="84"/>
      <c r="P19" s="84"/>
      <c r="Q19" s="84"/>
      <c r="R19" s="84"/>
      <c r="S19" s="84"/>
      <c r="T19" s="84"/>
      <c r="U19" s="84"/>
      <c r="V19" s="84"/>
      <c r="W19" s="84"/>
      <c r="X19" s="84"/>
      <c r="Y19" s="84"/>
      <c r="Z19" s="88"/>
      <c r="AA19" s="152">
        <f>IF(ISBLANK('Hide - Calculation'!K13),"",'Hide - Calculation'!T13)</f>
        <v>0.8625540137290955</v>
      </c>
      <c r="AB19" s="234" t="s">
        <v>48</v>
      </c>
      <c r="AC19" s="131" t="s">
        <v>556</v>
      </c>
    </row>
    <row r="20" spans="2:29" s="63" customFormat="1" ht="33.75" customHeight="1">
      <c r="B20" s="306"/>
      <c r="C20" s="137">
        <v>8</v>
      </c>
      <c r="D20" s="132" t="s">
        <v>535</v>
      </c>
      <c r="E20" s="85"/>
      <c r="F20" s="85"/>
      <c r="G20" s="221">
        <f>IF(OR(VLOOKUP('Hide - Control'!A$3,'All practice data'!A:CA,C20+4,FALSE)=" ",VLOOKUP('Hide - Control'!A$3,'All practice data'!A:CA,C20+52,FALSE)=0)," n/a",VLOOKUP('Hide - Control'!A$3,'All practice data'!A:CA,C20+4,FALSE))</f>
        <v>1386</v>
      </c>
      <c r="H20" s="218">
        <f>IF(OR(VLOOKUP('Hide - Control'!A$3,'All practice data'!A:CA,C20+30,FALSE)=" ",VLOOKUP('Hide - Control'!A$3,'All practice data'!A:CA,C20+52,FALSE)=0)," n/a",VLOOKUP('Hide - Control'!A$3,'All practice data'!A:CA,C20+30,FALSE))</f>
        <v>0.767867</v>
      </c>
      <c r="I20" s="120">
        <f>IF(OR(LEFT(H20,1)=" ",VLOOKUP('Hide - Control'!A$3,'All practice data'!A:CA,C20+52,FALSE)=0)," n/a",+((2*G20+1.96^2-1.96*SQRT(1.96^2+4*G20*(1-G20/(VLOOKUP('Hide - Control'!A$3,'All practice data'!A:CA,C20+52,FALSE)))))/(2*(((VLOOKUP('Hide - Control'!A$3,'All practice data'!A:CA,C20+52,FALSE)))+1.96^2))))</f>
        <v>0.7478332152440919</v>
      </c>
      <c r="J20" s="120">
        <f>IF(OR(LEFT(H20,1)=" ",VLOOKUP('Hide - Control'!A$3,'All practice data'!A:CA,C20+52,FALSE)=0)," n/a",+((2*G20+1.96^2+1.96*SQRT(1.96^2+4*G20*(1-G20/(VLOOKUP('Hide - Control'!A$3,'All practice data'!A:CA,C20+52,FALSE)))))/(2*((VLOOKUP('Hide - Control'!A$3,'All practice data'!A:CA,C20+52,FALSE))+1.96^2))))</f>
        <v>0.7867630700248892</v>
      </c>
      <c r="K20" s="218">
        <f>IF('Hide - Calculation'!N14="","",'Hide - Calculation'!N14)</f>
        <v>0.7749802393430903</v>
      </c>
      <c r="L20" s="155">
        <f>'Hide - Calculation'!O14</f>
        <v>0.7559681673907895</v>
      </c>
      <c r="M20" s="152">
        <f>IF(ISBLANK('Hide - Calculation'!K14),"",'Hide - Calculation'!U14)</f>
        <v>0.5884569883346558</v>
      </c>
      <c r="N20" s="160"/>
      <c r="O20" s="84"/>
      <c r="P20" s="84"/>
      <c r="Q20" s="84"/>
      <c r="R20" s="84"/>
      <c r="S20" s="84"/>
      <c r="T20" s="84"/>
      <c r="U20" s="84"/>
      <c r="V20" s="84"/>
      <c r="W20" s="84"/>
      <c r="X20" s="84"/>
      <c r="Y20" s="84"/>
      <c r="Z20" s="88"/>
      <c r="AA20" s="152">
        <f>IF(ISBLANK('Hide - Calculation'!K14),"",'Hide - Calculation'!T14)</f>
        <v>0.854610025882721</v>
      </c>
      <c r="AB20" s="234" t="s">
        <v>48</v>
      </c>
      <c r="AC20" s="131" t="s">
        <v>558</v>
      </c>
    </row>
    <row r="21" spans="2:29" s="63" customFormat="1" ht="33.75" customHeight="1">
      <c r="B21" s="306"/>
      <c r="C21" s="137">
        <v>9</v>
      </c>
      <c r="D21" s="132" t="s">
        <v>536</v>
      </c>
      <c r="E21" s="85"/>
      <c r="F21" s="85"/>
      <c r="G21" s="221">
        <f>IF(OR(VLOOKUP('Hide - Control'!A$3,'All practice data'!A:CA,C21+4,FALSE)=" ",VLOOKUP('Hide - Control'!A$3,'All practice data'!A:CA,C21+52,FALSE)=0)," n/a",VLOOKUP('Hide - Control'!A$3,'All practice data'!A:CA,C21+4,FALSE))</f>
        <v>580</v>
      </c>
      <c r="H21" s="218">
        <f>IF(OR(VLOOKUP('Hide - Control'!A$3,'All practice data'!A:CA,C21+30,FALSE)=" ",VLOOKUP('Hide - Control'!A$3,'All practice data'!A:CA,C21+52,FALSE)=0)," n/a",VLOOKUP('Hide - Control'!A$3,'All practice data'!A:CA,C21+30,FALSE))</f>
        <v>0.602911</v>
      </c>
      <c r="I21" s="120">
        <f>IF(OR(LEFT(H21,1)=" ",VLOOKUP('Hide - Control'!A$3,'All practice data'!A:CA,C21+52,FALSE)=0)," n/a",+((2*G21+1.96^2-1.96*SQRT(1.96^2+4*G21*(1-G21/(VLOOKUP('Hide - Control'!A$3,'All practice data'!A:CA,C21+52,FALSE)))))/(2*(((VLOOKUP('Hide - Control'!A$3,'All practice data'!A:CA,C21+52,FALSE)))+1.96^2))))</f>
        <v>0.5716401423669933</v>
      </c>
      <c r="J21" s="120">
        <f>IF(OR(LEFT(H21,1)=" ",VLOOKUP('Hide - Control'!A$3,'All practice data'!A:CA,C21+52,FALSE)=0)," n/a",+((2*G21+1.96^2+1.96*SQRT(1.96^2+4*G21*(1-G21/(VLOOKUP('Hide - Control'!A$3,'All practice data'!A:CA,C21+52,FALSE)))))/(2*((VLOOKUP('Hide - Control'!A$3,'All practice data'!A:CA,C21+52,FALSE))+1.96^2))))</f>
        <v>0.6333624170589002</v>
      </c>
      <c r="K21" s="218">
        <f>IF('Hide - Calculation'!N15="","",'Hide - Calculation'!N15)</f>
        <v>0.5242980668394706</v>
      </c>
      <c r="L21" s="155">
        <f>'Hide - Calculation'!O15</f>
        <v>0.5147293797466616</v>
      </c>
      <c r="M21" s="152">
        <f>IF(ISBLANK('Hide - Calculation'!K15),"",'Hide - Calculation'!U15)</f>
        <v>0.3093020021915436</v>
      </c>
      <c r="N21" s="160"/>
      <c r="O21" s="84"/>
      <c r="P21" s="84"/>
      <c r="Q21" s="84"/>
      <c r="R21" s="84"/>
      <c r="S21" s="84"/>
      <c r="T21" s="84"/>
      <c r="U21" s="84"/>
      <c r="V21" s="84"/>
      <c r="W21" s="84"/>
      <c r="X21" s="84"/>
      <c r="Y21" s="84"/>
      <c r="Z21" s="88"/>
      <c r="AA21" s="152">
        <f>IF(ISBLANK('Hide - Calculation'!K15),"",'Hide - Calculation'!T15)</f>
        <v>0.6586380004882812</v>
      </c>
      <c r="AB21" s="234" t="s">
        <v>48</v>
      </c>
      <c r="AC21" s="131" t="s">
        <v>557</v>
      </c>
    </row>
    <row r="22" spans="2:29" s="63" customFormat="1" ht="33.75" customHeight="1" thickBot="1">
      <c r="B22" s="309"/>
      <c r="C22" s="180">
        <v>10</v>
      </c>
      <c r="D22" s="195" t="s">
        <v>537</v>
      </c>
      <c r="E22" s="182"/>
      <c r="F22" s="182"/>
      <c r="G22" s="222">
        <f>IF(OR(VLOOKUP('Hide - Control'!A$3,'All practice data'!A:CA,C22+4,FALSE)=" ",VLOOKUP('Hide - Control'!A$3,'All practice data'!A:CA,C22+52,FALSE)=0)," n/a",VLOOKUP('Hide - Control'!A$3,'All practice data'!A:CA,C22+4,FALSE))</f>
        <v>274</v>
      </c>
      <c r="H22" s="223">
        <f>IF(OR(VLOOKUP('Hide - Control'!A$3,'All practice data'!A:CA,C22+30,FALSE)=" ",VLOOKUP('Hide - Control'!A$3,'All practice data'!A:CA,C22+52,FALSE)=0)," n/a",VLOOKUP('Hide - Control'!A$3,'All practice data'!A:CA,C22+30,FALSE))</f>
        <v>0.629885</v>
      </c>
      <c r="I22" s="196">
        <f>IF(OR(LEFT(H22,1)=" ",VLOOKUP('Hide - Control'!A$3,'All practice data'!A:CA,C22+52,FALSE)=0)," n/a",+((2*G22+1.96^2-1.96*SQRT(1.96^2+4*G22*(1-G22/(VLOOKUP('Hide - Control'!A$3,'All practice data'!A:CA,C22+52,FALSE)))))/(2*(((VLOOKUP('Hide - Control'!A$3,'All practice data'!A:CA,C22+52,FALSE)))+1.96^2))))</f>
        <v>0.5835584333763418</v>
      </c>
      <c r="J22" s="196">
        <f>IF(OR(LEFT(H22,1)=" ",VLOOKUP('Hide - Control'!A$3,'All practice data'!A:CA,C22+52,FALSE)=0)," n/a",+((2*G22+1.96^2+1.96*SQRT(1.96^2+4*G22*(1-G22/(VLOOKUP('Hide - Control'!A$3,'All practice data'!A:CA,C22+52,FALSE)))))/(2*((VLOOKUP('Hide - Control'!A$3,'All practice data'!A:CA,C22+52,FALSE))+1.96^2))))</f>
        <v>0.6739376654438247</v>
      </c>
      <c r="K22" s="223">
        <f>IF('Hide - Calculation'!N16="","",'Hide - Calculation'!N16)</f>
        <v>0.6148782514219978</v>
      </c>
      <c r="L22" s="197">
        <f>'Hide - Calculation'!O16</f>
        <v>0.5752927626212945</v>
      </c>
      <c r="M22" s="198">
        <f>IF(ISBLANK('Hide - Calculation'!K16),"",'Hide - Calculation'!U16)</f>
        <v>0.3986009955406189</v>
      </c>
      <c r="N22" s="199"/>
      <c r="O22" s="91"/>
      <c r="P22" s="91"/>
      <c r="Q22" s="91"/>
      <c r="R22" s="91"/>
      <c r="S22" s="91"/>
      <c r="T22" s="91"/>
      <c r="U22" s="91"/>
      <c r="V22" s="91"/>
      <c r="W22" s="91"/>
      <c r="X22" s="91"/>
      <c r="Y22" s="91"/>
      <c r="Z22" s="188"/>
      <c r="AA22" s="198">
        <f>IF(ISBLANK('Hide - Calculation'!K16),"",'Hide - Calculation'!T16)</f>
        <v>0.7142860293388367</v>
      </c>
      <c r="AB22" s="235" t="s">
        <v>48</v>
      </c>
      <c r="AC22" s="189" t="s">
        <v>556</v>
      </c>
    </row>
    <row r="23" spans="2:29" s="63" customFormat="1" ht="33.75" customHeight="1">
      <c r="B23" s="308" t="s">
        <v>376</v>
      </c>
      <c r="C23" s="163">
        <v>11</v>
      </c>
      <c r="D23" s="179" t="s">
        <v>388</v>
      </c>
      <c r="E23" s="165"/>
      <c r="F23" s="165"/>
      <c r="G23" s="118">
        <f>IF(VLOOKUP('Hide - Control'!A$3,'All practice data'!A:CA,C23+4,FALSE)=" "," ",VLOOKUP('Hide - Control'!A$3,'All practice data'!A:CA,C23+4,FALSE))</f>
        <v>245</v>
      </c>
      <c r="H23" s="216">
        <f>IF(VLOOKUP('Hide - Control'!A$3,'All practice data'!A:CA,C23+30,FALSE)=" "," ",VLOOKUP('Hide - Control'!A$3,'All practice data'!A:CA,C23+30,FALSE))</f>
        <v>3251.0615711252653</v>
      </c>
      <c r="I23" s="215">
        <f>IF(LEFT(G23,1)=" "," n/a",IF(G23&lt;5,100000*VLOOKUP(G23,'Hide - Calculation'!AQ:AR,2,FALSE)/$E$8,100000*(G23*(1-1/(9*G23)-1.96/(3*SQRT(G23)))^3)/$E$8))</f>
        <v>2856.660318616019</v>
      </c>
      <c r="J23" s="215">
        <f>IF(LEFT(G23,1)=" "," n/a",IF(G23&lt;5,100000*VLOOKUP(G23,'Hide - Calculation'!AQ:AS,3,FALSE)/$E$8,100000*((G23+1)*(1-1/(9*(G23+1))+1.96/(3*SQRT(G23+1)))^3)/$E$8))</f>
        <v>3684.6893235851953</v>
      </c>
      <c r="K23" s="216">
        <f>IF('Hide - Calculation'!N17="","",'Hide - Calculation'!N17)</f>
        <v>2039.1674227438516</v>
      </c>
      <c r="L23" s="217">
        <f>'Hide - Calculation'!O17</f>
        <v>1812.1669120472948</v>
      </c>
      <c r="M23" s="170">
        <f>IF(ISBLANK('Hide - Calculation'!K17),"",'Hide - Calculation'!U17)</f>
        <v>653.8461303710938</v>
      </c>
      <c r="N23" s="171"/>
      <c r="O23" s="172"/>
      <c r="P23" s="172"/>
      <c r="Q23" s="172"/>
      <c r="R23" s="173"/>
      <c r="S23" s="173"/>
      <c r="T23" s="173"/>
      <c r="U23" s="173"/>
      <c r="V23" s="173"/>
      <c r="W23" s="173"/>
      <c r="X23" s="173"/>
      <c r="Y23" s="173"/>
      <c r="Z23" s="174"/>
      <c r="AA23" s="170">
        <f>IF(ISBLANK('Hide - Calculation'!K17),"",'Hide - Calculation'!T17)</f>
        <v>6794.87158203125</v>
      </c>
      <c r="AB23" s="233" t="s">
        <v>26</v>
      </c>
      <c r="AC23" s="175" t="s">
        <v>556</v>
      </c>
    </row>
    <row r="24" spans="2:29" s="63" customFormat="1" ht="33.75" customHeight="1">
      <c r="B24" s="306"/>
      <c r="C24" s="137">
        <v>12</v>
      </c>
      <c r="D24" s="147" t="s">
        <v>543</v>
      </c>
      <c r="E24" s="85"/>
      <c r="F24" s="85"/>
      <c r="G24" s="118">
        <f>IF(VLOOKUP('Hide - Control'!A$3,'All practice data'!A:CA,C24+4,FALSE)=" "," ",VLOOKUP('Hide - Control'!A$3,'All practice data'!A:CA,C24+4,FALSE))</f>
        <v>245</v>
      </c>
      <c r="H24" s="119">
        <f>IF(VLOOKUP('Hide - Control'!A$3,'All practice data'!A:CA,C24+30,FALSE)=" "," ",VLOOKUP('Hide - Control'!A$3,'All practice data'!A:CA,C24+30,FALSE))</f>
        <v>1.51709259</v>
      </c>
      <c r="I24" s="212">
        <f>IF(LEFT(VLOOKUP('Hide - Control'!A$3,'All practice data'!A:CA,C24+44,FALSE),1)=" "," n/a",VLOOKUP('Hide - Control'!A$3,'All practice data'!A:CA,C24+44,FALSE))</f>
        <v>1.3330572509999998</v>
      </c>
      <c r="J24" s="212">
        <f>IF(LEFT(VLOOKUP('Hide - Control'!A$3,'All practice data'!A:CA,C24+45,FALSE),1)=" "," n/a",VLOOKUP('Hide - Control'!A$3,'All practice data'!A:CA,C24+45,FALSE))</f>
        <v>1.719434052</v>
      </c>
      <c r="K24" s="152" t="s">
        <v>655</v>
      </c>
      <c r="L24" s="213">
        <v>1</v>
      </c>
      <c r="M24" s="152">
        <f>IF(ISBLANK('Hide - Calculation'!K18),"",'Hide - Calculation'!U18)</f>
        <v>0.32280299067497253</v>
      </c>
      <c r="N24" s="86"/>
      <c r="O24" s="87"/>
      <c r="P24" s="87"/>
      <c r="Q24" s="87"/>
      <c r="R24" s="84"/>
      <c r="S24" s="84"/>
      <c r="T24" s="84"/>
      <c r="U24" s="84"/>
      <c r="V24" s="84"/>
      <c r="W24" s="84"/>
      <c r="X24" s="84"/>
      <c r="Y24" s="84"/>
      <c r="Z24" s="88"/>
      <c r="AA24" s="152">
        <f>IF(ISBLANK('Hide - Calculation'!K18),"",'Hide - Calculation'!T18)</f>
        <v>2.165602684020996</v>
      </c>
      <c r="AB24" s="234" t="s">
        <v>26</v>
      </c>
      <c r="AC24" s="131" t="s">
        <v>556</v>
      </c>
    </row>
    <row r="25" spans="2:29" s="63" customFormat="1" ht="33.75" customHeight="1">
      <c r="B25" s="306"/>
      <c r="C25" s="137">
        <v>13</v>
      </c>
      <c r="D25" s="147" t="s">
        <v>383</v>
      </c>
      <c r="E25" s="85"/>
      <c r="F25" s="85"/>
      <c r="G25" s="118">
        <f>IF(VLOOKUP('Hide - Control'!A$3,'All practice data'!A:CA,C25+4,FALSE)=" "," ",VLOOKUP('Hide - Control'!A$3,'All practice data'!A:CA,C25+4,FALSE))</f>
        <v>15</v>
      </c>
      <c r="H25" s="119">
        <f>IF(VLOOKUP('Hide - Control'!A$3,'All practice data'!A:CA,C25+30,FALSE)=" "," ",VLOOKUP('Hide - Control'!A$3,'All practice data'!A:CA,C25+30,FALSE))</f>
        <v>0.061224489795918366</v>
      </c>
      <c r="I25" s="120">
        <f>IF(LEFT(G25,1)=" "," n/a",IF(G25=0," n/a",+((2*G25+1.96^2-1.96*SQRT(1.96^2+4*G25*(1-G25/G23)))/(2*(G23+1.96^2)))))</f>
        <v>0.03745002585236647</v>
      </c>
      <c r="J25" s="120">
        <f>IF(LEFT(G25,1)=" "," n/a",IF(G25=0," n/a",+((2*G25+1.96^2+1.96*SQRT(1.96^2+4*G25*(1-G25/G23)))/(2*(G23+1.96^2)))))</f>
        <v>0.09854652777853769</v>
      </c>
      <c r="K25" s="125">
        <f>IF('Hide - Calculation'!N19="","",'Hide - Calculation'!N19)</f>
        <v>0.10769870500178211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0.32786884903907776</v>
      </c>
      <c r="AB25" s="234" t="s">
        <v>26</v>
      </c>
      <c r="AC25" s="131" t="s">
        <v>556</v>
      </c>
    </row>
    <row r="26" spans="2:29" s="63" customFormat="1" ht="33.75" customHeight="1">
      <c r="B26" s="306"/>
      <c r="C26" s="137">
        <v>14</v>
      </c>
      <c r="D26" s="147" t="s">
        <v>526</v>
      </c>
      <c r="E26" s="85"/>
      <c r="F26" s="85"/>
      <c r="G26" s="121">
        <f>IF(VLOOKUP('Hide - Control'!A$3,'All practice data'!A:CA,C26+4,FALSE)=" "," ",VLOOKUP('Hide - Control'!A$3,'All practice data'!A:CA,C26+4,FALSE))</f>
        <v>31</v>
      </c>
      <c r="H26" s="119">
        <f>IF(VLOOKUP('Hide - Control'!A$3,'All practice data'!A:CA,C26+30,FALSE)=" "," ",VLOOKUP('Hide - Control'!A$3,'All practice data'!A:CA,C26+30,FALSE))</f>
        <v>0.4838709677419355</v>
      </c>
      <c r="I26" s="120">
        <f>IF(OR(LEFT(G26,1)=" ",LEFT(G25,1)=" ")," n/a",IF(G26=0," n/a",+((2*G25+1.96^2-1.96*SQRT(1.96^2+4*G25*(1-G25/G26)))/(2*(G26+1.96^2)))))</f>
        <v>0.3196998603127883</v>
      </c>
      <c r="J26" s="120">
        <f>IF(OR(LEFT(G26,1)=" ",LEFT(G25,1)=" ")," n/a",IF(G26=0," n/a",+((2*G25+1.96^2+1.96*SQRT(1.96^2+4*G25*(1-G25/G26)))/(2*(G26+1.96^2)))))</f>
        <v>0.6515988171302682</v>
      </c>
      <c r="K26" s="125">
        <f>IF('Hide - Calculation'!N20="","",'Hide - Calculation'!N20)</f>
        <v>0.42084493964716807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0.7142857313156128</v>
      </c>
      <c r="AB26" s="234" t="s">
        <v>26</v>
      </c>
      <c r="AC26" s="131" t="s">
        <v>556</v>
      </c>
    </row>
    <row r="27" spans="2:29" s="63" customFormat="1" ht="33.75" customHeight="1">
      <c r="B27" s="306"/>
      <c r="C27" s="137">
        <v>15</v>
      </c>
      <c r="D27" s="147" t="s">
        <v>513</v>
      </c>
      <c r="E27" s="85"/>
      <c r="F27" s="85"/>
      <c r="G27" s="121">
        <f>IF(VLOOKUP('Hide - Control'!A$3,'All practice data'!A:CA,C27+4,FALSE)=" "," ",VLOOKUP('Hide - Control'!A$3,'All practice data'!A:CA,C27+4,FALSE))</f>
        <v>54</v>
      </c>
      <c r="H27" s="122">
        <f>IF(VLOOKUP('Hide - Control'!A$3,'All practice data'!A:CA,C27+30,FALSE)=" "," ",VLOOKUP('Hide - Control'!A$3,'All practice data'!A:CA,C27+30,FALSE))</f>
        <v>716.5605095541401</v>
      </c>
      <c r="I27" s="123">
        <f>IF(LEFT(G27,1)=" "," n/a",IF(G27&lt;5,100000*VLOOKUP(G27,'Hide - Calculation'!AQ:AR,2,FALSE)/$E$8,100000*(G27*(1-1/(9*G27)-1.96/(3*SQRT(G27)))^3)/$E$8))</f>
        <v>538.2631616687927</v>
      </c>
      <c r="J27" s="123">
        <f>IF(LEFT(G27,1)=" "," n/a",IF(G27&lt;5,100000*VLOOKUP(G27,'Hide - Calculation'!AQ:AS,3,FALSE)/$E$8,100000*((G27+1)*(1-1/(9*(G27+1))+1.96/(3*SQRT(G27+1)))^3)/$E$8))</f>
        <v>934.9783323135115</v>
      </c>
      <c r="K27" s="122">
        <f>IF('Hide - Calculation'!N21="","",'Hide - Calculation'!N21)</f>
        <v>397.68246696376764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825.4815063476562</v>
      </c>
      <c r="AB27" s="234" t="s">
        <v>26</v>
      </c>
      <c r="AC27" s="131" t="s">
        <v>556</v>
      </c>
    </row>
    <row r="28" spans="2:29" s="63" customFormat="1" ht="33.75" customHeight="1">
      <c r="B28" s="306"/>
      <c r="C28" s="137">
        <v>16</v>
      </c>
      <c r="D28" s="147" t="s">
        <v>514</v>
      </c>
      <c r="E28" s="85"/>
      <c r="F28" s="85"/>
      <c r="G28" s="121">
        <f>IF(VLOOKUP('Hide - Control'!A$3,'All practice data'!A:CA,C28+4,FALSE)=" "," ",VLOOKUP('Hide - Control'!A$3,'All practice data'!A:CA,C28+4,FALSE))</f>
        <v>55</v>
      </c>
      <c r="H28" s="122">
        <f>IF(VLOOKUP('Hide - Control'!A$3,'All practice data'!A:CA,C28+30,FALSE)=" "," ",VLOOKUP('Hide - Control'!A$3,'All practice data'!A:CA,C28+30,FALSE))</f>
        <v>729.8301486199575</v>
      </c>
      <c r="I28" s="123">
        <f>IF(LEFT(G28,1)=" "," n/a",IF(G28&lt;5,100000*VLOOKUP(G28,'Hide - Calculation'!AQ:AR,2,FALSE)/$E$8,100000*(G28*(1-1/(9*G28)-1.96/(3*SQRT(G28)))^3)/$E$8))</f>
        <v>549.7691732910002</v>
      </c>
      <c r="J28" s="123">
        <f>IF(LEFT(G28,1)=" "," n/a",IF(G28&lt;5,100000*VLOOKUP(G28,'Hide - Calculation'!AQ:AS,3,FALSE)/$E$8,100000*((G28+1)*(1-1/(9*(G28+1))+1.96/(3*SQRT(G28+1)))^3)/$E$8))</f>
        <v>949.9965118745529</v>
      </c>
      <c r="K28" s="122">
        <f>IF('Hide - Calculation'!N22="","",'Hide - Calculation'!N22)</f>
        <v>311.4351576496639</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2256.41015625</v>
      </c>
      <c r="AB28" s="234" t="s">
        <v>26</v>
      </c>
      <c r="AC28" s="131" t="s">
        <v>556</v>
      </c>
    </row>
    <row r="29" spans="2:29" s="63" customFormat="1" ht="33.75" customHeight="1">
      <c r="B29" s="306"/>
      <c r="C29" s="137">
        <v>17</v>
      </c>
      <c r="D29" s="147" t="s">
        <v>515</v>
      </c>
      <c r="E29" s="85"/>
      <c r="F29" s="85"/>
      <c r="G29" s="121">
        <f>IF(VLOOKUP('Hide - Control'!A$3,'All practice data'!A:CA,C29+4,FALSE)=" "," ",VLOOKUP('Hide - Control'!A$3,'All practice data'!A:CA,C29+4,FALSE))</f>
        <v>7</v>
      </c>
      <c r="H29" s="122">
        <f>IF(VLOOKUP('Hide - Control'!A$3,'All practice data'!A:CA,C29+30,FALSE)=" "," ",VLOOKUP('Hide - Control'!A$3,'All practice data'!A:CA,C29+30,FALSE))</f>
        <v>92.88747346072186</v>
      </c>
      <c r="I29" s="123">
        <f>IF(LEFT(G29,1)=" "," n/a",IF(G29&lt;5,100000*VLOOKUP(G29,'Hide - Calculation'!AQ:AR,2,FALSE)/$E$8,100000*(G29*(1-1/(9*G29)-1.96/(3*SQRT(G29)))^3)/$E$8))</f>
        <v>37.21309581446946</v>
      </c>
      <c r="J29" s="123">
        <f>IF(LEFT(G29,1)=" "," n/a",IF(G29&lt;5,100000*VLOOKUP(G29,'Hide - Calculation'!AQ:AS,3,FALSE)/$E$8,100000*((G29+1)*(1-1/(9*(G29+1))+1.96/(3*SQRT(G29+1)))^3)/$E$8))</f>
        <v>191.39349068853716</v>
      </c>
      <c r="K29" s="122">
        <f>IF('Hide - Calculation'!N23="","",'Hide - Calculation'!N23)</f>
        <v>60.44579683671034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152.5054473876953</v>
      </c>
      <c r="AB29" s="234" t="s">
        <v>26</v>
      </c>
      <c r="AC29" s="131" t="s">
        <v>556</v>
      </c>
    </row>
    <row r="30" spans="2:29" s="63" customFormat="1" ht="33.75" customHeight="1" thickBot="1">
      <c r="B30" s="309"/>
      <c r="C30" s="180">
        <v>18</v>
      </c>
      <c r="D30" s="181" t="s">
        <v>516</v>
      </c>
      <c r="E30" s="182"/>
      <c r="F30" s="182"/>
      <c r="G30" s="183">
        <f>IF(VLOOKUP('Hide - Control'!A$3,'All practice data'!A:CA,C30+4,FALSE)=" "," ",VLOOKUP('Hide - Control'!A$3,'All practice data'!A:CA,C30+4,FALSE))</f>
        <v>39</v>
      </c>
      <c r="H30" s="184">
        <f>IF(VLOOKUP('Hide - Control'!A$3,'All practice data'!A:CA,C30+30,FALSE)=" "," ",VLOOKUP('Hide - Control'!A$3,'All practice data'!A:CA,C30+30,FALSE))</f>
        <v>517.515923566879</v>
      </c>
      <c r="I30" s="185">
        <f>IF(LEFT(G30,1)=" "," n/a",IF(G30&lt;5,100000*VLOOKUP(G30,'Hide - Calculation'!AQ:AR,2,FALSE)/$E$8,100000*(G30*(1-1/(9*G30)-1.96/(3*SQRT(G30)))^3)/$E$8))</f>
        <v>367.9577307625482</v>
      </c>
      <c r="J30" s="185">
        <f>IF(LEFT(G30,1)=" "," n/a",IF(G30&lt;5,100000*VLOOKUP(G30,'Hide - Calculation'!AQ:AS,3,FALSE)/$E$8,100000*((G30+1)*(1-1/(9*(G30+1))+1.96/(3*SQRT(G30+1)))^3)/$E$8))</f>
        <v>707.4843181572213</v>
      </c>
      <c r="K30" s="184">
        <f>IF('Hide - Calculation'!N24="","",'Hide - Calculation'!N24)</f>
        <v>393.07938023071154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1435.8974609375</v>
      </c>
      <c r="AB30" s="235" t="s">
        <v>26</v>
      </c>
      <c r="AC30" s="189" t="s">
        <v>556</v>
      </c>
    </row>
    <row r="31" spans="2:29" s="63" customFormat="1" ht="33.75" customHeight="1">
      <c r="B31" s="304" t="s">
        <v>385</v>
      </c>
      <c r="C31" s="163">
        <v>19</v>
      </c>
      <c r="D31" s="164" t="s">
        <v>389</v>
      </c>
      <c r="E31" s="165"/>
      <c r="F31" s="165"/>
      <c r="G31" s="166">
        <f>IF(VLOOKUP('Hide - Control'!A$3,'All practice data'!A:CA,C31+4,FALSE)=" "," ",VLOOKUP('Hide - Control'!A$3,'All practice data'!A:CA,C31+4,FALSE))</f>
        <v>74</v>
      </c>
      <c r="H31" s="167">
        <f>IF(VLOOKUP('Hide - Control'!A$3,'All practice data'!A:CA,C31+30,FALSE)=" "," ",VLOOKUP('Hide - Control'!A$3,'All practice data'!A:CA,C31+30,FALSE))</f>
        <v>981.9532908704883</v>
      </c>
      <c r="I31" s="168">
        <f>IF(LEFT(G31,1)=" "," n/a",IF(G31&lt;5,100000*VLOOKUP(G31,'Hide - Calculation'!AQ:AR,2,FALSE)/$E$8,100000*(G31*(1-1/(9*G31)-1.96/(3*SQRT(G31)))^3)/$E$8))</f>
        <v>771.01109500318</v>
      </c>
      <c r="J31" s="168">
        <f>IF(LEFT(G31,1)=" "," n/a",IF(G31&lt;5,100000*VLOOKUP(G31,'Hide - Calculation'!AQ:AS,3,FALSE)/$E$8,100000*((G31+1)*(1-1/(9*(G31+1))+1.96/(3*SQRT(G31+1)))^3)/$E$8))</f>
        <v>1232.773877027302</v>
      </c>
      <c r="K31" s="167">
        <f>IF('Hide - Calculation'!N25="","",'Hide - Calculation'!N25)</f>
        <v>667.5687101545304</v>
      </c>
      <c r="L31" s="169">
        <f>'Hide - Calculation'!O25</f>
        <v>562.6134400960308</v>
      </c>
      <c r="M31" s="170">
        <f>IF(ISBLANK('Hide - Calculation'!K25),"",'Hide - Calculation'!U25)</f>
        <v>259.2441101074219</v>
      </c>
      <c r="N31" s="171"/>
      <c r="O31" s="172"/>
      <c r="P31" s="172"/>
      <c r="Q31" s="172"/>
      <c r="R31" s="173"/>
      <c r="S31" s="173"/>
      <c r="T31" s="173"/>
      <c r="U31" s="173"/>
      <c r="V31" s="173"/>
      <c r="W31" s="173"/>
      <c r="X31" s="173"/>
      <c r="Y31" s="173"/>
      <c r="Z31" s="174"/>
      <c r="AA31" s="170">
        <f>IF(ISBLANK('Hide - Calculation'!K25),"",'Hide - Calculation'!T25)</f>
        <v>2256.41015625</v>
      </c>
      <c r="AB31" s="233" t="s">
        <v>47</v>
      </c>
      <c r="AC31" s="175" t="s">
        <v>556</v>
      </c>
    </row>
    <row r="32" spans="2:29" s="63" customFormat="1" ht="33.75" customHeight="1">
      <c r="B32" s="305"/>
      <c r="C32" s="137">
        <v>20</v>
      </c>
      <c r="D32" s="132" t="s">
        <v>390</v>
      </c>
      <c r="E32" s="85"/>
      <c r="F32" s="85"/>
      <c r="G32" s="121">
        <f>IF(VLOOKUP('Hide - Control'!A$3,'All practice data'!A:CA,C32+4,FALSE)=" "," ",VLOOKUP('Hide - Control'!A$3,'All practice data'!A:CA,C32+4,FALSE))</f>
        <v>29</v>
      </c>
      <c r="H32" s="122">
        <f>IF(VLOOKUP('Hide - Control'!A$3,'All practice data'!A:CA,C32+30,FALSE)=" "," ",VLOOKUP('Hide - Control'!A$3,'All practice data'!A:CA,C32+30,FALSE))</f>
        <v>384.8195329087049</v>
      </c>
      <c r="I32" s="123">
        <f>IF(LEFT(G32,1)=" "," n/a",IF(G32&lt;5,100000*VLOOKUP(G32,'Hide - Calculation'!AQ:AR,2,FALSE)/$E$8,100000*(G32*(1-1/(9*G32)-1.96/(3*SQRT(G32)))^3)/$E$8))</f>
        <v>257.664367638892</v>
      </c>
      <c r="J32" s="123">
        <f>IF(LEFT(G32,1)=" "," n/a",IF(G32&lt;5,100000*VLOOKUP(G32,'Hide - Calculation'!AQ:AS,3,FALSE)/$E$8,100000*((G32+1)*(1-1/(9*(G32+1))+1.96/(3*SQRT(G32+1)))^3)/$E$8))</f>
        <v>552.6883398300569</v>
      </c>
      <c r="K32" s="122">
        <f>IF('Hide - Calculation'!N26="","",'Hide - Calculation'!N26)</f>
        <v>365.33972597097875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730.460205078125</v>
      </c>
      <c r="AB32" s="234" t="s">
        <v>47</v>
      </c>
      <c r="AC32" s="131" t="s">
        <v>556</v>
      </c>
    </row>
    <row r="33" spans="2:29" s="63" customFormat="1" ht="33.75" customHeight="1">
      <c r="B33" s="305"/>
      <c r="C33" s="137">
        <v>21</v>
      </c>
      <c r="D33" s="132" t="s">
        <v>392</v>
      </c>
      <c r="E33" s="85"/>
      <c r="F33" s="85"/>
      <c r="G33" s="121">
        <f>IF(VLOOKUP('Hide - Control'!A$3,'All practice data'!A:CA,C33+4,FALSE)=" "," ",VLOOKUP('Hide - Control'!A$3,'All practice data'!A:CA,C33+4,FALSE))</f>
        <v>112</v>
      </c>
      <c r="H33" s="122">
        <f>IF(VLOOKUP('Hide - Control'!A$3,'All practice data'!A:CA,C33+30,FALSE)=" "," ",VLOOKUP('Hide - Control'!A$3,'All practice data'!A:CA,C33+30,FALSE))</f>
        <v>1486.1995753715498</v>
      </c>
      <c r="I33" s="123">
        <f>IF(LEFT(G33,1)=" "," n/a",IF(G33&lt;5,100000*VLOOKUP(G33,'Hide - Calculation'!AQ:AR,2,FALSE)/$E$8,100000*(G33*(1-1/(9*G33)-1.96/(3*SQRT(G33)))^3)/$E$8))</f>
        <v>1223.7042827360044</v>
      </c>
      <c r="J33" s="123">
        <f>IF(LEFT(G33,1)=" "," n/a",IF(G33&lt;5,100000*VLOOKUP(G33,'Hide - Calculation'!AQ:AS,3,FALSE)/$E$8,100000*((G33+1)*(1-1/(9*(G33+1))+1.96/(3*SQRT(G33+1)))^3)/$E$8))</f>
        <v>1788.3046030547478</v>
      </c>
      <c r="K33" s="122">
        <f>IF('Hide - Calculation'!N27="","",'Hide - Calculation'!N27)</f>
        <v>1217.8798424775266</v>
      </c>
      <c r="L33" s="156">
        <f>'Hide - Calculation'!O27</f>
        <v>1059.3522061277838</v>
      </c>
      <c r="M33" s="148">
        <f>IF(ISBLANK('Hide - Calculation'!K27),"",'Hide - Calculation'!U27)</f>
        <v>502.06732177734375</v>
      </c>
      <c r="N33" s="86"/>
      <c r="O33" s="87"/>
      <c r="P33" s="87"/>
      <c r="Q33" s="87"/>
      <c r="R33" s="84"/>
      <c r="S33" s="84"/>
      <c r="T33" s="84"/>
      <c r="U33" s="84"/>
      <c r="V33" s="84"/>
      <c r="W33" s="84"/>
      <c r="X33" s="84"/>
      <c r="Y33" s="84"/>
      <c r="Z33" s="88"/>
      <c r="AA33" s="148">
        <f>IF(ISBLANK('Hide - Calculation'!K27),"",'Hide - Calculation'!T27)</f>
        <v>2615.384521484375</v>
      </c>
      <c r="AB33" s="234" t="s">
        <v>47</v>
      </c>
      <c r="AC33" s="131" t="s">
        <v>556</v>
      </c>
    </row>
    <row r="34" spans="2:29" s="63" customFormat="1" ht="33.75" customHeight="1">
      <c r="B34" s="305"/>
      <c r="C34" s="137">
        <v>22</v>
      </c>
      <c r="D34" s="132" t="s">
        <v>391</v>
      </c>
      <c r="E34" s="85"/>
      <c r="F34" s="85"/>
      <c r="G34" s="118">
        <f>IF(VLOOKUP('Hide - Control'!A$3,'All practice data'!A:CA,C34+4,FALSE)=" "," ",VLOOKUP('Hide - Control'!A$3,'All practice data'!A:CA,C34+4,FALSE))</f>
        <v>59</v>
      </c>
      <c r="H34" s="122">
        <f>IF(VLOOKUP('Hide - Control'!A$3,'All practice data'!A:CA,C34+30,FALSE)=" "," ",VLOOKUP('Hide - Control'!A$3,'All practice data'!A:CA,C34+30,FALSE))</f>
        <v>782.9087048832272</v>
      </c>
      <c r="I34" s="123">
        <f>IF(LEFT(G34,1)=" "," n/a",IF(G34&lt;5,100000*VLOOKUP(G34,'Hide - Calculation'!AQ:AR,2,FALSE)/$E$8,100000*(G34*(1-1/(9*G34)-1.96/(3*SQRT(G34)))^3)/$E$8))</f>
        <v>595.9489814482312</v>
      </c>
      <c r="J34" s="123">
        <f>IF(LEFT(G34,1)=" "," n/a",IF(G34&lt;5,100000*VLOOKUP(G34,'Hide - Calculation'!AQ:AS,3,FALSE)/$E$8,100000*((G34+1)*(1-1/(9*(G34+1))+1.96/(3*SQRT(G34+1)))^3)/$E$8))</f>
        <v>1009.9172575440749</v>
      </c>
      <c r="K34" s="122">
        <f>IF('Hide - Calculation'!N28="","",'Hide - Calculation'!N28)</f>
        <v>561.3343137100516</v>
      </c>
      <c r="L34" s="156">
        <f>'Hide - Calculation'!O28</f>
        <v>582.9390489900089</v>
      </c>
      <c r="M34" s="148">
        <f>IF(ISBLANK('Hide - Calculation'!K28),"",'Hide - Calculation'!U28)</f>
        <v>191.9669189453125</v>
      </c>
      <c r="N34" s="86"/>
      <c r="O34" s="87"/>
      <c r="P34" s="87"/>
      <c r="Q34" s="87"/>
      <c r="R34" s="84"/>
      <c r="S34" s="84"/>
      <c r="T34" s="84"/>
      <c r="U34" s="84"/>
      <c r="V34" s="84"/>
      <c r="W34" s="84"/>
      <c r="X34" s="84"/>
      <c r="Y34" s="84"/>
      <c r="Z34" s="88"/>
      <c r="AA34" s="148">
        <f>IF(ISBLANK('Hide - Calculation'!K28),"",'Hide - Calculation'!T28)</f>
        <v>1387.8743896484375</v>
      </c>
      <c r="AB34" s="234" t="s">
        <v>47</v>
      </c>
      <c r="AC34" s="131" t="s">
        <v>556</v>
      </c>
    </row>
    <row r="35" spans="2:29" s="63" customFormat="1" ht="33.75" customHeight="1">
      <c r="B35" s="305"/>
      <c r="C35" s="137">
        <v>23</v>
      </c>
      <c r="D35" s="138" t="s">
        <v>517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377</v>
      </c>
      <c r="AC35" s="131">
        <v>2008</v>
      </c>
    </row>
    <row r="36" spans="2:29" ht="33.75" customHeight="1">
      <c r="B36" s="306"/>
      <c r="C36" s="137">
        <v>24</v>
      </c>
      <c r="D36" s="224" t="s">
        <v>518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377</v>
      </c>
      <c r="AC36" s="131">
        <v>2008</v>
      </c>
    </row>
    <row r="37" spans="2:29" ht="33.75" customHeight="1" thickBot="1">
      <c r="B37" s="307"/>
      <c r="C37" s="176">
        <v>25</v>
      </c>
      <c r="D37" s="177" t="s">
        <v>393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377</v>
      </c>
      <c r="AC37" s="149">
        <v>2008</v>
      </c>
    </row>
    <row r="38" spans="2:29" ht="16.5" customHeight="1">
      <c r="B38" s="69"/>
      <c r="C38" s="69"/>
      <c r="D38" s="65" t="s">
        <v>375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654</v>
      </c>
      <c r="C39" s="244"/>
      <c r="D39" s="244"/>
      <c r="E39" s="303" t="s">
        <v>658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542</v>
      </c>
      <c r="BE2" s="341"/>
      <c r="BF2" s="341"/>
      <c r="BG2" s="341"/>
      <c r="BH2" s="341"/>
      <c r="BI2" s="341"/>
      <c r="BJ2" s="342"/>
    </row>
    <row r="3" spans="1:82" s="72" customFormat="1" ht="76.5" customHeight="1">
      <c r="A3" s="266" t="s">
        <v>276</v>
      </c>
      <c r="B3" s="275" t="s">
        <v>277</v>
      </c>
      <c r="C3" s="276" t="s">
        <v>49</v>
      </c>
      <c r="D3" s="274" t="s">
        <v>527</v>
      </c>
      <c r="E3" s="267" t="s">
        <v>399</v>
      </c>
      <c r="F3" s="267" t="s">
        <v>510</v>
      </c>
      <c r="G3" s="267" t="s">
        <v>401</v>
      </c>
      <c r="H3" s="267" t="s">
        <v>402</v>
      </c>
      <c r="I3" s="267" t="s">
        <v>403</v>
      </c>
      <c r="J3" s="267" t="s">
        <v>551</v>
      </c>
      <c r="K3" s="267" t="s">
        <v>552</v>
      </c>
      <c r="L3" s="267" t="s">
        <v>553</v>
      </c>
      <c r="M3" s="267" t="s">
        <v>404</v>
      </c>
      <c r="N3" s="267" t="s">
        <v>405</v>
      </c>
      <c r="O3" s="267" t="s">
        <v>406</v>
      </c>
      <c r="P3" s="267" t="s">
        <v>541</v>
      </c>
      <c r="Q3" s="267" t="s">
        <v>407</v>
      </c>
      <c r="R3" s="267" t="s">
        <v>408</v>
      </c>
      <c r="S3" s="267" t="s">
        <v>409</v>
      </c>
      <c r="T3" s="267" t="s">
        <v>410</v>
      </c>
      <c r="U3" s="267" t="s">
        <v>411</v>
      </c>
      <c r="V3" s="267" t="s">
        <v>412</v>
      </c>
      <c r="W3" s="267" t="s">
        <v>413</v>
      </c>
      <c r="X3" s="267" t="s">
        <v>414</v>
      </c>
      <c r="Y3" s="267" t="s">
        <v>415</v>
      </c>
      <c r="Z3" s="267" t="s">
        <v>416</v>
      </c>
      <c r="AA3" s="267" t="s">
        <v>417</v>
      </c>
      <c r="AB3" s="267" t="s">
        <v>418</v>
      </c>
      <c r="AC3" s="267" t="s">
        <v>419</v>
      </c>
      <c r="AD3" s="268" t="s">
        <v>420</v>
      </c>
      <c r="AE3" s="268" t="s">
        <v>399</v>
      </c>
      <c r="AF3" s="269" t="s">
        <v>400</v>
      </c>
      <c r="AG3" s="268" t="s">
        <v>401</v>
      </c>
      <c r="AH3" s="268" t="s">
        <v>402</v>
      </c>
      <c r="AI3" s="268" t="s">
        <v>403</v>
      </c>
      <c r="AJ3" s="268" t="s">
        <v>551</v>
      </c>
      <c r="AK3" s="268" t="s">
        <v>552</v>
      </c>
      <c r="AL3" s="268" t="s">
        <v>553</v>
      </c>
      <c r="AM3" s="268" t="s">
        <v>404</v>
      </c>
      <c r="AN3" s="268" t="s">
        <v>405</v>
      </c>
      <c r="AO3" s="268" t="s">
        <v>406</v>
      </c>
      <c r="AP3" s="268" t="s">
        <v>541</v>
      </c>
      <c r="AQ3" s="268" t="s">
        <v>407</v>
      </c>
      <c r="AR3" s="268" t="s">
        <v>408</v>
      </c>
      <c r="AS3" s="268" t="s">
        <v>409</v>
      </c>
      <c r="AT3" s="268" t="s">
        <v>410</v>
      </c>
      <c r="AU3" s="268" t="s">
        <v>411</v>
      </c>
      <c r="AV3" s="268" t="s">
        <v>412</v>
      </c>
      <c r="AW3" s="268" t="s">
        <v>413</v>
      </c>
      <c r="AX3" s="268" t="s">
        <v>414</v>
      </c>
      <c r="AY3" s="270" t="s">
        <v>415</v>
      </c>
      <c r="AZ3" s="271" t="s">
        <v>416</v>
      </c>
      <c r="BA3" s="271" t="s">
        <v>417</v>
      </c>
      <c r="BB3" s="271" t="s">
        <v>418</v>
      </c>
      <c r="BC3" s="272" t="s">
        <v>419</v>
      </c>
      <c r="BD3" s="273" t="s">
        <v>539</v>
      </c>
      <c r="BE3" s="273" t="s">
        <v>540</v>
      </c>
      <c r="BF3" s="273" t="s">
        <v>547</v>
      </c>
      <c r="BG3" s="273" t="s">
        <v>548</v>
      </c>
      <c r="BH3" s="273" t="s">
        <v>546</v>
      </c>
      <c r="BI3" s="273" t="s">
        <v>549</v>
      </c>
      <c r="BJ3" s="273" t="s">
        <v>550</v>
      </c>
      <c r="BK3" s="73"/>
      <c r="BL3" s="73"/>
      <c r="BM3" s="73"/>
      <c r="BN3" s="73"/>
      <c r="BO3" s="73"/>
      <c r="BP3" s="73"/>
      <c r="BQ3" s="73"/>
      <c r="BR3" s="73"/>
      <c r="BS3" s="73"/>
      <c r="BT3" s="73"/>
      <c r="BU3" s="73"/>
      <c r="BV3" s="73"/>
      <c r="BW3" s="73"/>
      <c r="BX3" s="73"/>
      <c r="BY3" s="73"/>
      <c r="BZ3" s="73"/>
      <c r="CA3" s="73"/>
      <c r="CB3" s="73"/>
      <c r="CC3" s="73"/>
      <c r="CD3" s="73"/>
    </row>
    <row r="4" spans="1:66" ht="12.75">
      <c r="A4" s="79" t="s">
        <v>578</v>
      </c>
      <c r="B4" s="79" t="s">
        <v>301</v>
      </c>
      <c r="C4" s="79" t="s">
        <v>218</v>
      </c>
      <c r="D4" s="99">
        <v>7536</v>
      </c>
      <c r="E4" s="99">
        <v>1728</v>
      </c>
      <c r="F4" s="99" t="s">
        <v>396</v>
      </c>
      <c r="G4" s="99">
        <v>24</v>
      </c>
      <c r="H4" s="99">
        <v>25</v>
      </c>
      <c r="I4" s="99">
        <v>154</v>
      </c>
      <c r="J4" s="99">
        <v>731</v>
      </c>
      <c r="K4" s="99">
        <v>12</v>
      </c>
      <c r="L4" s="99">
        <v>1386</v>
      </c>
      <c r="M4" s="99">
        <v>580</v>
      </c>
      <c r="N4" s="99">
        <v>274</v>
      </c>
      <c r="O4" s="99">
        <v>245</v>
      </c>
      <c r="P4" s="159">
        <v>245</v>
      </c>
      <c r="Q4" s="99">
        <v>15</v>
      </c>
      <c r="R4" s="99">
        <v>31</v>
      </c>
      <c r="S4" s="99">
        <v>54</v>
      </c>
      <c r="T4" s="99">
        <v>55</v>
      </c>
      <c r="U4" s="99">
        <v>7</v>
      </c>
      <c r="V4" s="99">
        <v>39</v>
      </c>
      <c r="W4" s="99">
        <v>74</v>
      </c>
      <c r="X4" s="99">
        <v>29</v>
      </c>
      <c r="Y4" s="99">
        <v>112</v>
      </c>
      <c r="Z4" s="99">
        <v>59</v>
      </c>
      <c r="AA4" s="99" t="s">
        <v>657</v>
      </c>
      <c r="AB4" s="99" t="s">
        <v>657</v>
      </c>
      <c r="AC4" s="99" t="s">
        <v>657</v>
      </c>
      <c r="AD4" s="98" t="s">
        <v>375</v>
      </c>
      <c r="AE4" s="100">
        <v>0.22929936305732485</v>
      </c>
      <c r="AF4" s="100">
        <v>0.11</v>
      </c>
      <c r="AG4" s="98">
        <v>318.47133757961785</v>
      </c>
      <c r="AH4" s="98">
        <v>331.74097664543524</v>
      </c>
      <c r="AI4" s="100">
        <v>0.02</v>
      </c>
      <c r="AJ4" s="100">
        <v>0.769474</v>
      </c>
      <c r="AK4" s="100">
        <v>0.571429</v>
      </c>
      <c r="AL4" s="100">
        <v>0.767867</v>
      </c>
      <c r="AM4" s="100">
        <v>0.602911</v>
      </c>
      <c r="AN4" s="100">
        <v>0.629885</v>
      </c>
      <c r="AO4" s="98">
        <v>3251.0615711252653</v>
      </c>
      <c r="AP4" s="158">
        <v>1.51709259</v>
      </c>
      <c r="AQ4" s="100">
        <v>0.061224489795918366</v>
      </c>
      <c r="AR4" s="100">
        <v>0.4838709677419355</v>
      </c>
      <c r="AS4" s="98">
        <v>716.5605095541401</v>
      </c>
      <c r="AT4" s="98">
        <v>729.8301486199575</v>
      </c>
      <c r="AU4" s="98">
        <v>92.88747346072186</v>
      </c>
      <c r="AV4" s="98">
        <v>517.515923566879</v>
      </c>
      <c r="AW4" s="98">
        <v>981.9532908704883</v>
      </c>
      <c r="AX4" s="98">
        <v>384.8195329087049</v>
      </c>
      <c r="AY4" s="98">
        <v>1486.1995753715498</v>
      </c>
      <c r="AZ4" s="98">
        <v>782.9087048832272</v>
      </c>
      <c r="BA4" s="101" t="s">
        <v>657</v>
      </c>
      <c r="BB4" s="101" t="s">
        <v>657</v>
      </c>
      <c r="BC4" s="101" t="s">
        <v>657</v>
      </c>
      <c r="BD4" s="158">
        <v>1.3330572509999998</v>
      </c>
      <c r="BE4" s="158">
        <v>1.719434052</v>
      </c>
      <c r="BF4" s="162">
        <v>950</v>
      </c>
      <c r="BG4" s="162">
        <v>21</v>
      </c>
      <c r="BH4" s="162">
        <v>1805</v>
      </c>
      <c r="BI4" s="162">
        <v>962</v>
      </c>
      <c r="BJ4" s="162">
        <v>435</v>
      </c>
      <c r="BK4" s="97"/>
      <c r="BL4" s="97"/>
      <c r="BM4" s="97"/>
      <c r="BN4" s="97"/>
    </row>
    <row r="5" spans="1:66" ht="12.75">
      <c r="A5" s="79" t="s">
        <v>621</v>
      </c>
      <c r="B5" s="79" t="s">
        <v>345</v>
      </c>
      <c r="C5" s="79" t="s">
        <v>218</v>
      </c>
      <c r="D5" s="99">
        <v>6647</v>
      </c>
      <c r="E5" s="99">
        <v>1548</v>
      </c>
      <c r="F5" s="99" t="s">
        <v>397</v>
      </c>
      <c r="G5" s="99">
        <v>41</v>
      </c>
      <c r="H5" s="99">
        <v>22</v>
      </c>
      <c r="I5" s="99">
        <v>90</v>
      </c>
      <c r="J5" s="99">
        <v>602</v>
      </c>
      <c r="K5" s="99">
        <v>12</v>
      </c>
      <c r="L5" s="99">
        <v>1113</v>
      </c>
      <c r="M5" s="99">
        <v>266</v>
      </c>
      <c r="N5" s="99">
        <v>220</v>
      </c>
      <c r="O5" s="99">
        <v>194</v>
      </c>
      <c r="P5" s="159">
        <v>194</v>
      </c>
      <c r="Q5" s="99">
        <v>14</v>
      </c>
      <c r="R5" s="99">
        <v>33</v>
      </c>
      <c r="S5" s="99">
        <v>24</v>
      </c>
      <c r="T5" s="99">
        <v>42</v>
      </c>
      <c r="U5" s="99" t="s">
        <v>657</v>
      </c>
      <c r="V5" s="99">
        <v>39</v>
      </c>
      <c r="W5" s="99">
        <v>87</v>
      </c>
      <c r="X5" s="99">
        <v>23</v>
      </c>
      <c r="Y5" s="99">
        <v>135</v>
      </c>
      <c r="Z5" s="99">
        <v>44</v>
      </c>
      <c r="AA5" s="99" t="s">
        <v>657</v>
      </c>
      <c r="AB5" s="99" t="s">
        <v>657</v>
      </c>
      <c r="AC5" s="99" t="s">
        <v>657</v>
      </c>
      <c r="AD5" s="98" t="s">
        <v>375</v>
      </c>
      <c r="AE5" s="100">
        <v>0.23288701669926282</v>
      </c>
      <c r="AF5" s="100">
        <v>0.14</v>
      </c>
      <c r="AG5" s="98">
        <v>616.8196178727245</v>
      </c>
      <c r="AH5" s="98">
        <v>330.97638032194976</v>
      </c>
      <c r="AI5" s="100">
        <v>0.013999999999999999</v>
      </c>
      <c r="AJ5" s="100">
        <v>0.721823</v>
      </c>
      <c r="AK5" s="100">
        <v>0.521739</v>
      </c>
      <c r="AL5" s="100">
        <v>0.759727</v>
      </c>
      <c r="AM5" s="100">
        <v>0.309302</v>
      </c>
      <c r="AN5" s="100">
        <v>0.504587</v>
      </c>
      <c r="AO5" s="98">
        <v>2918.6098992026477</v>
      </c>
      <c r="AP5" s="158">
        <v>1.3695014950000002</v>
      </c>
      <c r="AQ5" s="100">
        <v>0.07216494845360824</v>
      </c>
      <c r="AR5" s="100">
        <v>0.42424242424242425</v>
      </c>
      <c r="AS5" s="98">
        <v>361.06514216939973</v>
      </c>
      <c r="AT5" s="98">
        <v>631.8639987964496</v>
      </c>
      <c r="AU5" s="98" t="s">
        <v>657</v>
      </c>
      <c r="AV5" s="98">
        <v>586.7308560252745</v>
      </c>
      <c r="AW5" s="98">
        <v>1308.8611403640741</v>
      </c>
      <c r="AX5" s="98">
        <v>346.02076124567475</v>
      </c>
      <c r="AY5" s="98">
        <v>2030.9914247028735</v>
      </c>
      <c r="AZ5" s="98">
        <v>661.9527606438995</v>
      </c>
      <c r="BA5" s="100" t="s">
        <v>657</v>
      </c>
      <c r="BB5" s="100" t="s">
        <v>657</v>
      </c>
      <c r="BC5" s="100" t="s">
        <v>657</v>
      </c>
      <c r="BD5" s="158">
        <v>1.183559799</v>
      </c>
      <c r="BE5" s="158">
        <v>1.576366119</v>
      </c>
      <c r="BF5" s="162">
        <v>834</v>
      </c>
      <c r="BG5" s="162">
        <v>23</v>
      </c>
      <c r="BH5" s="162">
        <v>1465</v>
      </c>
      <c r="BI5" s="162">
        <v>860</v>
      </c>
      <c r="BJ5" s="162">
        <v>436</v>
      </c>
      <c r="BK5" s="97"/>
      <c r="BL5" s="97"/>
      <c r="BM5" s="97"/>
      <c r="BN5" s="97"/>
    </row>
    <row r="6" spans="1:66" ht="12.75">
      <c r="A6" s="79" t="s">
        <v>576</v>
      </c>
      <c r="B6" s="79" t="s">
        <v>299</v>
      </c>
      <c r="C6" s="79" t="s">
        <v>218</v>
      </c>
      <c r="D6" s="99">
        <v>6498</v>
      </c>
      <c r="E6" s="99">
        <v>1662</v>
      </c>
      <c r="F6" s="99" t="s">
        <v>398</v>
      </c>
      <c r="G6" s="99">
        <v>48</v>
      </c>
      <c r="H6" s="99">
        <v>27</v>
      </c>
      <c r="I6" s="99">
        <v>172</v>
      </c>
      <c r="J6" s="99">
        <v>812</v>
      </c>
      <c r="K6" s="99">
        <v>10</v>
      </c>
      <c r="L6" s="99">
        <v>1257</v>
      </c>
      <c r="M6" s="99">
        <v>620</v>
      </c>
      <c r="N6" s="99">
        <v>290</v>
      </c>
      <c r="O6" s="99">
        <v>127</v>
      </c>
      <c r="P6" s="159">
        <v>127</v>
      </c>
      <c r="Q6" s="99">
        <v>19</v>
      </c>
      <c r="R6" s="99">
        <v>46</v>
      </c>
      <c r="S6" s="99">
        <v>17</v>
      </c>
      <c r="T6" s="99">
        <v>26</v>
      </c>
      <c r="U6" s="99">
        <v>7</v>
      </c>
      <c r="V6" s="99">
        <v>18</v>
      </c>
      <c r="W6" s="99">
        <v>38</v>
      </c>
      <c r="X6" s="99">
        <v>23</v>
      </c>
      <c r="Y6" s="99">
        <v>97</v>
      </c>
      <c r="Z6" s="99">
        <v>44</v>
      </c>
      <c r="AA6" s="99" t="s">
        <v>657</v>
      </c>
      <c r="AB6" s="99" t="s">
        <v>657</v>
      </c>
      <c r="AC6" s="99" t="s">
        <v>657</v>
      </c>
      <c r="AD6" s="98" t="s">
        <v>375</v>
      </c>
      <c r="AE6" s="100">
        <v>0.25577100646352724</v>
      </c>
      <c r="AF6" s="100">
        <v>0.08</v>
      </c>
      <c r="AG6" s="98">
        <v>738.6888273314867</v>
      </c>
      <c r="AH6" s="98">
        <v>415.5124653739612</v>
      </c>
      <c r="AI6" s="100">
        <v>0.026000000000000002</v>
      </c>
      <c r="AJ6" s="100">
        <v>0.751852</v>
      </c>
      <c r="AK6" s="100">
        <v>0.47619</v>
      </c>
      <c r="AL6" s="100">
        <v>0.79206</v>
      </c>
      <c r="AM6" s="100">
        <v>0.56933</v>
      </c>
      <c r="AN6" s="100">
        <v>0.62635</v>
      </c>
      <c r="AO6" s="98">
        <v>1954.4475223145582</v>
      </c>
      <c r="AP6" s="158">
        <v>0.8143983459</v>
      </c>
      <c r="AQ6" s="100">
        <v>0.14960629921259844</v>
      </c>
      <c r="AR6" s="100">
        <v>0.41304347826086957</v>
      </c>
      <c r="AS6" s="98">
        <v>261.61895967990154</v>
      </c>
      <c r="AT6" s="98">
        <v>400.12311480455526</v>
      </c>
      <c r="AU6" s="98">
        <v>107.7254539858418</v>
      </c>
      <c r="AV6" s="98">
        <v>277.0083102493075</v>
      </c>
      <c r="AW6" s="98">
        <v>584.7953216374269</v>
      </c>
      <c r="AX6" s="98">
        <v>353.9550630963373</v>
      </c>
      <c r="AY6" s="98">
        <v>1492.7670052323792</v>
      </c>
      <c r="AZ6" s="98">
        <v>677.1314250538627</v>
      </c>
      <c r="BA6" s="100" t="s">
        <v>657</v>
      </c>
      <c r="BB6" s="100" t="s">
        <v>657</v>
      </c>
      <c r="BC6" s="100" t="s">
        <v>657</v>
      </c>
      <c r="BD6" s="158">
        <v>0.6789272308</v>
      </c>
      <c r="BE6" s="158">
        <v>0.9689795685</v>
      </c>
      <c r="BF6" s="162">
        <v>1080</v>
      </c>
      <c r="BG6" s="162">
        <v>21</v>
      </c>
      <c r="BH6" s="162">
        <v>1587</v>
      </c>
      <c r="BI6" s="162">
        <v>1089</v>
      </c>
      <c r="BJ6" s="162">
        <v>463</v>
      </c>
      <c r="BK6" s="97"/>
      <c r="BL6" s="97"/>
      <c r="BM6" s="97"/>
      <c r="BN6" s="97"/>
    </row>
    <row r="7" spans="1:66" ht="12.75">
      <c r="A7" s="79" t="s">
        <v>602</v>
      </c>
      <c r="B7" s="79" t="s">
        <v>326</v>
      </c>
      <c r="C7" s="79" t="s">
        <v>218</v>
      </c>
      <c r="D7" s="99">
        <v>10097</v>
      </c>
      <c r="E7" s="99">
        <v>2620</v>
      </c>
      <c r="F7" s="99" t="s">
        <v>396</v>
      </c>
      <c r="G7" s="99">
        <v>72</v>
      </c>
      <c r="H7" s="99">
        <v>43</v>
      </c>
      <c r="I7" s="99">
        <v>256</v>
      </c>
      <c r="J7" s="99">
        <v>1310</v>
      </c>
      <c r="K7" s="99">
        <v>1259</v>
      </c>
      <c r="L7" s="99">
        <v>1808</v>
      </c>
      <c r="M7" s="99">
        <v>949</v>
      </c>
      <c r="N7" s="99">
        <v>464</v>
      </c>
      <c r="O7" s="99">
        <v>262</v>
      </c>
      <c r="P7" s="159">
        <v>262</v>
      </c>
      <c r="Q7" s="99">
        <v>35</v>
      </c>
      <c r="R7" s="99">
        <v>83</v>
      </c>
      <c r="S7" s="99">
        <v>41</v>
      </c>
      <c r="T7" s="99">
        <v>44</v>
      </c>
      <c r="U7" s="99">
        <v>14</v>
      </c>
      <c r="V7" s="99">
        <v>43</v>
      </c>
      <c r="W7" s="99">
        <v>50</v>
      </c>
      <c r="X7" s="99">
        <v>50</v>
      </c>
      <c r="Y7" s="99">
        <v>181</v>
      </c>
      <c r="Z7" s="99">
        <v>62</v>
      </c>
      <c r="AA7" s="99" t="s">
        <v>657</v>
      </c>
      <c r="AB7" s="99" t="s">
        <v>657</v>
      </c>
      <c r="AC7" s="99" t="s">
        <v>657</v>
      </c>
      <c r="AD7" s="98" t="s">
        <v>375</v>
      </c>
      <c r="AE7" s="100">
        <v>0.2594830147568585</v>
      </c>
      <c r="AF7" s="100">
        <v>0.1</v>
      </c>
      <c r="AG7" s="98">
        <v>713.0830939883134</v>
      </c>
      <c r="AH7" s="98">
        <v>425.86907002079823</v>
      </c>
      <c r="AI7" s="100">
        <v>0.025</v>
      </c>
      <c r="AJ7" s="100">
        <v>0.799756</v>
      </c>
      <c r="AK7" s="100">
        <v>0.797845</v>
      </c>
      <c r="AL7" s="100">
        <v>0.785745</v>
      </c>
      <c r="AM7" s="100">
        <v>0.587616</v>
      </c>
      <c r="AN7" s="100">
        <v>0.625337</v>
      </c>
      <c r="AO7" s="98">
        <v>2594.830147568585</v>
      </c>
      <c r="AP7" s="158">
        <v>1.087385483</v>
      </c>
      <c r="AQ7" s="100">
        <v>0.13358778625954199</v>
      </c>
      <c r="AR7" s="100">
        <v>0.42168674698795183</v>
      </c>
      <c r="AS7" s="98">
        <v>406.0612062989007</v>
      </c>
      <c r="AT7" s="98">
        <v>435.77300188174706</v>
      </c>
      <c r="AU7" s="98">
        <v>138.65504605328314</v>
      </c>
      <c r="AV7" s="98">
        <v>425.86907002079823</v>
      </c>
      <c r="AW7" s="98">
        <v>495.1965930474398</v>
      </c>
      <c r="AX7" s="98">
        <v>495.1965930474398</v>
      </c>
      <c r="AY7" s="98">
        <v>1792.6116668317322</v>
      </c>
      <c r="AZ7" s="98">
        <v>614.0437753788254</v>
      </c>
      <c r="BA7" s="100" t="s">
        <v>657</v>
      </c>
      <c r="BB7" s="100" t="s">
        <v>657</v>
      </c>
      <c r="BC7" s="100" t="s">
        <v>657</v>
      </c>
      <c r="BD7" s="158">
        <v>0.9596912383999999</v>
      </c>
      <c r="BE7" s="158">
        <v>1.22734108</v>
      </c>
      <c r="BF7" s="162">
        <v>1638</v>
      </c>
      <c r="BG7" s="162">
        <v>1578</v>
      </c>
      <c r="BH7" s="162">
        <v>2301</v>
      </c>
      <c r="BI7" s="162">
        <v>1615</v>
      </c>
      <c r="BJ7" s="162">
        <v>742</v>
      </c>
      <c r="BK7" s="97"/>
      <c r="BL7" s="97"/>
      <c r="BM7" s="97"/>
      <c r="BN7" s="97"/>
    </row>
    <row r="8" spans="1:66" ht="12.75">
      <c r="A8" s="79" t="s">
        <v>617</v>
      </c>
      <c r="B8" s="79" t="s">
        <v>341</v>
      </c>
      <c r="C8" s="79" t="s">
        <v>218</v>
      </c>
      <c r="D8" s="99">
        <v>8120</v>
      </c>
      <c r="E8" s="99">
        <v>1748</v>
      </c>
      <c r="F8" s="99" t="s">
        <v>397</v>
      </c>
      <c r="G8" s="99">
        <v>45</v>
      </c>
      <c r="H8" s="99">
        <v>22</v>
      </c>
      <c r="I8" s="99">
        <v>175</v>
      </c>
      <c r="J8" s="99">
        <v>896</v>
      </c>
      <c r="K8" s="99">
        <v>22</v>
      </c>
      <c r="L8" s="99">
        <v>1554</v>
      </c>
      <c r="M8" s="99">
        <v>644</v>
      </c>
      <c r="N8" s="99">
        <v>296</v>
      </c>
      <c r="O8" s="99">
        <v>261</v>
      </c>
      <c r="P8" s="159">
        <v>261</v>
      </c>
      <c r="Q8" s="99">
        <v>21</v>
      </c>
      <c r="R8" s="99">
        <v>39</v>
      </c>
      <c r="S8" s="99">
        <v>49</v>
      </c>
      <c r="T8" s="99">
        <v>27</v>
      </c>
      <c r="U8" s="99" t="s">
        <v>657</v>
      </c>
      <c r="V8" s="99">
        <v>62</v>
      </c>
      <c r="W8" s="99">
        <v>72</v>
      </c>
      <c r="X8" s="99">
        <v>23</v>
      </c>
      <c r="Y8" s="99">
        <v>136</v>
      </c>
      <c r="Z8" s="99">
        <v>56</v>
      </c>
      <c r="AA8" s="99" t="s">
        <v>657</v>
      </c>
      <c r="AB8" s="99" t="s">
        <v>657</v>
      </c>
      <c r="AC8" s="99" t="s">
        <v>657</v>
      </c>
      <c r="AD8" s="98" t="s">
        <v>375</v>
      </c>
      <c r="AE8" s="100">
        <v>0.21527093596059113</v>
      </c>
      <c r="AF8" s="100">
        <v>0.12</v>
      </c>
      <c r="AG8" s="98">
        <v>554.1871921182266</v>
      </c>
      <c r="AH8" s="98">
        <v>270.935960591133</v>
      </c>
      <c r="AI8" s="100">
        <v>0.022000000000000002</v>
      </c>
      <c r="AJ8" s="100">
        <v>0.762553</v>
      </c>
      <c r="AK8" s="100">
        <v>0.611111</v>
      </c>
      <c r="AL8" s="100">
        <v>0.806854</v>
      </c>
      <c r="AM8" s="100">
        <v>0.569408</v>
      </c>
      <c r="AN8" s="100">
        <v>0.607803</v>
      </c>
      <c r="AO8" s="98">
        <v>3214.285714285714</v>
      </c>
      <c r="AP8" s="158">
        <v>1.518545532</v>
      </c>
      <c r="AQ8" s="100">
        <v>0.08045977011494253</v>
      </c>
      <c r="AR8" s="100">
        <v>0.5384615384615384</v>
      </c>
      <c r="AS8" s="98">
        <v>603.448275862069</v>
      </c>
      <c r="AT8" s="98">
        <v>332.51231527093597</v>
      </c>
      <c r="AU8" s="98" t="s">
        <v>657</v>
      </c>
      <c r="AV8" s="98">
        <v>763.5467980295566</v>
      </c>
      <c r="AW8" s="98">
        <v>886.6995073891626</v>
      </c>
      <c r="AX8" s="98">
        <v>283.2512315270936</v>
      </c>
      <c r="AY8" s="98">
        <v>1674.8768472906404</v>
      </c>
      <c r="AZ8" s="98">
        <v>689.6551724137931</v>
      </c>
      <c r="BA8" s="101" t="s">
        <v>657</v>
      </c>
      <c r="BB8" s="101" t="s">
        <v>657</v>
      </c>
      <c r="BC8" s="101" t="s">
        <v>657</v>
      </c>
      <c r="BD8" s="158">
        <v>1.3398886110000001</v>
      </c>
      <c r="BE8" s="158">
        <v>1.714391785</v>
      </c>
      <c r="BF8" s="162">
        <v>1175</v>
      </c>
      <c r="BG8" s="162">
        <v>36</v>
      </c>
      <c r="BH8" s="162">
        <v>1926</v>
      </c>
      <c r="BI8" s="162">
        <v>1131</v>
      </c>
      <c r="BJ8" s="162">
        <v>487</v>
      </c>
      <c r="BK8" s="97"/>
      <c r="BL8" s="97"/>
      <c r="BM8" s="97"/>
      <c r="BN8" s="97"/>
    </row>
    <row r="9" spans="1:66" ht="12.75">
      <c r="A9" s="79" t="s">
        <v>631</v>
      </c>
      <c r="B9" s="79" t="s">
        <v>355</v>
      </c>
      <c r="C9" s="79" t="s">
        <v>218</v>
      </c>
      <c r="D9" s="99">
        <v>3900</v>
      </c>
      <c r="E9" s="99">
        <v>1707</v>
      </c>
      <c r="F9" s="99" t="s">
        <v>398</v>
      </c>
      <c r="G9" s="99">
        <v>40</v>
      </c>
      <c r="H9" s="99">
        <v>14</v>
      </c>
      <c r="I9" s="99">
        <v>176</v>
      </c>
      <c r="J9" s="99">
        <v>550</v>
      </c>
      <c r="K9" s="99">
        <v>21</v>
      </c>
      <c r="L9" s="99">
        <v>588</v>
      </c>
      <c r="M9" s="99">
        <v>324</v>
      </c>
      <c r="N9" s="99">
        <v>239</v>
      </c>
      <c r="O9" s="99">
        <v>265</v>
      </c>
      <c r="P9" s="159">
        <v>265</v>
      </c>
      <c r="Q9" s="99">
        <v>15</v>
      </c>
      <c r="R9" s="99">
        <v>39</v>
      </c>
      <c r="S9" s="99">
        <v>29</v>
      </c>
      <c r="T9" s="99">
        <v>88</v>
      </c>
      <c r="U9" s="99" t="s">
        <v>657</v>
      </c>
      <c r="V9" s="99">
        <v>56</v>
      </c>
      <c r="W9" s="99">
        <v>88</v>
      </c>
      <c r="X9" s="99">
        <v>22</v>
      </c>
      <c r="Y9" s="99">
        <v>102</v>
      </c>
      <c r="Z9" s="99">
        <v>45</v>
      </c>
      <c r="AA9" s="99" t="s">
        <v>657</v>
      </c>
      <c r="AB9" s="99" t="s">
        <v>657</v>
      </c>
      <c r="AC9" s="99" t="s">
        <v>657</v>
      </c>
      <c r="AD9" s="98" t="s">
        <v>375</v>
      </c>
      <c r="AE9" s="100">
        <v>0.4376923076923077</v>
      </c>
      <c r="AF9" s="100">
        <v>0.07</v>
      </c>
      <c r="AG9" s="98">
        <v>1025.6410256410256</v>
      </c>
      <c r="AH9" s="98">
        <v>358.97435897435895</v>
      </c>
      <c r="AI9" s="100">
        <v>0.045</v>
      </c>
      <c r="AJ9" s="100">
        <v>0.767085</v>
      </c>
      <c r="AK9" s="100">
        <v>0.538462</v>
      </c>
      <c r="AL9" s="100">
        <v>0.805479</v>
      </c>
      <c r="AM9" s="100">
        <v>0.417526</v>
      </c>
      <c r="AN9" s="100">
        <v>0.625654</v>
      </c>
      <c r="AO9" s="98">
        <v>6794.871794871795</v>
      </c>
      <c r="AP9" s="158">
        <v>2.16560257</v>
      </c>
      <c r="AQ9" s="100">
        <v>0.05660377358490566</v>
      </c>
      <c r="AR9" s="100">
        <v>0.38461538461538464</v>
      </c>
      <c r="AS9" s="98">
        <v>743.5897435897435</v>
      </c>
      <c r="AT9" s="98">
        <v>2256.4102564102564</v>
      </c>
      <c r="AU9" s="98" t="s">
        <v>657</v>
      </c>
      <c r="AV9" s="98">
        <v>1435.8974358974358</v>
      </c>
      <c r="AW9" s="98">
        <v>2256.4102564102564</v>
      </c>
      <c r="AX9" s="98">
        <v>564.1025641025641</v>
      </c>
      <c r="AY9" s="98">
        <v>2615.3846153846152</v>
      </c>
      <c r="AZ9" s="98">
        <v>1153.8461538461538</v>
      </c>
      <c r="BA9" s="101" t="s">
        <v>657</v>
      </c>
      <c r="BB9" s="101" t="s">
        <v>657</v>
      </c>
      <c r="BC9" s="101" t="s">
        <v>657</v>
      </c>
      <c r="BD9" s="158">
        <v>1.912689209</v>
      </c>
      <c r="BE9" s="158">
        <v>2.442655945</v>
      </c>
      <c r="BF9" s="162">
        <v>717</v>
      </c>
      <c r="BG9" s="162">
        <v>39</v>
      </c>
      <c r="BH9" s="162">
        <v>730</v>
      </c>
      <c r="BI9" s="162">
        <v>776</v>
      </c>
      <c r="BJ9" s="162">
        <v>382</v>
      </c>
      <c r="BK9" s="97"/>
      <c r="BL9" s="97"/>
      <c r="BM9" s="97"/>
      <c r="BN9" s="97"/>
    </row>
    <row r="10" spans="1:66" ht="12.75">
      <c r="A10" s="79" t="s">
        <v>573</v>
      </c>
      <c r="B10" s="79" t="s">
        <v>296</v>
      </c>
      <c r="C10" s="79" t="s">
        <v>218</v>
      </c>
      <c r="D10" s="99">
        <v>10315</v>
      </c>
      <c r="E10" s="99">
        <v>2066</v>
      </c>
      <c r="F10" s="99" t="s">
        <v>397</v>
      </c>
      <c r="G10" s="99">
        <v>48</v>
      </c>
      <c r="H10" s="99">
        <v>44</v>
      </c>
      <c r="I10" s="99">
        <v>193</v>
      </c>
      <c r="J10" s="99">
        <v>1000</v>
      </c>
      <c r="K10" s="99">
        <v>989</v>
      </c>
      <c r="L10" s="99">
        <v>1684</v>
      </c>
      <c r="M10" s="99">
        <v>611</v>
      </c>
      <c r="N10" s="99">
        <v>305</v>
      </c>
      <c r="O10" s="99">
        <v>142</v>
      </c>
      <c r="P10" s="159">
        <v>142</v>
      </c>
      <c r="Q10" s="99">
        <v>22</v>
      </c>
      <c r="R10" s="99">
        <v>57</v>
      </c>
      <c r="S10" s="99">
        <v>23</v>
      </c>
      <c r="T10" s="99">
        <v>20</v>
      </c>
      <c r="U10" s="99">
        <v>9</v>
      </c>
      <c r="V10" s="99">
        <v>8</v>
      </c>
      <c r="W10" s="99">
        <v>59</v>
      </c>
      <c r="X10" s="99">
        <v>47</v>
      </c>
      <c r="Y10" s="99">
        <v>146</v>
      </c>
      <c r="Z10" s="99">
        <v>60</v>
      </c>
      <c r="AA10" s="99" t="s">
        <v>657</v>
      </c>
      <c r="AB10" s="99" t="s">
        <v>657</v>
      </c>
      <c r="AC10" s="99" t="s">
        <v>657</v>
      </c>
      <c r="AD10" s="98" t="s">
        <v>375</v>
      </c>
      <c r="AE10" s="100">
        <v>0.20029083858458555</v>
      </c>
      <c r="AF10" s="100">
        <v>0.15</v>
      </c>
      <c r="AG10" s="98">
        <v>465.341735336888</v>
      </c>
      <c r="AH10" s="98">
        <v>426.56325739214736</v>
      </c>
      <c r="AI10" s="100">
        <v>0.019</v>
      </c>
      <c r="AJ10" s="100">
        <v>0.772201</v>
      </c>
      <c r="AK10" s="100">
        <v>0.789936</v>
      </c>
      <c r="AL10" s="100">
        <v>0.732811</v>
      </c>
      <c r="AM10" s="100">
        <v>0.519558</v>
      </c>
      <c r="AN10" s="100">
        <v>0.564815</v>
      </c>
      <c r="AO10" s="98">
        <v>1376.6359670382938</v>
      </c>
      <c r="AP10" s="158">
        <v>0.682488327</v>
      </c>
      <c r="AQ10" s="100">
        <v>0.15492957746478872</v>
      </c>
      <c r="AR10" s="100">
        <v>0.38596491228070173</v>
      </c>
      <c r="AS10" s="98">
        <v>222.97624818225884</v>
      </c>
      <c r="AT10" s="98">
        <v>193.89238972370333</v>
      </c>
      <c r="AU10" s="98">
        <v>87.2515753756665</v>
      </c>
      <c r="AV10" s="98">
        <v>77.55695588948134</v>
      </c>
      <c r="AW10" s="98">
        <v>571.9825496849248</v>
      </c>
      <c r="AX10" s="98">
        <v>455.64711585070285</v>
      </c>
      <c r="AY10" s="98">
        <v>1415.4144449830344</v>
      </c>
      <c r="AZ10" s="98">
        <v>581.67716917111</v>
      </c>
      <c r="BA10" s="100" t="s">
        <v>657</v>
      </c>
      <c r="BB10" s="100" t="s">
        <v>657</v>
      </c>
      <c r="BC10" s="100" t="s">
        <v>657</v>
      </c>
      <c r="BD10" s="158">
        <v>0.5748542404</v>
      </c>
      <c r="BE10" s="158">
        <v>0.8044233704</v>
      </c>
      <c r="BF10" s="162">
        <v>1295</v>
      </c>
      <c r="BG10" s="162">
        <v>1252</v>
      </c>
      <c r="BH10" s="162">
        <v>2298</v>
      </c>
      <c r="BI10" s="162">
        <v>1176</v>
      </c>
      <c r="BJ10" s="162">
        <v>540</v>
      </c>
      <c r="BK10" s="97"/>
      <c r="BL10" s="97"/>
      <c r="BM10" s="97"/>
      <c r="BN10" s="97"/>
    </row>
    <row r="11" spans="1:66" ht="12.75">
      <c r="A11" s="79" t="s">
        <v>632</v>
      </c>
      <c r="B11" s="79" t="s">
        <v>356</v>
      </c>
      <c r="C11" s="79" t="s">
        <v>218</v>
      </c>
      <c r="D11" s="99">
        <v>6772</v>
      </c>
      <c r="E11" s="99">
        <v>292</v>
      </c>
      <c r="F11" s="99" t="s">
        <v>397</v>
      </c>
      <c r="G11" s="99" t="s">
        <v>657</v>
      </c>
      <c r="H11" s="99">
        <v>8</v>
      </c>
      <c r="I11" s="99">
        <v>44</v>
      </c>
      <c r="J11" s="99">
        <v>278</v>
      </c>
      <c r="K11" s="99" t="s">
        <v>657</v>
      </c>
      <c r="L11" s="99">
        <v>1151</v>
      </c>
      <c r="M11" s="99">
        <v>112</v>
      </c>
      <c r="N11" s="99">
        <v>57</v>
      </c>
      <c r="O11" s="99">
        <v>54</v>
      </c>
      <c r="P11" s="159">
        <v>54</v>
      </c>
      <c r="Q11" s="99" t="s">
        <v>657</v>
      </c>
      <c r="R11" s="99">
        <v>6</v>
      </c>
      <c r="S11" s="99">
        <v>18</v>
      </c>
      <c r="T11" s="99" t="s">
        <v>657</v>
      </c>
      <c r="U11" s="99" t="s">
        <v>657</v>
      </c>
      <c r="V11" s="99">
        <v>10</v>
      </c>
      <c r="W11" s="99">
        <v>20</v>
      </c>
      <c r="X11" s="99">
        <v>12</v>
      </c>
      <c r="Y11" s="99">
        <v>34</v>
      </c>
      <c r="Z11" s="99">
        <v>13</v>
      </c>
      <c r="AA11" s="99" t="s">
        <v>657</v>
      </c>
      <c r="AB11" s="99" t="s">
        <v>657</v>
      </c>
      <c r="AC11" s="99" t="s">
        <v>657</v>
      </c>
      <c r="AD11" s="98" t="s">
        <v>375</v>
      </c>
      <c r="AE11" s="100">
        <v>0.04311872415829888</v>
      </c>
      <c r="AF11" s="100">
        <v>0.14</v>
      </c>
      <c r="AG11" s="98" t="s">
        <v>657</v>
      </c>
      <c r="AH11" s="98">
        <v>118.13349084465446</v>
      </c>
      <c r="AI11" s="100">
        <v>0.006</v>
      </c>
      <c r="AJ11" s="100">
        <v>0.545098</v>
      </c>
      <c r="AK11" s="100" t="s">
        <v>657</v>
      </c>
      <c r="AL11" s="100">
        <v>0.664166</v>
      </c>
      <c r="AM11" s="100">
        <v>0.377104</v>
      </c>
      <c r="AN11" s="100">
        <v>0.398601</v>
      </c>
      <c r="AO11" s="98">
        <v>797.4010632014176</v>
      </c>
      <c r="AP11" s="158">
        <v>0.6744767761</v>
      </c>
      <c r="AQ11" s="100" t="s">
        <v>657</v>
      </c>
      <c r="AR11" s="100" t="s">
        <v>657</v>
      </c>
      <c r="AS11" s="98">
        <v>265.80035440047254</v>
      </c>
      <c r="AT11" s="98" t="s">
        <v>657</v>
      </c>
      <c r="AU11" s="98" t="s">
        <v>657</v>
      </c>
      <c r="AV11" s="98">
        <v>147.66686355581808</v>
      </c>
      <c r="AW11" s="98">
        <v>295.33372711163616</v>
      </c>
      <c r="AX11" s="98">
        <v>177.20023626698168</v>
      </c>
      <c r="AY11" s="98">
        <v>502.06733608978146</v>
      </c>
      <c r="AZ11" s="98">
        <v>191.9669226225635</v>
      </c>
      <c r="BA11" s="100" t="s">
        <v>657</v>
      </c>
      <c r="BB11" s="100" t="s">
        <v>657</v>
      </c>
      <c r="BC11" s="100" t="s">
        <v>657</v>
      </c>
      <c r="BD11" s="158">
        <v>0.5066876984</v>
      </c>
      <c r="BE11" s="158">
        <v>0.8800458527</v>
      </c>
      <c r="BF11" s="162">
        <v>510</v>
      </c>
      <c r="BG11" s="162" t="s">
        <v>657</v>
      </c>
      <c r="BH11" s="162">
        <v>1733</v>
      </c>
      <c r="BI11" s="162">
        <v>297</v>
      </c>
      <c r="BJ11" s="162">
        <v>143</v>
      </c>
      <c r="BK11" s="97"/>
      <c r="BL11" s="97"/>
      <c r="BM11" s="97"/>
      <c r="BN11" s="97"/>
    </row>
    <row r="12" spans="1:66" ht="12.75">
      <c r="A12" s="79" t="s">
        <v>608</v>
      </c>
      <c r="B12" s="79" t="s">
        <v>332</v>
      </c>
      <c r="C12" s="79" t="s">
        <v>218</v>
      </c>
      <c r="D12" s="99">
        <v>12018</v>
      </c>
      <c r="E12" s="99">
        <v>2132</v>
      </c>
      <c r="F12" s="99" t="s">
        <v>398</v>
      </c>
      <c r="G12" s="99">
        <v>36</v>
      </c>
      <c r="H12" s="99">
        <v>24</v>
      </c>
      <c r="I12" s="99">
        <v>246</v>
      </c>
      <c r="J12" s="99">
        <v>767</v>
      </c>
      <c r="K12" s="99">
        <v>432</v>
      </c>
      <c r="L12" s="99">
        <v>2450</v>
      </c>
      <c r="M12" s="99">
        <v>864</v>
      </c>
      <c r="N12" s="99">
        <v>396</v>
      </c>
      <c r="O12" s="99">
        <v>180</v>
      </c>
      <c r="P12" s="159">
        <v>180</v>
      </c>
      <c r="Q12" s="99">
        <v>23</v>
      </c>
      <c r="R12" s="99">
        <v>54</v>
      </c>
      <c r="S12" s="99">
        <v>38</v>
      </c>
      <c r="T12" s="99">
        <v>36</v>
      </c>
      <c r="U12" s="99">
        <v>11</v>
      </c>
      <c r="V12" s="99">
        <v>20</v>
      </c>
      <c r="W12" s="99">
        <v>57</v>
      </c>
      <c r="X12" s="99">
        <v>43</v>
      </c>
      <c r="Y12" s="99">
        <v>140</v>
      </c>
      <c r="Z12" s="99">
        <v>59</v>
      </c>
      <c r="AA12" s="99" t="s">
        <v>657</v>
      </c>
      <c r="AB12" s="99" t="s">
        <v>657</v>
      </c>
      <c r="AC12" s="99" t="s">
        <v>657</v>
      </c>
      <c r="AD12" s="98" t="s">
        <v>375</v>
      </c>
      <c r="AE12" s="100">
        <v>0.17740056581793975</v>
      </c>
      <c r="AF12" s="100">
        <v>0.07</v>
      </c>
      <c r="AG12" s="98">
        <v>299.5506739890165</v>
      </c>
      <c r="AH12" s="98">
        <v>199.70044932601098</v>
      </c>
      <c r="AI12" s="100">
        <v>0.02</v>
      </c>
      <c r="AJ12" s="100">
        <v>0.478478</v>
      </c>
      <c r="AK12" s="100">
        <v>0.853755</v>
      </c>
      <c r="AL12" s="100">
        <v>0.821872</v>
      </c>
      <c r="AM12" s="100">
        <v>0.587356</v>
      </c>
      <c r="AN12" s="100">
        <v>0.619718</v>
      </c>
      <c r="AO12" s="98">
        <v>1497.7533699450823</v>
      </c>
      <c r="AP12" s="158">
        <v>0.7638491821</v>
      </c>
      <c r="AQ12" s="100">
        <v>0.12777777777777777</v>
      </c>
      <c r="AR12" s="100">
        <v>0.42592592592592593</v>
      </c>
      <c r="AS12" s="98">
        <v>316.1923780995174</v>
      </c>
      <c r="AT12" s="98">
        <v>299.5506739890165</v>
      </c>
      <c r="AU12" s="98">
        <v>91.52937260775504</v>
      </c>
      <c r="AV12" s="98">
        <v>166.41704110500916</v>
      </c>
      <c r="AW12" s="98">
        <v>474.2885671492761</v>
      </c>
      <c r="AX12" s="98">
        <v>357.7966383757697</v>
      </c>
      <c r="AY12" s="98">
        <v>1164.919287735064</v>
      </c>
      <c r="AZ12" s="98">
        <v>490.930271259777</v>
      </c>
      <c r="BA12" s="100" t="s">
        <v>657</v>
      </c>
      <c r="BB12" s="100" t="s">
        <v>657</v>
      </c>
      <c r="BC12" s="100" t="s">
        <v>657</v>
      </c>
      <c r="BD12" s="158">
        <v>0.6563327789</v>
      </c>
      <c r="BE12" s="158">
        <v>0.8839543915</v>
      </c>
      <c r="BF12" s="162">
        <v>1603</v>
      </c>
      <c r="BG12" s="162">
        <v>506</v>
      </c>
      <c r="BH12" s="162">
        <v>2981</v>
      </c>
      <c r="BI12" s="162">
        <v>1471</v>
      </c>
      <c r="BJ12" s="162">
        <v>639</v>
      </c>
      <c r="BK12" s="97"/>
      <c r="BL12" s="97"/>
      <c r="BM12" s="97"/>
      <c r="BN12" s="97"/>
    </row>
    <row r="13" spans="1:66" ht="12.75">
      <c r="A13" s="79" t="s">
        <v>575</v>
      </c>
      <c r="B13" s="79" t="s">
        <v>298</v>
      </c>
      <c r="C13" s="79" t="s">
        <v>218</v>
      </c>
      <c r="D13" s="99">
        <v>7920</v>
      </c>
      <c r="E13" s="99">
        <v>1611</v>
      </c>
      <c r="F13" s="99" t="s">
        <v>397</v>
      </c>
      <c r="G13" s="99">
        <v>34</v>
      </c>
      <c r="H13" s="99">
        <v>30</v>
      </c>
      <c r="I13" s="99">
        <v>135</v>
      </c>
      <c r="J13" s="99">
        <v>649</v>
      </c>
      <c r="K13" s="99">
        <v>638</v>
      </c>
      <c r="L13" s="99">
        <v>1091</v>
      </c>
      <c r="M13" s="99">
        <v>445</v>
      </c>
      <c r="N13" s="99">
        <v>193</v>
      </c>
      <c r="O13" s="99">
        <v>196</v>
      </c>
      <c r="P13" s="159">
        <v>196</v>
      </c>
      <c r="Q13" s="99">
        <v>34</v>
      </c>
      <c r="R13" s="99">
        <v>66</v>
      </c>
      <c r="S13" s="99">
        <v>20</v>
      </c>
      <c r="T13" s="99">
        <v>34</v>
      </c>
      <c r="U13" s="99" t="s">
        <v>657</v>
      </c>
      <c r="V13" s="99">
        <v>32</v>
      </c>
      <c r="W13" s="99">
        <v>36</v>
      </c>
      <c r="X13" s="99">
        <v>26</v>
      </c>
      <c r="Y13" s="99">
        <v>146</v>
      </c>
      <c r="Z13" s="99">
        <v>54</v>
      </c>
      <c r="AA13" s="99" t="s">
        <v>657</v>
      </c>
      <c r="AB13" s="99" t="s">
        <v>657</v>
      </c>
      <c r="AC13" s="99" t="s">
        <v>657</v>
      </c>
      <c r="AD13" s="98" t="s">
        <v>375</v>
      </c>
      <c r="AE13" s="100">
        <v>0.2034090909090909</v>
      </c>
      <c r="AF13" s="100">
        <v>0.17</v>
      </c>
      <c r="AG13" s="98">
        <v>429.2929292929293</v>
      </c>
      <c r="AH13" s="98">
        <v>378.7878787878788</v>
      </c>
      <c r="AI13" s="100">
        <v>0.017</v>
      </c>
      <c r="AJ13" s="100">
        <v>0.716336</v>
      </c>
      <c r="AK13" s="100">
        <v>0.729977</v>
      </c>
      <c r="AL13" s="100">
        <v>0.588457</v>
      </c>
      <c r="AM13" s="100">
        <v>0.515046</v>
      </c>
      <c r="AN13" s="100">
        <v>0.528767</v>
      </c>
      <c r="AO13" s="98">
        <v>2474.747474747475</v>
      </c>
      <c r="AP13" s="158">
        <v>1.225380325</v>
      </c>
      <c r="AQ13" s="100">
        <v>0.17346938775510204</v>
      </c>
      <c r="AR13" s="100">
        <v>0.5151515151515151</v>
      </c>
      <c r="AS13" s="98">
        <v>252.5252525252525</v>
      </c>
      <c r="AT13" s="98">
        <v>429.2929292929293</v>
      </c>
      <c r="AU13" s="98" t="s">
        <v>657</v>
      </c>
      <c r="AV13" s="98">
        <v>404.04040404040404</v>
      </c>
      <c r="AW13" s="98">
        <v>454.54545454545456</v>
      </c>
      <c r="AX13" s="98">
        <v>328.2828282828283</v>
      </c>
      <c r="AY13" s="98">
        <v>1843.4343434343434</v>
      </c>
      <c r="AZ13" s="98">
        <v>681.8181818181819</v>
      </c>
      <c r="BA13" s="100" t="s">
        <v>657</v>
      </c>
      <c r="BB13" s="100" t="s">
        <v>657</v>
      </c>
      <c r="BC13" s="100" t="s">
        <v>657</v>
      </c>
      <c r="BD13" s="158">
        <v>1.059826279</v>
      </c>
      <c r="BE13" s="158">
        <v>1.4094622799999998</v>
      </c>
      <c r="BF13" s="162">
        <v>906</v>
      </c>
      <c r="BG13" s="162">
        <v>874</v>
      </c>
      <c r="BH13" s="162">
        <v>1854</v>
      </c>
      <c r="BI13" s="162">
        <v>864</v>
      </c>
      <c r="BJ13" s="162">
        <v>365</v>
      </c>
      <c r="BK13" s="97"/>
      <c r="BL13" s="97"/>
      <c r="BM13" s="97"/>
      <c r="BN13" s="97"/>
    </row>
    <row r="14" spans="1:66" ht="12.75">
      <c r="A14" s="79" t="s">
        <v>601</v>
      </c>
      <c r="B14" s="79" t="s">
        <v>325</v>
      </c>
      <c r="C14" s="79" t="s">
        <v>218</v>
      </c>
      <c r="D14" s="99">
        <v>10738</v>
      </c>
      <c r="E14" s="99">
        <v>1723</v>
      </c>
      <c r="F14" s="99" t="s">
        <v>396</v>
      </c>
      <c r="G14" s="99">
        <v>62</v>
      </c>
      <c r="H14" s="99">
        <v>20</v>
      </c>
      <c r="I14" s="99">
        <v>133</v>
      </c>
      <c r="J14" s="99">
        <v>820</v>
      </c>
      <c r="K14" s="99">
        <v>6</v>
      </c>
      <c r="L14" s="99">
        <v>1894</v>
      </c>
      <c r="M14" s="99">
        <v>599</v>
      </c>
      <c r="N14" s="99">
        <v>287</v>
      </c>
      <c r="O14" s="99">
        <v>208</v>
      </c>
      <c r="P14" s="159">
        <v>208</v>
      </c>
      <c r="Q14" s="99">
        <v>17</v>
      </c>
      <c r="R14" s="99">
        <v>39</v>
      </c>
      <c r="S14" s="99">
        <v>51</v>
      </c>
      <c r="T14" s="99">
        <v>31</v>
      </c>
      <c r="U14" s="99" t="s">
        <v>657</v>
      </c>
      <c r="V14" s="99">
        <v>51</v>
      </c>
      <c r="W14" s="99">
        <v>58</v>
      </c>
      <c r="X14" s="99">
        <v>40</v>
      </c>
      <c r="Y14" s="99">
        <v>113</v>
      </c>
      <c r="Z14" s="99">
        <v>36</v>
      </c>
      <c r="AA14" s="99" t="s">
        <v>657</v>
      </c>
      <c r="AB14" s="99" t="s">
        <v>657</v>
      </c>
      <c r="AC14" s="99" t="s">
        <v>657</v>
      </c>
      <c r="AD14" s="98" t="s">
        <v>375</v>
      </c>
      <c r="AE14" s="100">
        <v>0.16045818588191468</v>
      </c>
      <c r="AF14" s="100">
        <v>0.1</v>
      </c>
      <c r="AG14" s="98">
        <v>577.3887129819333</v>
      </c>
      <c r="AH14" s="98">
        <v>186.25442354255912</v>
      </c>
      <c r="AI14" s="100">
        <v>0.012</v>
      </c>
      <c r="AJ14" s="100">
        <v>0.709343</v>
      </c>
      <c r="AK14" s="100">
        <v>0.315789</v>
      </c>
      <c r="AL14" s="100">
        <v>0.741002</v>
      </c>
      <c r="AM14" s="100">
        <v>0.565094</v>
      </c>
      <c r="AN14" s="100">
        <v>0.610638</v>
      </c>
      <c r="AO14" s="98">
        <v>1937.046004842615</v>
      </c>
      <c r="AP14" s="158">
        <v>1.070911713</v>
      </c>
      <c r="AQ14" s="100">
        <v>0.08173076923076923</v>
      </c>
      <c r="AR14" s="100">
        <v>0.4358974358974359</v>
      </c>
      <c r="AS14" s="98">
        <v>474.9487800335258</v>
      </c>
      <c r="AT14" s="98">
        <v>288.69435649096664</v>
      </c>
      <c r="AU14" s="98" t="s">
        <v>657</v>
      </c>
      <c r="AV14" s="98">
        <v>474.9487800335258</v>
      </c>
      <c r="AW14" s="98">
        <v>540.1378282734215</v>
      </c>
      <c r="AX14" s="98">
        <v>372.50884708511825</v>
      </c>
      <c r="AY14" s="98">
        <v>1052.3374930154591</v>
      </c>
      <c r="AZ14" s="98">
        <v>335.25796237660643</v>
      </c>
      <c r="BA14" s="100" t="s">
        <v>657</v>
      </c>
      <c r="BB14" s="100" t="s">
        <v>657</v>
      </c>
      <c r="BC14" s="100" t="s">
        <v>657</v>
      </c>
      <c r="BD14" s="158">
        <v>0.9303120422000001</v>
      </c>
      <c r="BE14" s="158">
        <v>1.226759338</v>
      </c>
      <c r="BF14" s="162">
        <v>1156</v>
      </c>
      <c r="BG14" s="162">
        <v>19</v>
      </c>
      <c r="BH14" s="162">
        <v>2556</v>
      </c>
      <c r="BI14" s="162">
        <v>1060</v>
      </c>
      <c r="BJ14" s="162">
        <v>470</v>
      </c>
      <c r="BK14" s="97"/>
      <c r="BL14" s="97"/>
      <c r="BM14" s="97"/>
      <c r="BN14" s="97"/>
    </row>
    <row r="15" spans="1:66" ht="12.75">
      <c r="A15" s="79" t="s">
        <v>600</v>
      </c>
      <c r="B15" s="79" t="s">
        <v>324</v>
      </c>
      <c r="C15" s="79" t="s">
        <v>218</v>
      </c>
      <c r="D15" s="99">
        <v>11144</v>
      </c>
      <c r="E15" s="99">
        <v>1868</v>
      </c>
      <c r="F15" s="99" t="s">
        <v>396</v>
      </c>
      <c r="G15" s="99">
        <v>53</v>
      </c>
      <c r="H15" s="99">
        <v>19</v>
      </c>
      <c r="I15" s="99">
        <v>214</v>
      </c>
      <c r="J15" s="99">
        <v>934</v>
      </c>
      <c r="K15" s="99">
        <v>8</v>
      </c>
      <c r="L15" s="99">
        <v>2126</v>
      </c>
      <c r="M15" s="99">
        <v>403</v>
      </c>
      <c r="N15" s="99">
        <v>328</v>
      </c>
      <c r="O15" s="99">
        <v>158</v>
      </c>
      <c r="P15" s="159">
        <v>158</v>
      </c>
      <c r="Q15" s="99">
        <v>13</v>
      </c>
      <c r="R15" s="99">
        <v>41</v>
      </c>
      <c r="S15" s="99">
        <v>26</v>
      </c>
      <c r="T15" s="99">
        <v>33</v>
      </c>
      <c r="U15" s="99" t="s">
        <v>657</v>
      </c>
      <c r="V15" s="99">
        <v>20</v>
      </c>
      <c r="W15" s="99">
        <v>106</v>
      </c>
      <c r="X15" s="99">
        <v>30</v>
      </c>
      <c r="Y15" s="99">
        <v>124</v>
      </c>
      <c r="Z15" s="99">
        <v>56</v>
      </c>
      <c r="AA15" s="99" t="s">
        <v>657</v>
      </c>
      <c r="AB15" s="99" t="s">
        <v>657</v>
      </c>
      <c r="AC15" s="99" t="s">
        <v>657</v>
      </c>
      <c r="AD15" s="98" t="s">
        <v>375</v>
      </c>
      <c r="AE15" s="100">
        <v>0.16762383345297918</v>
      </c>
      <c r="AF15" s="100">
        <v>0.11</v>
      </c>
      <c r="AG15" s="98">
        <v>475.5922469490309</v>
      </c>
      <c r="AH15" s="98">
        <v>170.49533381191674</v>
      </c>
      <c r="AI15" s="100">
        <v>0.019</v>
      </c>
      <c r="AJ15" s="100">
        <v>0.701728</v>
      </c>
      <c r="AK15" s="100">
        <v>0.333333</v>
      </c>
      <c r="AL15" s="100">
        <v>0.794173</v>
      </c>
      <c r="AM15" s="100">
        <v>0.351965</v>
      </c>
      <c r="AN15" s="100">
        <v>0.537705</v>
      </c>
      <c r="AO15" s="98">
        <v>1417.8033022254128</v>
      </c>
      <c r="AP15" s="158">
        <v>0.7601162720000001</v>
      </c>
      <c r="AQ15" s="100">
        <v>0.08227848101265822</v>
      </c>
      <c r="AR15" s="100">
        <v>0.3170731707317073</v>
      </c>
      <c r="AS15" s="98">
        <v>233.3094041636755</v>
      </c>
      <c r="AT15" s="98">
        <v>296.12347451543434</v>
      </c>
      <c r="AU15" s="98" t="s">
        <v>657</v>
      </c>
      <c r="AV15" s="98">
        <v>179.46877243359654</v>
      </c>
      <c r="AW15" s="98">
        <v>951.1844938980618</v>
      </c>
      <c r="AX15" s="98">
        <v>269.2031586503948</v>
      </c>
      <c r="AY15" s="98">
        <v>1112.7063890882987</v>
      </c>
      <c r="AZ15" s="98">
        <v>502.51256281407035</v>
      </c>
      <c r="BA15" s="100" t="s">
        <v>657</v>
      </c>
      <c r="BB15" s="100" t="s">
        <v>657</v>
      </c>
      <c r="BC15" s="100" t="s">
        <v>657</v>
      </c>
      <c r="BD15" s="158">
        <v>0.6462143707</v>
      </c>
      <c r="BE15" s="158">
        <v>0.8883128357</v>
      </c>
      <c r="BF15" s="162">
        <v>1331</v>
      </c>
      <c r="BG15" s="162">
        <v>24</v>
      </c>
      <c r="BH15" s="162">
        <v>2677</v>
      </c>
      <c r="BI15" s="162">
        <v>1145</v>
      </c>
      <c r="BJ15" s="162">
        <v>610</v>
      </c>
      <c r="BK15" s="97"/>
      <c r="BL15" s="97"/>
      <c r="BM15" s="97"/>
      <c r="BN15" s="97"/>
    </row>
    <row r="16" spans="1:66" ht="12.75">
      <c r="A16" s="79" t="s">
        <v>629</v>
      </c>
      <c r="B16" s="79" t="s">
        <v>353</v>
      </c>
      <c r="C16" s="79" t="s">
        <v>218</v>
      </c>
      <c r="D16" s="99">
        <v>6448</v>
      </c>
      <c r="E16" s="99">
        <v>933</v>
      </c>
      <c r="F16" s="99" t="s">
        <v>398</v>
      </c>
      <c r="G16" s="99">
        <v>32</v>
      </c>
      <c r="H16" s="99">
        <v>13</v>
      </c>
      <c r="I16" s="99">
        <v>113</v>
      </c>
      <c r="J16" s="99">
        <v>613</v>
      </c>
      <c r="K16" s="99">
        <v>601</v>
      </c>
      <c r="L16" s="99">
        <v>1255</v>
      </c>
      <c r="M16" s="99">
        <v>416</v>
      </c>
      <c r="N16" s="99">
        <v>190</v>
      </c>
      <c r="O16" s="99">
        <v>149</v>
      </c>
      <c r="P16" s="159">
        <v>149</v>
      </c>
      <c r="Q16" s="99">
        <v>10</v>
      </c>
      <c r="R16" s="99">
        <v>14</v>
      </c>
      <c r="S16" s="99">
        <v>35</v>
      </c>
      <c r="T16" s="99">
        <v>12</v>
      </c>
      <c r="U16" s="99" t="s">
        <v>657</v>
      </c>
      <c r="V16" s="99">
        <v>22</v>
      </c>
      <c r="W16" s="99">
        <v>28</v>
      </c>
      <c r="X16" s="99">
        <v>33</v>
      </c>
      <c r="Y16" s="99">
        <v>64</v>
      </c>
      <c r="Z16" s="99">
        <v>30</v>
      </c>
      <c r="AA16" s="99" t="s">
        <v>657</v>
      </c>
      <c r="AB16" s="99" t="s">
        <v>657</v>
      </c>
      <c r="AC16" s="99" t="s">
        <v>657</v>
      </c>
      <c r="AD16" s="98" t="s">
        <v>375</v>
      </c>
      <c r="AE16" s="100">
        <v>0.14469602977667495</v>
      </c>
      <c r="AF16" s="100">
        <v>0.07</v>
      </c>
      <c r="AG16" s="98">
        <v>496.27791563275434</v>
      </c>
      <c r="AH16" s="98">
        <v>201.61290322580646</v>
      </c>
      <c r="AI16" s="100">
        <v>0.018000000000000002</v>
      </c>
      <c r="AJ16" s="100">
        <v>0.79199</v>
      </c>
      <c r="AK16" s="100">
        <v>0.804552</v>
      </c>
      <c r="AL16" s="100">
        <v>0.730076</v>
      </c>
      <c r="AM16" s="100">
        <v>0.618128</v>
      </c>
      <c r="AN16" s="100">
        <v>0.633333</v>
      </c>
      <c r="AO16" s="98">
        <v>2310.7940446650123</v>
      </c>
      <c r="AP16" s="158">
        <v>1.274971008</v>
      </c>
      <c r="AQ16" s="100">
        <v>0.06711409395973154</v>
      </c>
      <c r="AR16" s="100">
        <v>0.7142857142857143</v>
      </c>
      <c r="AS16" s="98">
        <v>542.8039702233251</v>
      </c>
      <c r="AT16" s="98">
        <v>186.10421836228286</v>
      </c>
      <c r="AU16" s="98" t="s">
        <v>657</v>
      </c>
      <c r="AV16" s="98">
        <v>341.1910669975186</v>
      </c>
      <c r="AW16" s="98">
        <v>434.24317617866006</v>
      </c>
      <c r="AX16" s="98">
        <v>511.7866004962779</v>
      </c>
      <c r="AY16" s="98">
        <v>992.5558312655087</v>
      </c>
      <c r="AZ16" s="98">
        <v>465.2605459057072</v>
      </c>
      <c r="BA16" s="100" t="s">
        <v>657</v>
      </c>
      <c r="BB16" s="100" t="s">
        <v>657</v>
      </c>
      <c r="BC16" s="100" t="s">
        <v>657</v>
      </c>
      <c r="BD16" s="158">
        <v>1.0784744259999999</v>
      </c>
      <c r="BE16" s="158">
        <v>1.496912079</v>
      </c>
      <c r="BF16" s="162">
        <v>774</v>
      </c>
      <c r="BG16" s="162">
        <v>747</v>
      </c>
      <c r="BH16" s="162">
        <v>1719</v>
      </c>
      <c r="BI16" s="162">
        <v>673</v>
      </c>
      <c r="BJ16" s="162">
        <v>300</v>
      </c>
      <c r="BK16" s="97"/>
      <c r="BL16" s="97"/>
      <c r="BM16" s="97"/>
      <c r="BN16" s="97"/>
    </row>
    <row r="17" spans="1:66" ht="12.75">
      <c r="A17" s="79" t="s">
        <v>596</v>
      </c>
      <c r="B17" s="79" t="s">
        <v>320</v>
      </c>
      <c r="C17" s="79" t="s">
        <v>218</v>
      </c>
      <c r="D17" s="99">
        <v>12607</v>
      </c>
      <c r="E17" s="99">
        <v>2486</v>
      </c>
      <c r="F17" s="99" t="s">
        <v>396</v>
      </c>
      <c r="G17" s="99">
        <v>59</v>
      </c>
      <c r="H17" s="99">
        <v>27</v>
      </c>
      <c r="I17" s="99">
        <v>257</v>
      </c>
      <c r="J17" s="99">
        <v>1109</v>
      </c>
      <c r="K17" s="99">
        <v>20</v>
      </c>
      <c r="L17" s="99">
        <v>2321</v>
      </c>
      <c r="M17" s="99">
        <v>889</v>
      </c>
      <c r="N17" s="99">
        <v>445</v>
      </c>
      <c r="O17" s="99">
        <v>215</v>
      </c>
      <c r="P17" s="159">
        <v>215</v>
      </c>
      <c r="Q17" s="99">
        <v>31</v>
      </c>
      <c r="R17" s="99">
        <v>78</v>
      </c>
      <c r="S17" s="99">
        <v>43</v>
      </c>
      <c r="T17" s="99">
        <v>28</v>
      </c>
      <c r="U17" s="99">
        <v>7</v>
      </c>
      <c r="V17" s="99">
        <v>41</v>
      </c>
      <c r="W17" s="99">
        <v>61</v>
      </c>
      <c r="X17" s="99">
        <v>38</v>
      </c>
      <c r="Y17" s="99">
        <v>165</v>
      </c>
      <c r="Z17" s="99">
        <v>75</v>
      </c>
      <c r="AA17" s="99" t="s">
        <v>657</v>
      </c>
      <c r="AB17" s="99" t="s">
        <v>657</v>
      </c>
      <c r="AC17" s="99" t="s">
        <v>657</v>
      </c>
      <c r="AD17" s="98" t="s">
        <v>375</v>
      </c>
      <c r="AE17" s="100">
        <v>0.19719203617038153</v>
      </c>
      <c r="AF17" s="100">
        <v>0.11</v>
      </c>
      <c r="AG17" s="98">
        <v>467.9939716030777</v>
      </c>
      <c r="AH17" s="98">
        <v>214.16673276751013</v>
      </c>
      <c r="AI17" s="100">
        <v>0.02</v>
      </c>
      <c r="AJ17" s="100">
        <v>0.665666</v>
      </c>
      <c r="AK17" s="100">
        <v>0.357143</v>
      </c>
      <c r="AL17" s="100">
        <v>0.74272</v>
      </c>
      <c r="AM17" s="100">
        <v>0.593458</v>
      </c>
      <c r="AN17" s="100">
        <v>0.617198</v>
      </c>
      <c r="AO17" s="98">
        <v>1705.4017609264695</v>
      </c>
      <c r="AP17" s="158">
        <v>0.8436993408</v>
      </c>
      <c r="AQ17" s="100">
        <v>0.14418604651162792</v>
      </c>
      <c r="AR17" s="100">
        <v>0.3974358974358974</v>
      </c>
      <c r="AS17" s="98">
        <v>341.08035218529386</v>
      </c>
      <c r="AT17" s="98">
        <v>222.0988339811216</v>
      </c>
      <c r="AU17" s="98">
        <v>55.5247084952804</v>
      </c>
      <c r="AV17" s="98">
        <v>325.2161497580709</v>
      </c>
      <c r="AW17" s="98">
        <v>483.85817403030063</v>
      </c>
      <c r="AX17" s="98">
        <v>301.41984611723643</v>
      </c>
      <c r="AY17" s="98">
        <v>1308.7967002458952</v>
      </c>
      <c r="AZ17" s="98">
        <v>594.9075910208614</v>
      </c>
      <c r="BA17" s="100" t="s">
        <v>657</v>
      </c>
      <c r="BB17" s="100" t="s">
        <v>657</v>
      </c>
      <c r="BC17" s="100" t="s">
        <v>657</v>
      </c>
      <c r="BD17" s="158">
        <v>0.7346849059999999</v>
      </c>
      <c r="BE17" s="158">
        <v>0.964331131</v>
      </c>
      <c r="BF17" s="162">
        <v>1666</v>
      </c>
      <c r="BG17" s="162">
        <v>56</v>
      </c>
      <c r="BH17" s="162">
        <v>3125</v>
      </c>
      <c r="BI17" s="162">
        <v>1498</v>
      </c>
      <c r="BJ17" s="162">
        <v>721</v>
      </c>
      <c r="BK17" s="97"/>
      <c r="BL17" s="97"/>
      <c r="BM17" s="97"/>
      <c r="BN17" s="97"/>
    </row>
    <row r="18" spans="1:66" ht="12.75">
      <c r="A18" s="79" t="s">
        <v>639</v>
      </c>
      <c r="B18" s="79" t="s">
        <v>363</v>
      </c>
      <c r="C18" s="79" t="s">
        <v>218</v>
      </c>
      <c r="D18" s="99">
        <v>9361</v>
      </c>
      <c r="E18" s="99">
        <v>635</v>
      </c>
      <c r="F18" s="99" t="s">
        <v>395</v>
      </c>
      <c r="G18" s="99">
        <v>25</v>
      </c>
      <c r="H18" s="99">
        <v>13</v>
      </c>
      <c r="I18" s="99">
        <v>95</v>
      </c>
      <c r="J18" s="99">
        <v>556</v>
      </c>
      <c r="K18" s="99" t="s">
        <v>657</v>
      </c>
      <c r="L18" s="99">
        <v>1813</v>
      </c>
      <c r="M18" s="99">
        <v>305</v>
      </c>
      <c r="N18" s="99">
        <v>139</v>
      </c>
      <c r="O18" s="99">
        <v>90</v>
      </c>
      <c r="P18" s="159">
        <v>90</v>
      </c>
      <c r="Q18" s="99">
        <v>11</v>
      </c>
      <c r="R18" s="99">
        <v>19</v>
      </c>
      <c r="S18" s="99">
        <v>17</v>
      </c>
      <c r="T18" s="99">
        <v>18</v>
      </c>
      <c r="U18" s="99" t="s">
        <v>657</v>
      </c>
      <c r="V18" s="99">
        <v>23</v>
      </c>
      <c r="W18" s="99">
        <v>46</v>
      </c>
      <c r="X18" s="99">
        <v>31</v>
      </c>
      <c r="Y18" s="99">
        <v>81</v>
      </c>
      <c r="Z18" s="99">
        <v>44</v>
      </c>
      <c r="AA18" s="99" t="s">
        <v>657</v>
      </c>
      <c r="AB18" s="99" t="s">
        <v>657</v>
      </c>
      <c r="AC18" s="99" t="s">
        <v>657</v>
      </c>
      <c r="AD18" s="98" t="s">
        <v>375</v>
      </c>
      <c r="AE18" s="100">
        <v>0.06783463305202436</v>
      </c>
      <c r="AF18" s="100">
        <v>0.18</v>
      </c>
      <c r="AG18" s="98">
        <v>267.0654844567888</v>
      </c>
      <c r="AH18" s="98">
        <v>138.87405191753018</v>
      </c>
      <c r="AI18" s="100">
        <v>0.01</v>
      </c>
      <c r="AJ18" s="100">
        <v>0.635429</v>
      </c>
      <c r="AK18" s="100" t="s">
        <v>657</v>
      </c>
      <c r="AL18" s="100">
        <v>0.743947</v>
      </c>
      <c r="AM18" s="100">
        <v>0.428973</v>
      </c>
      <c r="AN18" s="100">
        <v>0.451299</v>
      </c>
      <c r="AO18" s="98">
        <v>961.4357440444397</v>
      </c>
      <c r="AP18" s="158">
        <v>0.7211248779</v>
      </c>
      <c r="AQ18" s="100">
        <v>0.12222222222222222</v>
      </c>
      <c r="AR18" s="100">
        <v>0.5789473684210527</v>
      </c>
      <c r="AS18" s="98">
        <v>181.6045294306164</v>
      </c>
      <c r="AT18" s="98">
        <v>192.28714880888793</v>
      </c>
      <c r="AU18" s="98" t="s">
        <v>657</v>
      </c>
      <c r="AV18" s="98">
        <v>245.7002457002457</v>
      </c>
      <c r="AW18" s="98">
        <v>491.4004914004914</v>
      </c>
      <c r="AX18" s="98">
        <v>331.16120072641814</v>
      </c>
      <c r="AY18" s="98">
        <v>865.2921696399957</v>
      </c>
      <c r="AZ18" s="98">
        <v>470.0352526439483</v>
      </c>
      <c r="BA18" s="100" t="s">
        <v>657</v>
      </c>
      <c r="BB18" s="100" t="s">
        <v>657</v>
      </c>
      <c r="BC18" s="100" t="s">
        <v>657</v>
      </c>
      <c r="BD18" s="158">
        <v>0.5798695755</v>
      </c>
      <c r="BE18" s="158">
        <v>0.8863848876999999</v>
      </c>
      <c r="BF18" s="162">
        <v>875</v>
      </c>
      <c r="BG18" s="162" t="s">
        <v>657</v>
      </c>
      <c r="BH18" s="162">
        <v>2437</v>
      </c>
      <c r="BI18" s="162">
        <v>711</v>
      </c>
      <c r="BJ18" s="162">
        <v>308</v>
      </c>
      <c r="BK18" s="97"/>
      <c r="BL18" s="97"/>
      <c r="BM18" s="97"/>
      <c r="BN18" s="97"/>
    </row>
    <row r="19" spans="1:66" ht="12.75">
      <c r="A19" s="79" t="s">
        <v>571</v>
      </c>
      <c r="B19" s="79" t="s">
        <v>294</v>
      </c>
      <c r="C19" s="79" t="s">
        <v>218</v>
      </c>
      <c r="D19" s="99">
        <v>8770</v>
      </c>
      <c r="E19" s="99">
        <v>2457</v>
      </c>
      <c r="F19" s="99" t="s">
        <v>396</v>
      </c>
      <c r="G19" s="99">
        <v>65</v>
      </c>
      <c r="H19" s="99">
        <v>24</v>
      </c>
      <c r="I19" s="99">
        <v>277</v>
      </c>
      <c r="J19" s="99">
        <v>1009</v>
      </c>
      <c r="K19" s="99">
        <v>14</v>
      </c>
      <c r="L19" s="99">
        <v>1551</v>
      </c>
      <c r="M19" s="99">
        <v>547</v>
      </c>
      <c r="N19" s="99">
        <v>413</v>
      </c>
      <c r="O19" s="99">
        <v>189</v>
      </c>
      <c r="P19" s="159">
        <v>189</v>
      </c>
      <c r="Q19" s="99">
        <v>19</v>
      </c>
      <c r="R19" s="99">
        <v>48</v>
      </c>
      <c r="S19" s="99">
        <v>22</v>
      </c>
      <c r="T19" s="99">
        <v>57</v>
      </c>
      <c r="U19" s="99">
        <v>6</v>
      </c>
      <c r="V19" s="99">
        <v>30</v>
      </c>
      <c r="W19" s="99">
        <v>118</v>
      </c>
      <c r="X19" s="99">
        <v>32</v>
      </c>
      <c r="Y19" s="99">
        <v>138</v>
      </c>
      <c r="Z19" s="99">
        <v>55</v>
      </c>
      <c r="AA19" s="99" t="s">
        <v>657</v>
      </c>
      <c r="AB19" s="99" t="s">
        <v>657</v>
      </c>
      <c r="AC19" s="99" t="s">
        <v>657</v>
      </c>
      <c r="AD19" s="98" t="s">
        <v>375</v>
      </c>
      <c r="AE19" s="100">
        <v>0.28015963511972636</v>
      </c>
      <c r="AF19" s="100">
        <v>0.09</v>
      </c>
      <c r="AG19" s="98">
        <v>741.1630558722919</v>
      </c>
      <c r="AH19" s="98">
        <v>273.6602052451539</v>
      </c>
      <c r="AI19" s="100">
        <v>0.032</v>
      </c>
      <c r="AJ19" s="100">
        <v>0.774367</v>
      </c>
      <c r="AK19" s="100">
        <v>0.482759</v>
      </c>
      <c r="AL19" s="100">
        <v>0.809499</v>
      </c>
      <c r="AM19" s="100">
        <v>0.400439</v>
      </c>
      <c r="AN19" s="100">
        <v>0.602041</v>
      </c>
      <c r="AO19" s="98">
        <v>2155.0741163055873</v>
      </c>
      <c r="AP19" s="158">
        <v>0.9120370483000001</v>
      </c>
      <c r="AQ19" s="100">
        <v>0.10052910052910052</v>
      </c>
      <c r="AR19" s="100">
        <v>0.3958333333333333</v>
      </c>
      <c r="AS19" s="98">
        <v>250.8551881413911</v>
      </c>
      <c r="AT19" s="98">
        <v>649.9429874572406</v>
      </c>
      <c r="AU19" s="98">
        <v>68.41505131128848</v>
      </c>
      <c r="AV19" s="98">
        <v>342.0752565564424</v>
      </c>
      <c r="AW19" s="98">
        <v>1345.4960091220069</v>
      </c>
      <c r="AX19" s="98">
        <v>364.88027366020526</v>
      </c>
      <c r="AY19" s="98">
        <v>1573.546180159635</v>
      </c>
      <c r="AZ19" s="98">
        <v>627.1379703534777</v>
      </c>
      <c r="BA19" s="100" t="s">
        <v>657</v>
      </c>
      <c r="BB19" s="100" t="s">
        <v>657</v>
      </c>
      <c r="BC19" s="100" t="s">
        <v>657</v>
      </c>
      <c r="BD19" s="158">
        <v>0.7866403961</v>
      </c>
      <c r="BE19" s="158">
        <v>1.051740723</v>
      </c>
      <c r="BF19" s="162">
        <v>1303</v>
      </c>
      <c r="BG19" s="162">
        <v>29</v>
      </c>
      <c r="BH19" s="162">
        <v>1916</v>
      </c>
      <c r="BI19" s="162">
        <v>1366</v>
      </c>
      <c r="BJ19" s="162">
        <v>686</v>
      </c>
      <c r="BK19" s="97"/>
      <c r="BL19" s="97"/>
      <c r="BM19" s="97"/>
      <c r="BN19" s="97"/>
    </row>
    <row r="20" spans="1:66" ht="12.75">
      <c r="A20" s="79" t="s">
        <v>624</v>
      </c>
      <c r="B20" s="79" t="s">
        <v>348</v>
      </c>
      <c r="C20" s="79" t="s">
        <v>218</v>
      </c>
      <c r="D20" s="99">
        <v>3970</v>
      </c>
      <c r="E20" s="99">
        <v>1077</v>
      </c>
      <c r="F20" s="99" t="s">
        <v>398</v>
      </c>
      <c r="G20" s="99">
        <v>38</v>
      </c>
      <c r="H20" s="99">
        <v>15</v>
      </c>
      <c r="I20" s="99">
        <v>92</v>
      </c>
      <c r="J20" s="99">
        <v>395</v>
      </c>
      <c r="K20" s="99" t="s">
        <v>657</v>
      </c>
      <c r="L20" s="99">
        <v>716</v>
      </c>
      <c r="M20" s="99">
        <v>192</v>
      </c>
      <c r="N20" s="99">
        <v>162</v>
      </c>
      <c r="O20" s="99">
        <v>148</v>
      </c>
      <c r="P20" s="159">
        <v>148</v>
      </c>
      <c r="Q20" s="99">
        <v>7</v>
      </c>
      <c r="R20" s="99">
        <v>19</v>
      </c>
      <c r="S20" s="99">
        <v>16</v>
      </c>
      <c r="T20" s="99">
        <v>22</v>
      </c>
      <c r="U20" s="99" t="s">
        <v>657</v>
      </c>
      <c r="V20" s="99">
        <v>44</v>
      </c>
      <c r="W20" s="99">
        <v>52</v>
      </c>
      <c r="X20" s="99">
        <v>17</v>
      </c>
      <c r="Y20" s="99">
        <v>61</v>
      </c>
      <c r="Z20" s="99">
        <v>27</v>
      </c>
      <c r="AA20" s="99" t="s">
        <v>657</v>
      </c>
      <c r="AB20" s="99" t="s">
        <v>657</v>
      </c>
      <c r="AC20" s="99" t="s">
        <v>657</v>
      </c>
      <c r="AD20" s="98" t="s">
        <v>375</v>
      </c>
      <c r="AE20" s="100">
        <v>0.2712846347607053</v>
      </c>
      <c r="AF20" s="100">
        <v>0.08</v>
      </c>
      <c r="AG20" s="98">
        <v>957.1788413098237</v>
      </c>
      <c r="AH20" s="98">
        <v>377.8337531486146</v>
      </c>
      <c r="AI20" s="100">
        <v>0.023</v>
      </c>
      <c r="AJ20" s="100">
        <v>0.742481</v>
      </c>
      <c r="AK20" s="100" t="s">
        <v>657</v>
      </c>
      <c r="AL20" s="100">
        <v>0.82016</v>
      </c>
      <c r="AM20" s="100">
        <v>0.367113</v>
      </c>
      <c r="AN20" s="100">
        <v>0.611321</v>
      </c>
      <c r="AO20" s="98">
        <v>3727.9596977329975</v>
      </c>
      <c r="AP20" s="158">
        <v>1.5752276610000002</v>
      </c>
      <c r="AQ20" s="100">
        <v>0.0472972972972973</v>
      </c>
      <c r="AR20" s="100">
        <v>0.3684210526315789</v>
      </c>
      <c r="AS20" s="98">
        <v>403.0226700251889</v>
      </c>
      <c r="AT20" s="98">
        <v>554.1561712846348</v>
      </c>
      <c r="AU20" s="98" t="s">
        <v>657</v>
      </c>
      <c r="AV20" s="98">
        <v>1108.3123425692695</v>
      </c>
      <c r="AW20" s="98">
        <v>1309.8236775818639</v>
      </c>
      <c r="AX20" s="98">
        <v>428.2115869017632</v>
      </c>
      <c r="AY20" s="98">
        <v>1536.5239294710327</v>
      </c>
      <c r="AZ20" s="98">
        <v>680.1007556675063</v>
      </c>
      <c r="BA20" s="100" t="s">
        <v>657</v>
      </c>
      <c r="BB20" s="100" t="s">
        <v>657</v>
      </c>
      <c r="BC20" s="100" t="s">
        <v>657</v>
      </c>
      <c r="BD20" s="158">
        <v>1.331672211</v>
      </c>
      <c r="BE20" s="158">
        <v>1.850435333</v>
      </c>
      <c r="BF20" s="162">
        <v>532</v>
      </c>
      <c r="BG20" s="162" t="s">
        <v>657</v>
      </c>
      <c r="BH20" s="162">
        <v>873</v>
      </c>
      <c r="BI20" s="162">
        <v>523</v>
      </c>
      <c r="BJ20" s="162">
        <v>265</v>
      </c>
      <c r="BK20" s="97"/>
      <c r="BL20" s="97"/>
      <c r="BM20" s="97"/>
      <c r="BN20" s="97"/>
    </row>
    <row r="21" spans="1:66" ht="12.75">
      <c r="A21" s="79" t="s">
        <v>561</v>
      </c>
      <c r="B21" s="79" t="s">
        <v>284</v>
      </c>
      <c r="C21" s="79" t="s">
        <v>218</v>
      </c>
      <c r="D21" s="99">
        <v>4320</v>
      </c>
      <c r="E21" s="99">
        <v>819</v>
      </c>
      <c r="F21" s="99" t="s">
        <v>398</v>
      </c>
      <c r="G21" s="99">
        <v>17</v>
      </c>
      <c r="H21" s="99">
        <v>10</v>
      </c>
      <c r="I21" s="99">
        <v>66</v>
      </c>
      <c r="J21" s="99">
        <v>496</v>
      </c>
      <c r="K21" s="99">
        <v>481</v>
      </c>
      <c r="L21" s="99">
        <v>818</v>
      </c>
      <c r="M21" s="99">
        <v>222</v>
      </c>
      <c r="N21" s="99">
        <v>190</v>
      </c>
      <c r="O21" s="99">
        <v>38</v>
      </c>
      <c r="P21" s="159">
        <v>38</v>
      </c>
      <c r="Q21" s="99">
        <v>9</v>
      </c>
      <c r="R21" s="99">
        <v>23</v>
      </c>
      <c r="S21" s="99">
        <v>6</v>
      </c>
      <c r="T21" s="99" t="s">
        <v>657</v>
      </c>
      <c r="U21" s="99" t="s">
        <v>657</v>
      </c>
      <c r="V21" s="99">
        <v>10</v>
      </c>
      <c r="W21" s="99">
        <v>26</v>
      </c>
      <c r="X21" s="99">
        <v>12</v>
      </c>
      <c r="Y21" s="99">
        <v>39</v>
      </c>
      <c r="Z21" s="99">
        <v>19</v>
      </c>
      <c r="AA21" s="99" t="s">
        <v>657</v>
      </c>
      <c r="AB21" s="99" t="s">
        <v>657</v>
      </c>
      <c r="AC21" s="99" t="s">
        <v>657</v>
      </c>
      <c r="AD21" s="98" t="s">
        <v>375</v>
      </c>
      <c r="AE21" s="100">
        <v>0.18958333333333333</v>
      </c>
      <c r="AF21" s="100">
        <v>0.06</v>
      </c>
      <c r="AG21" s="98">
        <v>393.51851851851853</v>
      </c>
      <c r="AH21" s="98">
        <v>231.4814814814815</v>
      </c>
      <c r="AI21" s="100">
        <v>0.015</v>
      </c>
      <c r="AJ21" s="100">
        <v>0.767802</v>
      </c>
      <c r="AK21" s="100">
        <v>0.774557</v>
      </c>
      <c r="AL21" s="100">
        <v>0.78128</v>
      </c>
      <c r="AM21" s="100">
        <v>0.373109</v>
      </c>
      <c r="AN21" s="100">
        <v>0.603175</v>
      </c>
      <c r="AO21" s="98">
        <v>879.6296296296297</v>
      </c>
      <c r="AP21" s="158">
        <v>0.4225681686</v>
      </c>
      <c r="AQ21" s="100">
        <v>0.23684210526315788</v>
      </c>
      <c r="AR21" s="100">
        <v>0.391304347826087</v>
      </c>
      <c r="AS21" s="98">
        <v>138.88888888888889</v>
      </c>
      <c r="AT21" s="98" t="s">
        <v>657</v>
      </c>
      <c r="AU21" s="98" t="s">
        <v>657</v>
      </c>
      <c r="AV21" s="98">
        <v>231.4814814814815</v>
      </c>
      <c r="AW21" s="98">
        <v>601.8518518518518</v>
      </c>
      <c r="AX21" s="98">
        <v>277.77777777777777</v>
      </c>
      <c r="AY21" s="98">
        <v>902.7777777777778</v>
      </c>
      <c r="AZ21" s="98">
        <v>439.81481481481484</v>
      </c>
      <c r="BA21" s="100" t="s">
        <v>657</v>
      </c>
      <c r="BB21" s="100" t="s">
        <v>657</v>
      </c>
      <c r="BC21" s="100" t="s">
        <v>657</v>
      </c>
      <c r="BD21" s="158">
        <v>0.29903438569999996</v>
      </c>
      <c r="BE21" s="158">
        <v>0.5800078201000001</v>
      </c>
      <c r="BF21" s="162">
        <v>646</v>
      </c>
      <c r="BG21" s="162">
        <v>621</v>
      </c>
      <c r="BH21" s="162">
        <v>1047</v>
      </c>
      <c r="BI21" s="162">
        <v>595</v>
      </c>
      <c r="BJ21" s="162">
        <v>315</v>
      </c>
      <c r="BK21" s="97"/>
      <c r="BL21" s="97"/>
      <c r="BM21" s="97"/>
      <c r="BN21" s="97"/>
    </row>
    <row r="22" spans="1:66" ht="12.75">
      <c r="A22" s="79" t="s">
        <v>594</v>
      </c>
      <c r="B22" s="79" t="s">
        <v>318</v>
      </c>
      <c r="C22" s="79" t="s">
        <v>218</v>
      </c>
      <c r="D22" s="99">
        <v>7800</v>
      </c>
      <c r="E22" s="99">
        <v>1373</v>
      </c>
      <c r="F22" s="99" t="s">
        <v>398</v>
      </c>
      <c r="G22" s="99">
        <v>25</v>
      </c>
      <c r="H22" s="99">
        <v>14</v>
      </c>
      <c r="I22" s="99">
        <v>116</v>
      </c>
      <c r="J22" s="99">
        <v>887</v>
      </c>
      <c r="K22" s="99">
        <v>11</v>
      </c>
      <c r="L22" s="99">
        <v>1643</v>
      </c>
      <c r="M22" s="99">
        <v>725</v>
      </c>
      <c r="N22" s="99">
        <v>319</v>
      </c>
      <c r="O22" s="99">
        <v>51</v>
      </c>
      <c r="P22" s="159">
        <v>51</v>
      </c>
      <c r="Q22" s="99">
        <v>11</v>
      </c>
      <c r="R22" s="99">
        <v>46</v>
      </c>
      <c r="S22" s="99">
        <v>12</v>
      </c>
      <c r="T22" s="99">
        <v>9</v>
      </c>
      <c r="U22" s="99" t="s">
        <v>657</v>
      </c>
      <c r="V22" s="99">
        <v>7</v>
      </c>
      <c r="W22" s="99">
        <v>41</v>
      </c>
      <c r="X22" s="99">
        <v>24</v>
      </c>
      <c r="Y22" s="99">
        <v>71</v>
      </c>
      <c r="Z22" s="99">
        <v>40</v>
      </c>
      <c r="AA22" s="99" t="s">
        <v>657</v>
      </c>
      <c r="AB22" s="99" t="s">
        <v>657</v>
      </c>
      <c r="AC22" s="99" t="s">
        <v>657</v>
      </c>
      <c r="AD22" s="98" t="s">
        <v>375</v>
      </c>
      <c r="AE22" s="100">
        <v>0.17602564102564103</v>
      </c>
      <c r="AF22" s="100">
        <v>0.04</v>
      </c>
      <c r="AG22" s="98">
        <v>320.5128205128205</v>
      </c>
      <c r="AH22" s="98">
        <v>179.48717948717947</v>
      </c>
      <c r="AI22" s="100">
        <v>0.015</v>
      </c>
      <c r="AJ22" s="100">
        <v>0.724673</v>
      </c>
      <c r="AK22" s="100">
        <v>0.478261</v>
      </c>
      <c r="AL22" s="100">
        <v>0.824799</v>
      </c>
      <c r="AM22" s="100">
        <v>0.623388</v>
      </c>
      <c r="AN22" s="100">
        <v>0.655031</v>
      </c>
      <c r="AO22" s="98">
        <v>653.8461538461538</v>
      </c>
      <c r="AP22" s="158">
        <v>0.3228030014</v>
      </c>
      <c r="AQ22" s="100">
        <v>0.21568627450980393</v>
      </c>
      <c r="AR22" s="100">
        <v>0.2391304347826087</v>
      </c>
      <c r="AS22" s="98">
        <v>153.84615384615384</v>
      </c>
      <c r="AT22" s="98">
        <v>115.38461538461539</v>
      </c>
      <c r="AU22" s="98" t="s">
        <v>657</v>
      </c>
      <c r="AV22" s="98">
        <v>89.74358974358974</v>
      </c>
      <c r="AW22" s="98">
        <v>525.6410256410256</v>
      </c>
      <c r="AX22" s="98">
        <v>307.6923076923077</v>
      </c>
      <c r="AY22" s="98">
        <v>910.2564102564103</v>
      </c>
      <c r="AZ22" s="98">
        <v>512.8205128205128</v>
      </c>
      <c r="BA22" s="101" t="s">
        <v>657</v>
      </c>
      <c r="BB22" s="101" t="s">
        <v>657</v>
      </c>
      <c r="BC22" s="101" t="s">
        <v>657</v>
      </c>
      <c r="BD22" s="158">
        <v>0.24034805299999998</v>
      </c>
      <c r="BE22" s="158">
        <v>0.42442634580000005</v>
      </c>
      <c r="BF22" s="162">
        <v>1224</v>
      </c>
      <c r="BG22" s="162">
        <v>23</v>
      </c>
      <c r="BH22" s="162">
        <v>1992</v>
      </c>
      <c r="BI22" s="162">
        <v>1163</v>
      </c>
      <c r="BJ22" s="162">
        <v>487</v>
      </c>
      <c r="BK22" s="97"/>
      <c r="BL22" s="97"/>
      <c r="BM22" s="97"/>
      <c r="BN22" s="97"/>
    </row>
    <row r="23" spans="1:66" ht="12.75">
      <c r="A23" s="79" t="s">
        <v>562</v>
      </c>
      <c r="B23" s="79" t="s">
        <v>285</v>
      </c>
      <c r="C23" s="79" t="s">
        <v>218</v>
      </c>
      <c r="D23" s="99">
        <v>7329</v>
      </c>
      <c r="E23" s="99">
        <v>1130</v>
      </c>
      <c r="F23" s="99" t="s">
        <v>398</v>
      </c>
      <c r="G23" s="99">
        <v>23</v>
      </c>
      <c r="H23" s="99">
        <v>16</v>
      </c>
      <c r="I23" s="99">
        <v>136</v>
      </c>
      <c r="J23" s="99">
        <v>713</v>
      </c>
      <c r="K23" s="99">
        <v>39</v>
      </c>
      <c r="L23" s="99">
        <v>1463</v>
      </c>
      <c r="M23" s="99">
        <v>482</v>
      </c>
      <c r="N23" s="99">
        <v>229</v>
      </c>
      <c r="O23" s="99">
        <v>105</v>
      </c>
      <c r="P23" s="159">
        <v>105</v>
      </c>
      <c r="Q23" s="99">
        <v>6</v>
      </c>
      <c r="R23" s="99">
        <v>32</v>
      </c>
      <c r="S23" s="99">
        <v>22</v>
      </c>
      <c r="T23" s="99">
        <v>13</v>
      </c>
      <c r="U23" s="99" t="s">
        <v>657</v>
      </c>
      <c r="V23" s="99">
        <v>13</v>
      </c>
      <c r="W23" s="99">
        <v>19</v>
      </c>
      <c r="X23" s="99">
        <v>27</v>
      </c>
      <c r="Y23" s="99">
        <v>48</v>
      </c>
      <c r="Z23" s="99">
        <v>31</v>
      </c>
      <c r="AA23" s="99" t="s">
        <v>657</v>
      </c>
      <c r="AB23" s="99" t="s">
        <v>657</v>
      </c>
      <c r="AC23" s="99" t="s">
        <v>657</v>
      </c>
      <c r="AD23" s="98" t="s">
        <v>375</v>
      </c>
      <c r="AE23" s="100">
        <v>0.15418201664620002</v>
      </c>
      <c r="AF23" s="100">
        <v>0.07</v>
      </c>
      <c r="AG23" s="98">
        <v>313.8218037931505</v>
      </c>
      <c r="AH23" s="98">
        <v>218.31082003001774</v>
      </c>
      <c r="AI23" s="100">
        <v>0.019</v>
      </c>
      <c r="AJ23" s="100">
        <v>0.792222</v>
      </c>
      <c r="AK23" s="100">
        <v>0.722222</v>
      </c>
      <c r="AL23" s="100">
        <v>0.784871</v>
      </c>
      <c r="AM23" s="100">
        <v>0.58283</v>
      </c>
      <c r="AN23" s="100">
        <v>0.618919</v>
      </c>
      <c r="AO23" s="98">
        <v>1432.6647564469913</v>
      </c>
      <c r="AP23" s="158">
        <v>0.7706112670999999</v>
      </c>
      <c r="AQ23" s="100">
        <v>0.05714285714285714</v>
      </c>
      <c r="AR23" s="100">
        <v>0.1875</v>
      </c>
      <c r="AS23" s="98">
        <v>300.1773775412744</v>
      </c>
      <c r="AT23" s="98">
        <v>177.37754127438942</v>
      </c>
      <c r="AU23" s="98" t="s">
        <v>657</v>
      </c>
      <c r="AV23" s="98">
        <v>177.37754127438942</v>
      </c>
      <c r="AW23" s="98">
        <v>259.2440987856461</v>
      </c>
      <c r="AX23" s="98">
        <v>368.3995088006549</v>
      </c>
      <c r="AY23" s="98">
        <v>654.9324600900533</v>
      </c>
      <c r="AZ23" s="98">
        <v>422.9772138081594</v>
      </c>
      <c r="BA23" s="100" t="s">
        <v>657</v>
      </c>
      <c r="BB23" s="100" t="s">
        <v>657</v>
      </c>
      <c r="BC23" s="100" t="s">
        <v>657</v>
      </c>
      <c r="BD23" s="158">
        <v>0.6302836609</v>
      </c>
      <c r="BE23" s="158">
        <v>0.9328719329999999</v>
      </c>
      <c r="BF23" s="162">
        <v>900</v>
      </c>
      <c r="BG23" s="162">
        <v>54</v>
      </c>
      <c r="BH23" s="162">
        <v>1864</v>
      </c>
      <c r="BI23" s="162">
        <v>827</v>
      </c>
      <c r="BJ23" s="162">
        <v>370</v>
      </c>
      <c r="BK23" s="97"/>
      <c r="BL23" s="97"/>
      <c r="BM23" s="97"/>
      <c r="BN23" s="97"/>
    </row>
    <row r="24" spans="1:66" ht="12.75">
      <c r="A24" s="79" t="s">
        <v>598</v>
      </c>
      <c r="B24" s="79" t="s">
        <v>322</v>
      </c>
      <c r="C24" s="79" t="s">
        <v>218</v>
      </c>
      <c r="D24" s="99">
        <v>11931</v>
      </c>
      <c r="E24" s="99">
        <v>2152</v>
      </c>
      <c r="F24" s="99" t="s">
        <v>398</v>
      </c>
      <c r="G24" s="99">
        <v>43</v>
      </c>
      <c r="H24" s="99">
        <v>31</v>
      </c>
      <c r="I24" s="99">
        <v>223</v>
      </c>
      <c r="J24" s="99">
        <v>1104</v>
      </c>
      <c r="K24" s="99">
        <v>985</v>
      </c>
      <c r="L24" s="99">
        <v>2383</v>
      </c>
      <c r="M24" s="99">
        <v>773</v>
      </c>
      <c r="N24" s="99">
        <v>364</v>
      </c>
      <c r="O24" s="99">
        <v>168</v>
      </c>
      <c r="P24" s="159">
        <v>168</v>
      </c>
      <c r="Q24" s="99">
        <v>14</v>
      </c>
      <c r="R24" s="99">
        <v>64</v>
      </c>
      <c r="S24" s="99">
        <v>32</v>
      </c>
      <c r="T24" s="99">
        <v>11</v>
      </c>
      <c r="U24" s="99" t="s">
        <v>657</v>
      </c>
      <c r="V24" s="99">
        <v>58</v>
      </c>
      <c r="W24" s="99">
        <v>41</v>
      </c>
      <c r="X24" s="99">
        <v>71</v>
      </c>
      <c r="Y24" s="99">
        <v>77</v>
      </c>
      <c r="Z24" s="99">
        <v>58</v>
      </c>
      <c r="AA24" s="99" t="s">
        <v>657</v>
      </c>
      <c r="AB24" s="99" t="s">
        <v>657</v>
      </c>
      <c r="AC24" s="99" t="s">
        <v>657</v>
      </c>
      <c r="AD24" s="98" t="s">
        <v>375</v>
      </c>
      <c r="AE24" s="100">
        <v>0.18037046349844943</v>
      </c>
      <c r="AF24" s="100">
        <v>0.06</v>
      </c>
      <c r="AG24" s="98">
        <v>360.40566591232925</v>
      </c>
      <c r="AH24" s="98">
        <v>259.82734054144663</v>
      </c>
      <c r="AI24" s="100">
        <v>0.019</v>
      </c>
      <c r="AJ24" s="100">
        <v>0.793674</v>
      </c>
      <c r="AK24" s="100">
        <v>0.808039</v>
      </c>
      <c r="AL24" s="100">
        <v>0.794333</v>
      </c>
      <c r="AM24" s="100">
        <v>0.61252</v>
      </c>
      <c r="AN24" s="100">
        <v>0.641975</v>
      </c>
      <c r="AO24" s="98">
        <v>1408.096555192356</v>
      </c>
      <c r="AP24" s="158">
        <v>0.7237379455999999</v>
      </c>
      <c r="AQ24" s="100">
        <v>0.08333333333333333</v>
      </c>
      <c r="AR24" s="100">
        <v>0.21875</v>
      </c>
      <c r="AS24" s="98">
        <v>268.20886765568684</v>
      </c>
      <c r="AT24" s="98">
        <v>92.19679825664237</v>
      </c>
      <c r="AU24" s="98" t="s">
        <v>657</v>
      </c>
      <c r="AV24" s="98">
        <v>486.12857262593246</v>
      </c>
      <c r="AW24" s="98">
        <v>343.64261168384877</v>
      </c>
      <c r="AX24" s="98">
        <v>595.0884251110552</v>
      </c>
      <c r="AY24" s="98">
        <v>645.3775877964965</v>
      </c>
      <c r="AZ24" s="98">
        <v>486.12857262593246</v>
      </c>
      <c r="BA24" s="100" t="s">
        <v>657</v>
      </c>
      <c r="BB24" s="100" t="s">
        <v>657</v>
      </c>
      <c r="BC24" s="100" t="s">
        <v>657</v>
      </c>
      <c r="BD24" s="158">
        <v>0.6184339142</v>
      </c>
      <c r="BE24" s="158">
        <v>0.8418325043</v>
      </c>
      <c r="BF24" s="162">
        <v>1391</v>
      </c>
      <c r="BG24" s="162">
        <v>1219</v>
      </c>
      <c r="BH24" s="162">
        <v>3000</v>
      </c>
      <c r="BI24" s="162">
        <v>1262</v>
      </c>
      <c r="BJ24" s="162">
        <v>567</v>
      </c>
      <c r="BK24" s="97"/>
      <c r="BL24" s="97"/>
      <c r="BM24" s="97"/>
      <c r="BN24" s="97"/>
    </row>
    <row r="25" spans="1:66" ht="12.75">
      <c r="A25" s="79" t="s">
        <v>618</v>
      </c>
      <c r="B25" s="79" t="s">
        <v>342</v>
      </c>
      <c r="C25" s="79" t="s">
        <v>218</v>
      </c>
      <c r="D25" s="99">
        <v>14776</v>
      </c>
      <c r="E25" s="99">
        <v>3066</v>
      </c>
      <c r="F25" s="99" t="s">
        <v>397</v>
      </c>
      <c r="G25" s="99">
        <v>85</v>
      </c>
      <c r="H25" s="99">
        <v>40</v>
      </c>
      <c r="I25" s="99">
        <v>197</v>
      </c>
      <c r="J25" s="99">
        <v>1271</v>
      </c>
      <c r="K25" s="99">
        <v>22</v>
      </c>
      <c r="L25" s="99">
        <v>2301</v>
      </c>
      <c r="M25" s="99">
        <v>613</v>
      </c>
      <c r="N25" s="99">
        <v>464</v>
      </c>
      <c r="O25" s="99">
        <v>195</v>
      </c>
      <c r="P25" s="159">
        <v>195</v>
      </c>
      <c r="Q25" s="99">
        <v>30</v>
      </c>
      <c r="R25" s="99">
        <v>72</v>
      </c>
      <c r="S25" s="99">
        <v>24</v>
      </c>
      <c r="T25" s="99">
        <v>33</v>
      </c>
      <c r="U25" s="99" t="s">
        <v>657</v>
      </c>
      <c r="V25" s="99">
        <v>23</v>
      </c>
      <c r="W25" s="99">
        <v>117</v>
      </c>
      <c r="X25" s="99">
        <v>53</v>
      </c>
      <c r="Y25" s="99">
        <v>226</v>
      </c>
      <c r="Z25" s="99">
        <v>97</v>
      </c>
      <c r="AA25" s="99" t="s">
        <v>657</v>
      </c>
      <c r="AB25" s="99" t="s">
        <v>657</v>
      </c>
      <c r="AC25" s="99" t="s">
        <v>657</v>
      </c>
      <c r="AD25" s="98" t="s">
        <v>375</v>
      </c>
      <c r="AE25" s="100">
        <v>0.20749864645370872</v>
      </c>
      <c r="AF25" s="100">
        <v>0.16</v>
      </c>
      <c r="AG25" s="98">
        <v>575.2571737953438</v>
      </c>
      <c r="AH25" s="98">
        <v>270.7092582566324</v>
      </c>
      <c r="AI25" s="100">
        <v>0.013000000000000001</v>
      </c>
      <c r="AJ25" s="100">
        <v>0.709659</v>
      </c>
      <c r="AK25" s="100">
        <v>0.423077</v>
      </c>
      <c r="AL25" s="100">
        <v>0.70367</v>
      </c>
      <c r="AM25" s="100">
        <v>0.362937</v>
      </c>
      <c r="AN25" s="100">
        <v>0.538283</v>
      </c>
      <c r="AO25" s="98">
        <v>1319.7076340010829</v>
      </c>
      <c r="AP25" s="158">
        <v>0.6498512268000001</v>
      </c>
      <c r="AQ25" s="100">
        <v>0.15384615384615385</v>
      </c>
      <c r="AR25" s="100">
        <v>0.4166666666666667</v>
      </c>
      <c r="AS25" s="98">
        <v>162.42555495397943</v>
      </c>
      <c r="AT25" s="98">
        <v>223.33513806172172</v>
      </c>
      <c r="AU25" s="98" t="s">
        <v>657</v>
      </c>
      <c r="AV25" s="98">
        <v>155.6578234975636</v>
      </c>
      <c r="AW25" s="98">
        <v>791.8245804006497</v>
      </c>
      <c r="AX25" s="98">
        <v>358.6897671900379</v>
      </c>
      <c r="AY25" s="98">
        <v>1529.507309149973</v>
      </c>
      <c r="AZ25" s="98">
        <v>656.4699512723336</v>
      </c>
      <c r="BA25" s="100" t="s">
        <v>657</v>
      </c>
      <c r="BB25" s="100" t="s">
        <v>657</v>
      </c>
      <c r="BC25" s="100" t="s">
        <v>657</v>
      </c>
      <c r="BD25" s="158">
        <v>0.5618370438</v>
      </c>
      <c r="BE25" s="158">
        <v>0.7477422333</v>
      </c>
      <c r="BF25" s="162">
        <v>1791</v>
      </c>
      <c r="BG25" s="162">
        <v>52</v>
      </c>
      <c r="BH25" s="162">
        <v>3270</v>
      </c>
      <c r="BI25" s="162">
        <v>1689</v>
      </c>
      <c r="BJ25" s="162">
        <v>862</v>
      </c>
      <c r="BK25" s="97"/>
      <c r="BL25" s="97"/>
      <c r="BM25" s="97"/>
      <c r="BN25" s="97"/>
    </row>
    <row r="26" spans="1:66" ht="12.75">
      <c r="A26" s="79" t="s">
        <v>592</v>
      </c>
      <c r="B26" s="79" t="s">
        <v>316</v>
      </c>
      <c r="C26" s="79" t="s">
        <v>218</v>
      </c>
      <c r="D26" s="99">
        <v>11945</v>
      </c>
      <c r="E26" s="99">
        <v>3327</v>
      </c>
      <c r="F26" s="99" t="s">
        <v>398</v>
      </c>
      <c r="G26" s="99">
        <v>79</v>
      </c>
      <c r="H26" s="99">
        <v>39</v>
      </c>
      <c r="I26" s="99">
        <v>358</v>
      </c>
      <c r="J26" s="99">
        <v>1382</v>
      </c>
      <c r="K26" s="99">
        <v>901</v>
      </c>
      <c r="L26" s="99">
        <v>2202</v>
      </c>
      <c r="M26" s="99">
        <v>1239</v>
      </c>
      <c r="N26" s="99">
        <v>586</v>
      </c>
      <c r="O26" s="99">
        <v>203</v>
      </c>
      <c r="P26" s="159">
        <v>203</v>
      </c>
      <c r="Q26" s="99">
        <v>53</v>
      </c>
      <c r="R26" s="99">
        <v>85</v>
      </c>
      <c r="S26" s="99">
        <v>36</v>
      </c>
      <c r="T26" s="99">
        <v>30</v>
      </c>
      <c r="U26" s="99">
        <v>9</v>
      </c>
      <c r="V26" s="99">
        <v>21</v>
      </c>
      <c r="W26" s="99">
        <v>83</v>
      </c>
      <c r="X26" s="99">
        <v>55</v>
      </c>
      <c r="Y26" s="99">
        <v>180</v>
      </c>
      <c r="Z26" s="99">
        <v>89</v>
      </c>
      <c r="AA26" s="99" t="s">
        <v>657</v>
      </c>
      <c r="AB26" s="99" t="s">
        <v>657</v>
      </c>
      <c r="AC26" s="99" t="s">
        <v>657</v>
      </c>
      <c r="AD26" s="98" t="s">
        <v>375</v>
      </c>
      <c r="AE26" s="100">
        <v>0.27852658015906234</v>
      </c>
      <c r="AF26" s="100">
        <v>0.08</v>
      </c>
      <c r="AG26" s="98">
        <v>661.3645876935957</v>
      </c>
      <c r="AH26" s="98">
        <v>326.49644202595226</v>
      </c>
      <c r="AI26" s="100">
        <v>0.03</v>
      </c>
      <c r="AJ26" s="100">
        <v>0.753134</v>
      </c>
      <c r="AK26" s="100">
        <v>0.84127</v>
      </c>
      <c r="AL26" s="100">
        <v>0.834723</v>
      </c>
      <c r="AM26" s="100">
        <v>0.65142</v>
      </c>
      <c r="AN26" s="100">
        <v>0.689412</v>
      </c>
      <c r="AO26" s="98">
        <v>1699.45583926329</v>
      </c>
      <c r="AP26" s="158">
        <v>0.7065523529</v>
      </c>
      <c r="AQ26" s="100">
        <v>0.26108374384236455</v>
      </c>
      <c r="AR26" s="100">
        <v>0.6235294117647059</v>
      </c>
      <c r="AS26" s="98">
        <v>301.38133110087904</v>
      </c>
      <c r="AT26" s="98">
        <v>251.15110925073253</v>
      </c>
      <c r="AU26" s="98">
        <v>75.34533277521976</v>
      </c>
      <c r="AV26" s="98">
        <v>175.80577647551277</v>
      </c>
      <c r="AW26" s="98">
        <v>694.85140226036</v>
      </c>
      <c r="AX26" s="98">
        <v>460.4437002930096</v>
      </c>
      <c r="AY26" s="98">
        <v>1506.906655504395</v>
      </c>
      <c r="AZ26" s="98">
        <v>745.0816241105065</v>
      </c>
      <c r="BA26" s="100" t="s">
        <v>657</v>
      </c>
      <c r="BB26" s="100" t="s">
        <v>657</v>
      </c>
      <c r="BC26" s="100" t="s">
        <v>657</v>
      </c>
      <c r="BD26" s="158">
        <v>0.6126946639999999</v>
      </c>
      <c r="BE26" s="158">
        <v>0.8107207489</v>
      </c>
      <c r="BF26" s="162">
        <v>1835</v>
      </c>
      <c r="BG26" s="162">
        <v>1071</v>
      </c>
      <c r="BH26" s="162">
        <v>2638</v>
      </c>
      <c r="BI26" s="162">
        <v>1902</v>
      </c>
      <c r="BJ26" s="162">
        <v>850</v>
      </c>
      <c r="BK26" s="97"/>
      <c r="BL26" s="97"/>
      <c r="BM26" s="97"/>
      <c r="BN26" s="97"/>
    </row>
    <row r="27" spans="1:66" ht="12.75">
      <c r="A27" s="79" t="s">
        <v>607</v>
      </c>
      <c r="B27" s="79" t="s">
        <v>331</v>
      </c>
      <c r="C27" s="79" t="s">
        <v>218</v>
      </c>
      <c r="D27" s="99">
        <v>7058</v>
      </c>
      <c r="E27" s="99">
        <v>1311</v>
      </c>
      <c r="F27" s="99" t="s">
        <v>396</v>
      </c>
      <c r="G27" s="99">
        <v>34</v>
      </c>
      <c r="H27" s="99">
        <v>31</v>
      </c>
      <c r="I27" s="99">
        <v>128</v>
      </c>
      <c r="J27" s="99">
        <v>644</v>
      </c>
      <c r="K27" s="99" t="s">
        <v>657</v>
      </c>
      <c r="L27" s="99">
        <v>1338</v>
      </c>
      <c r="M27" s="99">
        <v>499</v>
      </c>
      <c r="N27" s="99">
        <v>235</v>
      </c>
      <c r="O27" s="99">
        <v>125</v>
      </c>
      <c r="P27" s="159">
        <v>125</v>
      </c>
      <c r="Q27" s="99">
        <v>15</v>
      </c>
      <c r="R27" s="99">
        <v>33</v>
      </c>
      <c r="S27" s="99">
        <v>34</v>
      </c>
      <c r="T27" s="99">
        <v>13</v>
      </c>
      <c r="U27" s="99" t="s">
        <v>657</v>
      </c>
      <c r="V27" s="99">
        <v>27</v>
      </c>
      <c r="W27" s="99">
        <v>32</v>
      </c>
      <c r="X27" s="99">
        <v>21</v>
      </c>
      <c r="Y27" s="99">
        <v>57</v>
      </c>
      <c r="Z27" s="99">
        <v>48</v>
      </c>
      <c r="AA27" s="99" t="s">
        <v>657</v>
      </c>
      <c r="AB27" s="99" t="s">
        <v>657</v>
      </c>
      <c r="AC27" s="99" t="s">
        <v>657</v>
      </c>
      <c r="AD27" s="98" t="s">
        <v>375</v>
      </c>
      <c r="AE27" s="100">
        <v>0.18574667044488524</v>
      </c>
      <c r="AF27" s="100">
        <v>0.1</v>
      </c>
      <c r="AG27" s="98">
        <v>481.7228676678946</v>
      </c>
      <c r="AH27" s="98">
        <v>439.21790875602153</v>
      </c>
      <c r="AI27" s="100">
        <v>0.018000000000000002</v>
      </c>
      <c r="AJ27" s="100">
        <v>0.711602</v>
      </c>
      <c r="AK27" s="100" t="s">
        <v>657</v>
      </c>
      <c r="AL27" s="100">
        <v>0.794065</v>
      </c>
      <c r="AM27" s="100">
        <v>0.638924</v>
      </c>
      <c r="AN27" s="100">
        <v>0.714286</v>
      </c>
      <c r="AO27" s="98">
        <v>1771.0399546613771</v>
      </c>
      <c r="AP27" s="158">
        <v>0.8890039063</v>
      </c>
      <c r="AQ27" s="100">
        <v>0.12</v>
      </c>
      <c r="AR27" s="100">
        <v>0.45454545454545453</v>
      </c>
      <c r="AS27" s="98">
        <v>481.7228676678946</v>
      </c>
      <c r="AT27" s="98">
        <v>184.18815528478322</v>
      </c>
      <c r="AU27" s="98" t="s">
        <v>657</v>
      </c>
      <c r="AV27" s="98">
        <v>382.54463020685745</v>
      </c>
      <c r="AW27" s="98">
        <v>453.38622839331254</v>
      </c>
      <c r="AX27" s="98">
        <v>297.53471238311135</v>
      </c>
      <c r="AY27" s="98">
        <v>807.594219325588</v>
      </c>
      <c r="AZ27" s="98">
        <v>680.0793425899689</v>
      </c>
      <c r="BA27" s="100" t="s">
        <v>657</v>
      </c>
      <c r="BB27" s="100" t="s">
        <v>657</v>
      </c>
      <c r="BC27" s="100" t="s">
        <v>657</v>
      </c>
      <c r="BD27" s="158">
        <v>0.7399990082</v>
      </c>
      <c r="BE27" s="158">
        <v>1.059207993</v>
      </c>
      <c r="BF27" s="162">
        <v>905</v>
      </c>
      <c r="BG27" s="162" t="s">
        <v>657</v>
      </c>
      <c r="BH27" s="162">
        <v>1685</v>
      </c>
      <c r="BI27" s="162">
        <v>781</v>
      </c>
      <c r="BJ27" s="162">
        <v>329</v>
      </c>
      <c r="BK27" s="97"/>
      <c r="BL27" s="97"/>
      <c r="BM27" s="97"/>
      <c r="BN27" s="97"/>
    </row>
    <row r="28" spans="1:66" ht="12.75">
      <c r="A28" s="79" t="s">
        <v>622</v>
      </c>
      <c r="B28" s="79" t="s">
        <v>346</v>
      </c>
      <c r="C28" s="79" t="s">
        <v>218</v>
      </c>
      <c r="D28" s="99">
        <v>7597</v>
      </c>
      <c r="E28" s="99">
        <v>1870</v>
      </c>
      <c r="F28" s="99" t="s">
        <v>398</v>
      </c>
      <c r="G28" s="99">
        <v>32</v>
      </c>
      <c r="H28" s="99">
        <v>17</v>
      </c>
      <c r="I28" s="99">
        <v>200</v>
      </c>
      <c r="J28" s="99">
        <v>974</v>
      </c>
      <c r="K28" s="99">
        <v>938</v>
      </c>
      <c r="L28" s="99">
        <v>1512</v>
      </c>
      <c r="M28" s="99">
        <v>463</v>
      </c>
      <c r="N28" s="99">
        <v>385</v>
      </c>
      <c r="O28" s="99">
        <v>174</v>
      </c>
      <c r="P28" s="159">
        <v>174</v>
      </c>
      <c r="Q28" s="99">
        <v>18</v>
      </c>
      <c r="R28" s="99">
        <v>47</v>
      </c>
      <c r="S28" s="99">
        <v>38</v>
      </c>
      <c r="T28" s="99">
        <v>22</v>
      </c>
      <c r="U28" s="99">
        <v>9</v>
      </c>
      <c r="V28" s="99">
        <v>25</v>
      </c>
      <c r="W28" s="99">
        <v>73</v>
      </c>
      <c r="X28" s="99">
        <v>18</v>
      </c>
      <c r="Y28" s="99">
        <v>104</v>
      </c>
      <c r="Z28" s="99">
        <v>48</v>
      </c>
      <c r="AA28" s="99" t="s">
        <v>657</v>
      </c>
      <c r="AB28" s="99" t="s">
        <v>657</v>
      </c>
      <c r="AC28" s="99" t="s">
        <v>657</v>
      </c>
      <c r="AD28" s="98" t="s">
        <v>375</v>
      </c>
      <c r="AE28" s="100">
        <v>0.24614979597209424</v>
      </c>
      <c r="AF28" s="100">
        <v>0.07</v>
      </c>
      <c r="AG28" s="98">
        <v>421.21890219823615</v>
      </c>
      <c r="AH28" s="98">
        <v>223.77254179281294</v>
      </c>
      <c r="AI28" s="100">
        <v>0.026000000000000002</v>
      </c>
      <c r="AJ28" s="100">
        <v>0.825424</v>
      </c>
      <c r="AK28" s="100">
        <v>0.83156</v>
      </c>
      <c r="AL28" s="100">
        <v>0.852792</v>
      </c>
      <c r="AM28" s="100">
        <v>0.394378</v>
      </c>
      <c r="AN28" s="100">
        <v>0.638474</v>
      </c>
      <c r="AO28" s="98">
        <v>2290.377780702909</v>
      </c>
      <c r="AP28" s="158">
        <v>0.9895009613000001</v>
      </c>
      <c r="AQ28" s="100">
        <v>0.10344827586206896</v>
      </c>
      <c r="AR28" s="100">
        <v>0.3829787234042553</v>
      </c>
      <c r="AS28" s="98">
        <v>500.1974463604054</v>
      </c>
      <c r="AT28" s="98">
        <v>289.58799526128735</v>
      </c>
      <c r="AU28" s="98">
        <v>118.46781624325392</v>
      </c>
      <c r="AV28" s="98">
        <v>329.077267342372</v>
      </c>
      <c r="AW28" s="98">
        <v>960.9056206397262</v>
      </c>
      <c r="AX28" s="98">
        <v>236.93563248650784</v>
      </c>
      <c r="AY28" s="98">
        <v>1368.9614321442675</v>
      </c>
      <c r="AZ28" s="98">
        <v>631.8283532973542</v>
      </c>
      <c r="BA28" s="100" t="s">
        <v>657</v>
      </c>
      <c r="BB28" s="100" t="s">
        <v>657</v>
      </c>
      <c r="BC28" s="100" t="s">
        <v>657</v>
      </c>
      <c r="BD28" s="158">
        <v>0.8479345703</v>
      </c>
      <c r="BE28" s="158">
        <v>1.1479443360000001</v>
      </c>
      <c r="BF28" s="162">
        <v>1180</v>
      </c>
      <c r="BG28" s="162">
        <v>1128</v>
      </c>
      <c r="BH28" s="162">
        <v>1773</v>
      </c>
      <c r="BI28" s="162">
        <v>1174</v>
      </c>
      <c r="BJ28" s="162">
        <v>603</v>
      </c>
      <c r="BK28" s="97"/>
      <c r="BL28" s="97"/>
      <c r="BM28" s="97"/>
      <c r="BN28" s="97"/>
    </row>
    <row r="29" spans="1:66" ht="12.75">
      <c r="A29" s="79" t="s">
        <v>587</v>
      </c>
      <c r="B29" s="79" t="s">
        <v>311</v>
      </c>
      <c r="C29" s="79" t="s">
        <v>218</v>
      </c>
      <c r="D29" s="99">
        <v>6701</v>
      </c>
      <c r="E29" s="99">
        <v>1028</v>
      </c>
      <c r="F29" s="99" t="s">
        <v>397</v>
      </c>
      <c r="G29" s="99">
        <v>25</v>
      </c>
      <c r="H29" s="99">
        <v>11</v>
      </c>
      <c r="I29" s="99">
        <v>140</v>
      </c>
      <c r="J29" s="99">
        <v>552</v>
      </c>
      <c r="K29" s="99" t="s">
        <v>657</v>
      </c>
      <c r="L29" s="99">
        <v>1092</v>
      </c>
      <c r="M29" s="99">
        <v>295</v>
      </c>
      <c r="N29" s="99">
        <v>157</v>
      </c>
      <c r="O29" s="99">
        <v>117</v>
      </c>
      <c r="P29" s="159">
        <v>117</v>
      </c>
      <c r="Q29" s="99">
        <v>17</v>
      </c>
      <c r="R29" s="99">
        <v>27</v>
      </c>
      <c r="S29" s="99">
        <v>32</v>
      </c>
      <c r="T29" s="99">
        <v>15</v>
      </c>
      <c r="U29" s="99" t="s">
        <v>657</v>
      </c>
      <c r="V29" s="99">
        <v>25</v>
      </c>
      <c r="W29" s="99">
        <v>33</v>
      </c>
      <c r="X29" s="99">
        <v>28</v>
      </c>
      <c r="Y29" s="99">
        <v>59</v>
      </c>
      <c r="Z29" s="99">
        <v>35</v>
      </c>
      <c r="AA29" s="99" t="s">
        <v>657</v>
      </c>
      <c r="AB29" s="99" t="s">
        <v>657</v>
      </c>
      <c r="AC29" s="99" t="s">
        <v>657</v>
      </c>
      <c r="AD29" s="98" t="s">
        <v>375</v>
      </c>
      <c r="AE29" s="100">
        <v>0.15340993881510223</v>
      </c>
      <c r="AF29" s="100">
        <v>0.13</v>
      </c>
      <c r="AG29" s="98">
        <v>373.0786449783614</v>
      </c>
      <c r="AH29" s="98">
        <v>164.15460379047903</v>
      </c>
      <c r="AI29" s="100">
        <v>0.021</v>
      </c>
      <c r="AJ29" s="100">
        <v>0.722513</v>
      </c>
      <c r="AK29" s="100" t="s">
        <v>657</v>
      </c>
      <c r="AL29" s="100">
        <v>0.667482</v>
      </c>
      <c r="AM29" s="100">
        <v>0.520282</v>
      </c>
      <c r="AN29" s="100">
        <v>0.610895</v>
      </c>
      <c r="AO29" s="98">
        <v>1746.0080584987315</v>
      </c>
      <c r="AP29" s="158">
        <v>0.9780379485999999</v>
      </c>
      <c r="AQ29" s="100">
        <v>0.1452991452991453</v>
      </c>
      <c r="AR29" s="100">
        <v>0.6296296296296297</v>
      </c>
      <c r="AS29" s="98">
        <v>477.54066557230266</v>
      </c>
      <c r="AT29" s="98">
        <v>223.84718698701687</v>
      </c>
      <c r="AU29" s="98" t="s">
        <v>657</v>
      </c>
      <c r="AV29" s="98">
        <v>373.0786449783614</v>
      </c>
      <c r="AW29" s="98">
        <v>492.4638113714371</v>
      </c>
      <c r="AX29" s="98">
        <v>417.8480823757648</v>
      </c>
      <c r="AY29" s="98">
        <v>880.465602148933</v>
      </c>
      <c r="AZ29" s="98">
        <v>522.310102969706</v>
      </c>
      <c r="BA29" s="100" t="s">
        <v>657</v>
      </c>
      <c r="BB29" s="100" t="s">
        <v>657</v>
      </c>
      <c r="BC29" s="100" t="s">
        <v>657</v>
      </c>
      <c r="BD29" s="158">
        <v>0.8088640594000001</v>
      </c>
      <c r="BE29" s="158">
        <v>1.172152863</v>
      </c>
      <c r="BF29" s="162">
        <v>764</v>
      </c>
      <c r="BG29" s="162" t="s">
        <v>657</v>
      </c>
      <c r="BH29" s="162">
        <v>1636</v>
      </c>
      <c r="BI29" s="162">
        <v>567</v>
      </c>
      <c r="BJ29" s="162">
        <v>257</v>
      </c>
      <c r="BK29" s="97"/>
      <c r="BL29" s="97"/>
      <c r="BM29" s="97"/>
      <c r="BN29" s="97"/>
    </row>
    <row r="30" spans="1:66" ht="12.75">
      <c r="A30" s="79" t="s">
        <v>597</v>
      </c>
      <c r="B30" s="79" t="s">
        <v>321</v>
      </c>
      <c r="C30" s="79" t="s">
        <v>218</v>
      </c>
      <c r="D30" s="99">
        <v>11706</v>
      </c>
      <c r="E30" s="99">
        <v>4390</v>
      </c>
      <c r="F30" s="99" t="s">
        <v>396</v>
      </c>
      <c r="G30" s="99">
        <v>81</v>
      </c>
      <c r="H30" s="99">
        <v>32</v>
      </c>
      <c r="I30" s="99">
        <v>405</v>
      </c>
      <c r="J30" s="99">
        <v>1558</v>
      </c>
      <c r="K30" s="99">
        <v>1535</v>
      </c>
      <c r="L30" s="99">
        <v>1900</v>
      </c>
      <c r="M30" s="99">
        <v>1431</v>
      </c>
      <c r="N30" s="99">
        <v>690</v>
      </c>
      <c r="O30" s="99">
        <v>334</v>
      </c>
      <c r="P30" s="159">
        <v>334</v>
      </c>
      <c r="Q30" s="99">
        <v>41</v>
      </c>
      <c r="R30" s="99">
        <v>106</v>
      </c>
      <c r="S30" s="99">
        <v>49</v>
      </c>
      <c r="T30" s="99">
        <v>55</v>
      </c>
      <c r="U30" s="99">
        <v>13</v>
      </c>
      <c r="V30" s="99">
        <v>48</v>
      </c>
      <c r="W30" s="99">
        <v>70</v>
      </c>
      <c r="X30" s="99">
        <v>45</v>
      </c>
      <c r="Y30" s="99">
        <v>193</v>
      </c>
      <c r="Z30" s="99">
        <v>100</v>
      </c>
      <c r="AA30" s="99" t="s">
        <v>657</v>
      </c>
      <c r="AB30" s="99" t="s">
        <v>657</v>
      </c>
      <c r="AC30" s="99" t="s">
        <v>657</v>
      </c>
      <c r="AD30" s="98" t="s">
        <v>375</v>
      </c>
      <c r="AE30" s="100">
        <v>0.3750213565692807</v>
      </c>
      <c r="AF30" s="100">
        <v>0.09</v>
      </c>
      <c r="AG30" s="98">
        <v>691.9528446950281</v>
      </c>
      <c r="AH30" s="98">
        <v>273.36408679309756</v>
      </c>
      <c r="AI30" s="100">
        <v>0.035</v>
      </c>
      <c r="AJ30" s="100">
        <v>0.778222</v>
      </c>
      <c r="AK30" s="100">
        <v>0.816924</v>
      </c>
      <c r="AL30" s="100">
        <v>0.81826</v>
      </c>
      <c r="AM30" s="100">
        <v>0.644595</v>
      </c>
      <c r="AN30" s="100">
        <v>0.704082</v>
      </c>
      <c r="AO30" s="98">
        <v>2853.237655902956</v>
      </c>
      <c r="AP30" s="158">
        <v>1.01016655</v>
      </c>
      <c r="AQ30" s="100">
        <v>0.12275449101796407</v>
      </c>
      <c r="AR30" s="100">
        <v>0.3867924528301887</v>
      </c>
      <c r="AS30" s="98">
        <v>418.58875790193065</v>
      </c>
      <c r="AT30" s="98">
        <v>469.8445241756364</v>
      </c>
      <c r="AU30" s="98">
        <v>111.05416025969588</v>
      </c>
      <c r="AV30" s="98">
        <v>410.04613018964636</v>
      </c>
      <c r="AW30" s="98">
        <v>597.9839398599009</v>
      </c>
      <c r="AX30" s="98">
        <v>384.41824705279345</v>
      </c>
      <c r="AY30" s="98">
        <v>1648.7271484708697</v>
      </c>
      <c r="AZ30" s="98">
        <v>854.2627712284299</v>
      </c>
      <c r="BA30" s="100" t="s">
        <v>657</v>
      </c>
      <c r="BB30" s="100" t="s">
        <v>657</v>
      </c>
      <c r="BC30" s="100" t="s">
        <v>657</v>
      </c>
      <c r="BD30" s="158">
        <v>0.9047242737000001</v>
      </c>
      <c r="BE30" s="158">
        <v>1.124523468</v>
      </c>
      <c r="BF30" s="162">
        <v>2002</v>
      </c>
      <c r="BG30" s="162">
        <v>1879</v>
      </c>
      <c r="BH30" s="162">
        <v>2322</v>
      </c>
      <c r="BI30" s="162">
        <v>2220</v>
      </c>
      <c r="BJ30" s="162">
        <v>980</v>
      </c>
      <c r="BK30" s="97"/>
      <c r="BL30" s="97"/>
      <c r="BM30" s="97"/>
      <c r="BN30" s="97"/>
    </row>
    <row r="31" spans="1:66" ht="12.75">
      <c r="A31" s="79" t="s">
        <v>642</v>
      </c>
      <c r="B31" s="79" t="s">
        <v>366</v>
      </c>
      <c r="C31" s="79" t="s">
        <v>218</v>
      </c>
      <c r="D31" s="99">
        <v>5916</v>
      </c>
      <c r="E31" s="99">
        <v>1461</v>
      </c>
      <c r="F31" s="99" t="s">
        <v>396</v>
      </c>
      <c r="G31" s="99">
        <v>35</v>
      </c>
      <c r="H31" s="99">
        <v>23</v>
      </c>
      <c r="I31" s="99">
        <v>108</v>
      </c>
      <c r="J31" s="99">
        <v>441</v>
      </c>
      <c r="K31" s="99">
        <v>11</v>
      </c>
      <c r="L31" s="99">
        <v>1019</v>
      </c>
      <c r="M31" s="99">
        <v>185</v>
      </c>
      <c r="N31" s="99">
        <v>147</v>
      </c>
      <c r="O31" s="99">
        <v>61</v>
      </c>
      <c r="P31" s="159">
        <v>61</v>
      </c>
      <c r="Q31" s="99">
        <v>20</v>
      </c>
      <c r="R31" s="99">
        <v>35</v>
      </c>
      <c r="S31" s="99">
        <v>12</v>
      </c>
      <c r="T31" s="99">
        <v>12</v>
      </c>
      <c r="U31" s="99" t="s">
        <v>657</v>
      </c>
      <c r="V31" s="99">
        <v>12</v>
      </c>
      <c r="W31" s="99">
        <v>54</v>
      </c>
      <c r="X31" s="99">
        <v>15</v>
      </c>
      <c r="Y31" s="99">
        <v>78</v>
      </c>
      <c r="Z31" s="99">
        <v>37</v>
      </c>
      <c r="AA31" s="99" t="s">
        <v>657</v>
      </c>
      <c r="AB31" s="99" t="s">
        <v>657</v>
      </c>
      <c r="AC31" s="99" t="s">
        <v>657</v>
      </c>
      <c r="AD31" s="98" t="s">
        <v>375</v>
      </c>
      <c r="AE31" s="100">
        <v>0.24695740365111563</v>
      </c>
      <c r="AF31" s="100">
        <v>0.12</v>
      </c>
      <c r="AG31" s="98">
        <v>591.6159567275186</v>
      </c>
      <c r="AH31" s="98">
        <v>388.77620013522653</v>
      </c>
      <c r="AI31" s="100">
        <v>0.018000000000000002</v>
      </c>
      <c r="AJ31" s="100">
        <v>0.710145</v>
      </c>
      <c r="AK31" s="100">
        <v>0.6875</v>
      </c>
      <c r="AL31" s="100">
        <v>0.761584</v>
      </c>
      <c r="AM31" s="100">
        <v>0.321181</v>
      </c>
      <c r="AN31" s="100">
        <v>0.481967</v>
      </c>
      <c r="AO31" s="98">
        <v>1031.102096010818</v>
      </c>
      <c r="AP31" s="158">
        <v>0.475408287</v>
      </c>
      <c r="AQ31" s="100">
        <v>0.32786885245901637</v>
      </c>
      <c r="AR31" s="100">
        <v>0.5714285714285714</v>
      </c>
      <c r="AS31" s="98">
        <v>202.83975659229208</v>
      </c>
      <c r="AT31" s="98">
        <v>202.83975659229208</v>
      </c>
      <c r="AU31" s="98" t="s">
        <v>657</v>
      </c>
      <c r="AV31" s="98">
        <v>202.83975659229208</v>
      </c>
      <c r="AW31" s="98">
        <v>912.7789046653144</v>
      </c>
      <c r="AX31" s="98">
        <v>253.5496957403651</v>
      </c>
      <c r="AY31" s="98">
        <v>1318.4584178498985</v>
      </c>
      <c r="AZ31" s="98">
        <v>625.4225828262339</v>
      </c>
      <c r="BA31" s="100" t="s">
        <v>657</v>
      </c>
      <c r="BB31" s="100" t="s">
        <v>657</v>
      </c>
      <c r="BC31" s="100" t="s">
        <v>657</v>
      </c>
      <c r="BD31" s="158">
        <v>0.3636496735</v>
      </c>
      <c r="BE31" s="158">
        <v>0.6106818390000001</v>
      </c>
      <c r="BF31" s="162">
        <v>621</v>
      </c>
      <c r="BG31" s="162">
        <v>16</v>
      </c>
      <c r="BH31" s="162">
        <v>1338</v>
      </c>
      <c r="BI31" s="162">
        <v>576</v>
      </c>
      <c r="BJ31" s="162">
        <v>305</v>
      </c>
      <c r="BK31" s="97"/>
      <c r="BL31" s="97"/>
      <c r="BM31" s="97"/>
      <c r="BN31" s="97"/>
    </row>
    <row r="32" spans="1:66" ht="12.75">
      <c r="A32" s="79" t="s">
        <v>613</v>
      </c>
      <c r="B32" s="79" t="s">
        <v>337</v>
      </c>
      <c r="C32" s="79" t="s">
        <v>218</v>
      </c>
      <c r="D32" s="99">
        <v>9481</v>
      </c>
      <c r="E32" s="99">
        <v>2187</v>
      </c>
      <c r="F32" s="99" t="s">
        <v>398</v>
      </c>
      <c r="G32" s="99">
        <v>38</v>
      </c>
      <c r="H32" s="99">
        <v>31</v>
      </c>
      <c r="I32" s="99">
        <v>183</v>
      </c>
      <c r="J32" s="99">
        <v>1078</v>
      </c>
      <c r="K32" s="99">
        <v>19</v>
      </c>
      <c r="L32" s="99">
        <v>1728</v>
      </c>
      <c r="M32" s="99">
        <v>489</v>
      </c>
      <c r="N32" s="99">
        <v>419</v>
      </c>
      <c r="O32" s="99">
        <v>245</v>
      </c>
      <c r="P32" s="159">
        <v>245</v>
      </c>
      <c r="Q32" s="99">
        <v>12</v>
      </c>
      <c r="R32" s="99">
        <v>33</v>
      </c>
      <c r="S32" s="99">
        <v>52</v>
      </c>
      <c r="T32" s="99">
        <v>45</v>
      </c>
      <c r="U32" s="99" t="s">
        <v>657</v>
      </c>
      <c r="V32" s="99">
        <v>57</v>
      </c>
      <c r="W32" s="99">
        <v>87</v>
      </c>
      <c r="X32" s="99">
        <v>35</v>
      </c>
      <c r="Y32" s="99">
        <v>127</v>
      </c>
      <c r="Z32" s="99">
        <v>47</v>
      </c>
      <c r="AA32" s="99" t="s">
        <v>657</v>
      </c>
      <c r="AB32" s="99" t="s">
        <v>657</v>
      </c>
      <c r="AC32" s="99" t="s">
        <v>657</v>
      </c>
      <c r="AD32" s="98" t="s">
        <v>375</v>
      </c>
      <c r="AE32" s="100">
        <v>0.23067187005590128</v>
      </c>
      <c r="AF32" s="100">
        <v>0.07</v>
      </c>
      <c r="AG32" s="98">
        <v>400.80160320641284</v>
      </c>
      <c r="AH32" s="98">
        <v>326.9697289315473</v>
      </c>
      <c r="AI32" s="100">
        <v>0.019</v>
      </c>
      <c r="AJ32" s="100">
        <v>0.77276</v>
      </c>
      <c r="AK32" s="100">
        <v>0.655172</v>
      </c>
      <c r="AL32" s="100">
        <v>0.768341</v>
      </c>
      <c r="AM32" s="100">
        <v>0.370735</v>
      </c>
      <c r="AN32" s="100">
        <v>0.591808</v>
      </c>
      <c r="AO32" s="98">
        <v>2584.1155996202933</v>
      </c>
      <c r="AP32" s="158">
        <v>1.165381622</v>
      </c>
      <c r="AQ32" s="100">
        <v>0.04897959183673469</v>
      </c>
      <c r="AR32" s="100">
        <v>0.36363636363636365</v>
      </c>
      <c r="AS32" s="98">
        <v>548.4653517561438</v>
      </c>
      <c r="AT32" s="98">
        <v>474.63347748127836</v>
      </c>
      <c r="AU32" s="98" t="s">
        <v>657</v>
      </c>
      <c r="AV32" s="98">
        <v>601.2024048096192</v>
      </c>
      <c r="AW32" s="98">
        <v>917.6247231304715</v>
      </c>
      <c r="AX32" s="98">
        <v>369.1593713743276</v>
      </c>
      <c r="AY32" s="98">
        <v>1339.5211475582744</v>
      </c>
      <c r="AZ32" s="98">
        <v>495.7282987026685</v>
      </c>
      <c r="BA32" s="101" t="s">
        <v>657</v>
      </c>
      <c r="BB32" s="101" t="s">
        <v>657</v>
      </c>
      <c r="BC32" s="101" t="s">
        <v>657</v>
      </c>
      <c r="BD32" s="158">
        <v>1.024011612</v>
      </c>
      <c r="BE32" s="158">
        <v>1.320813751</v>
      </c>
      <c r="BF32" s="162">
        <v>1395</v>
      </c>
      <c r="BG32" s="162">
        <v>29</v>
      </c>
      <c r="BH32" s="162">
        <v>2249</v>
      </c>
      <c r="BI32" s="162">
        <v>1319</v>
      </c>
      <c r="BJ32" s="162">
        <v>708</v>
      </c>
      <c r="BK32" s="97"/>
      <c r="BL32" s="97"/>
      <c r="BM32" s="97"/>
      <c r="BN32" s="97"/>
    </row>
    <row r="33" spans="1:66" ht="12.75">
      <c r="A33" s="79" t="s">
        <v>630</v>
      </c>
      <c r="B33" s="79" t="s">
        <v>354</v>
      </c>
      <c r="C33" s="79" t="s">
        <v>218</v>
      </c>
      <c r="D33" s="99">
        <v>2533</v>
      </c>
      <c r="E33" s="99">
        <v>625</v>
      </c>
      <c r="F33" s="99" t="s">
        <v>396</v>
      </c>
      <c r="G33" s="99" t="s">
        <v>657</v>
      </c>
      <c r="H33" s="99">
        <v>17</v>
      </c>
      <c r="I33" s="99">
        <v>50</v>
      </c>
      <c r="J33" s="99">
        <v>242</v>
      </c>
      <c r="K33" s="99" t="s">
        <v>657</v>
      </c>
      <c r="L33" s="99">
        <v>434</v>
      </c>
      <c r="M33" s="99">
        <v>155</v>
      </c>
      <c r="N33" s="99">
        <v>125</v>
      </c>
      <c r="O33" s="99">
        <v>20</v>
      </c>
      <c r="P33" s="159">
        <v>20</v>
      </c>
      <c r="Q33" s="99" t="s">
        <v>657</v>
      </c>
      <c r="R33" s="99">
        <v>13</v>
      </c>
      <c r="S33" s="99" t="s">
        <v>657</v>
      </c>
      <c r="T33" s="99" t="s">
        <v>657</v>
      </c>
      <c r="U33" s="99" t="s">
        <v>657</v>
      </c>
      <c r="V33" s="99" t="s">
        <v>657</v>
      </c>
      <c r="W33" s="99">
        <v>33</v>
      </c>
      <c r="X33" s="99">
        <v>8</v>
      </c>
      <c r="Y33" s="99">
        <v>44</v>
      </c>
      <c r="Z33" s="99">
        <v>18</v>
      </c>
      <c r="AA33" s="99" t="s">
        <v>657</v>
      </c>
      <c r="AB33" s="99" t="s">
        <v>657</v>
      </c>
      <c r="AC33" s="99" t="s">
        <v>657</v>
      </c>
      <c r="AD33" s="98" t="s">
        <v>375</v>
      </c>
      <c r="AE33" s="100">
        <v>0.24674299249901302</v>
      </c>
      <c r="AF33" s="100">
        <v>0.09</v>
      </c>
      <c r="AG33" s="98" t="s">
        <v>657</v>
      </c>
      <c r="AH33" s="98">
        <v>671.1409395973154</v>
      </c>
      <c r="AI33" s="100">
        <v>0.02</v>
      </c>
      <c r="AJ33" s="100">
        <v>0.744615</v>
      </c>
      <c r="AK33" s="100" t="s">
        <v>657</v>
      </c>
      <c r="AL33" s="100">
        <v>0.825095</v>
      </c>
      <c r="AM33" s="100">
        <v>0.41555</v>
      </c>
      <c r="AN33" s="100">
        <v>0.628141</v>
      </c>
      <c r="AO33" s="98">
        <v>789.5775759968417</v>
      </c>
      <c r="AP33" s="158">
        <v>0.3564117813</v>
      </c>
      <c r="AQ33" s="100" t="s">
        <v>657</v>
      </c>
      <c r="AR33" s="100" t="s">
        <v>657</v>
      </c>
      <c r="AS33" s="98" t="s">
        <v>657</v>
      </c>
      <c r="AT33" s="98" t="s">
        <v>657</v>
      </c>
      <c r="AU33" s="98" t="s">
        <v>657</v>
      </c>
      <c r="AV33" s="98" t="s">
        <v>657</v>
      </c>
      <c r="AW33" s="98">
        <v>1302.8030003947888</v>
      </c>
      <c r="AX33" s="98">
        <v>315.8310303987367</v>
      </c>
      <c r="AY33" s="98">
        <v>1737.0706671930518</v>
      </c>
      <c r="AZ33" s="98">
        <v>710.6198183971575</v>
      </c>
      <c r="BA33" s="100" t="s">
        <v>657</v>
      </c>
      <c r="BB33" s="100" t="s">
        <v>657</v>
      </c>
      <c r="BC33" s="100" t="s">
        <v>657</v>
      </c>
      <c r="BD33" s="158">
        <v>0.217705574</v>
      </c>
      <c r="BE33" s="158">
        <v>0.5504491043</v>
      </c>
      <c r="BF33" s="162">
        <v>325</v>
      </c>
      <c r="BG33" s="162" t="s">
        <v>657</v>
      </c>
      <c r="BH33" s="162">
        <v>526</v>
      </c>
      <c r="BI33" s="162">
        <v>373</v>
      </c>
      <c r="BJ33" s="162">
        <v>199</v>
      </c>
      <c r="BK33" s="97"/>
      <c r="BL33" s="97"/>
      <c r="BM33" s="97"/>
      <c r="BN33" s="97"/>
    </row>
    <row r="34" spans="1:66" ht="12.75">
      <c r="A34" s="79" t="s">
        <v>646</v>
      </c>
      <c r="B34" s="79" t="s">
        <v>370</v>
      </c>
      <c r="C34" s="79" t="s">
        <v>218</v>
      </c>
      <c r="D34" s="99">
        <v>13814</v>
      </c>
      <c r="E34" s="99">
        <v>1632</v>
      </c>
      <c r="F34" s="99" t="s">
        <v>398</v>
      </c>
      <c r="G34" s="99">
        <v>46</v>
      </c>
      <c r="H34" s="99">
        <v>28</v>
      </c>
      <c r="I34" s="99">
        <v>176</v>
      </c>
      <c r="J34" s="99">
        <v>1174</v>
      </c>
      <c r="K34" s="99">
        <v>16</v>
      </c>
      <c r="L34" s="99">
        <v>3012</v>
      </c>
      <c r="M34" s="99">
        <v>811</v>
      </c>
      <c r="N34" s="99">
        <v>403</v>
      </c>
      <c r="O34" s="99">
        <v>126</v>
      </c>
      <c r="P34" s="159">
        <v>126</v>
      </c>
      <c r="Q34" s="99">
        <v>16</v>
      </c>
      <c r="R34" s="99">
        <v>42</v>
      </c>
      <c r="S34" s="99">
        <v>51</v>
      </c>
      <c r="T34" s="99">
        <v>15</v>
      </c>
      <c r="U34" s="99">
        <v>8</v>
      </c>
      <c r="V34" s="99">
        <v>12</v>
      </c>
      <c r="W34" s="99">
        <v>49</v>
      </c>
      <c r="X34" s="99">
        <v>42</v>
      </c>
      <c r="Y34" s="99">
        <v>108</v>
      </c>
      <c r="Z34" s="99">
        <v>67</v>
      </c>
      <c r="AA34" s="99" t="s">
        <v>657</v>
      </c>
      <c r="AB34" s="99" t="s">
        <v>657</v>
      </c>
      <c r="AC34" s="99" t="s">
        <v>657</v>
      </c>
      <c r="AD34" s="98" t="s">
        <v>375</v>
      </c>
      <c r="AE34" s="100">
        <v>0.11814101636021428</v>
      </c>
      <c r="AF34" s="100">
        <v>0.06</v>
      </c>
      <c r="AG34" s="98">
        <v>332.99551179962356</v>
      </c>
      <c r="AH34" s="98">
        <v>202.69292022585782</v>
      </c>
      <c r="AI34" s="100">
        <v>0.013000000000000001</v>
      </c>
      <c r="AJ34" s="100">
        <v>0.73192</v>
      </c>
      <c r="AK34" s="100">
        <v>0.551724</v>
      </c>
      <c r="AL34" s="100">
        <v>0.830667</v>
      </c>
      <c r="AM34" s="100">
        <v>0.614394</v>
      </c>
      <c r="AN34" s="100">
        <v>0.656352</v>
      </c>
      <c r="AO34" s="98">
        <v>912.1181410163603</v>
      </c>
      <c r="AP34" s="158">
        <v>0.5303439330999999</v>
      </c>
      <c r="AQ34" s="100">
        <v>0.12698412698412698</v>
      </c>
      <c r="AR34" s="100">
        <v>0.38095238095238093</v>
      </c>
      <c r="AS34" s="98">
        <v>369.1906761256696</v>
      </c>
      <c r="AT34" s="98">
        <v>108.58549297813812</v>
      </c>
      <c r="AU34" s="98">
        <v>57.912262921673666</v>
      </c>
      <c r="AV34" s="98">
        <v>86.8683943825105</v>
      </c>
      <c r="AW34" s="98">
        <v>354.7126103952512</v>
      </c>
      <c r="AX34" s="98">
        <v>304.0393803387867</v>
      </c>
      <c r="AY34" s="98">
        <v>781.8155494425945</v>
      </c>
      <c r="AZ34" s="98">
        <v>485.0152019690169</v>
      </c>
      <c r="BA34" s="100" t="s">
        <v>657</v>
      </c>
      <c r="BB34" s="100" t="s">
        <v>657</v>
      </c>
      <c r="BC34" s="100" t="s">
        <v>657</v>
      </c>
      <c r="BD34" s="158">
        <v>0.44179065700000003</v>
      </c>
      <c r="BE34" s="158">
        <v>0.6314420319</v>
      </c>
      <c r="BF34" s="162">
        <v>1604</v>
      </c>
      <c r="BG34" s="162">
        <v>29</v>
      </c>
      <c r="BH34" s="162">
        <v>3626</v>
      </c>
      <c r="BI34" s="162">
        <v>1320</v>
      </c>
      <c r="BJ34" s="162">
        <v>614</v>
      </c>
      <c r="BK34" s="97"/>
      <c r="BL34" s="97"/>
      <c r="BM34" s="97"/>
      <c r="BN34" s="97"/>
    </row>
    <row r="35" spans="1:66" ht="12.75">
      <c r="A35" s="79" t="s">
        <v>604</v>
      </c>
      <c r="B35" s="79" t="s">
        <v>328</v>
      </c>
      <c r="C35" s="79" t="s">
        <v>218</v>
      </c>
      <c r="D35" s="99">
        <v>10054</v>
      </c>
      <c r="E35" s="99">
        <v>1413</v>
      </c>
      <c r="F35" s="99" t="s">
        <v>397</v>
      </c>
      <c r="G35" s="99">
        <v>51</v>
      </c>
      <c r="H35" s="99">
        <v>33</v>
      </c>
      <c r="I35" s="99">
        <v>165</v>
      </c>
      <c r="J35" s="99">
        <v>704</v>
      </c>
      <c r="K35" s="99" t="s">
        <v>657</v>
      </c>
      <c r="L35" s="99">
        <v>1763</v>
      </c>
      <c r="M35" s="99">
        <v>411</v>
      </c>
      <c r="N35" s="99">
        <v>215</v>
      </c>
      <c r="O35" s="99">
        <v>244</v>
      </c>
      <c r="P35" s="159">
        <v>244</v>
      </c>
      <c r="Q35" s="99">
        <v>27</v>
      </c>
      <c r="R35" s="99">
        <v>50</v>
      </c>
      <c r="S35" s="99">
        <v>44</v>
      </c>
      <c r="T35" s="99">
        <v>49</v>
      </c>
      <c r="U35" s="99">
        <v>10</v>
      </c>
      <c r="V35" s="99">
        <v>34</v>
      </c>
      <c r="W35" s="99">
        <v>71</v>
      </c>
      <c r="X35" s="99">
        <v>54</v>
      </c>
      <c r="Y35" s="99">
        <v>114</v>
      </c>
      <c r="Z35" s="99">
        <v>65</v>
      </c>
      <c r="AA35" s="99" t="s">
        <v>657</v>
      </c>
      <c r="AB35" s="99" t="s">
        <v>657</v>
      </c>
      <c r="AC35" s="99" t="s">
        <v>657</v>
      </c>
      <c r="AD35" s="98" t="s">
        <v>375</v>
      </c>
      <c r="AE35" s="100">
        <v>0.14054107817783967</v>
      </c>
      <c r="AF35" s="100">
        <v>0.13</v>
      </c>
      <c r="AG35" s="98">
        <v>507.26079172468667</v>
      </c>
      <c r="AH35" s="98">
        <v>328.2275711159737</v>
      </c>
      <c r="AI35" s="100">
        <v>0.016</v>
      </c>
      <c r="AJ35" s="100">
        <v>0.628571</v>
      </c>
      <c r="AK35" s="100" t="s">
        <v>657</v>
      </c>
      <c r="AL35" s="100">
        <v>0.692731</v>
      </c>
      <c r="AM35" s="100">
        <v>0.447225</v>
      </c>
      <c r="AN35" s="100">
        <v>0.541562</v>
      </c>
      <c r="AO35" s="98">
        <v>2426.894768251442</v>
      </c>
      <c r="AP35" s="158">
        <v>1.3993994140000001</v>
      </c>
      <c r="AQ35" s="100">
        <v>0.11065573770491803</v>
      </c>
      <c r="AR35" s="100">
        <v>0.54</v>
      </c>
      <c r="AS35" s="98">
        <v>437.636761487965</v>
      </c>
      <c r="AT35" s="98">
        <v>487.3682116570519</v>
      </c>
      <c r="AU35" s="98">
        <v>99.46290033817387</v>
      </c>
      <c r="AV35" s="98">
        <v>338.17386114979115</v>
      </c>
      <c r="AW35" s="98">
        <v>706.1865924010344</v>
      </c>
      <c r="AX35" s="98">
        <v>537.0996618261388</v>
      </c>
      <c r="AY35" s="98">
        <v>1133.877063855182</v>
      </c>
      <c r="AZ35" s="98">
        <v>646.5088521981301</v>
      </c>
      <c r="BA35" s="100" t="s">
        <v>657</v>
      </c>
      <c r="BB35" s="100" t="s">
        <v>657</v>
      </c>
      <c r="BC35" s="100" t="s">
        <v>657</v>
      </c>
      <c r="BD35" s="158">
        <v>1.229305038</v>
      </c>
      <c r="BE35" s="158">
        <v>1.586449738</v>
      </c>
      <c r="BF35" s="162">
        <v>1120</v>
      </c>
      <c r="BG35" s="162" t="s">
        <v>657</v>
      </c>
      <c r="BH35" s="162">
        <v>2545</v>
      </c>
      <c r="BI35" s="162">
        <v>919</v>
      </c>
      <c r="BJ35" s="162">
        <v>397</v>
      </c>
      <c r="BK35" s="97"/>
      <c r="BL35" s="97"/>
      <c r="BM35" s="97"/>
      <c r="BN35" s="97"/>
    </row>
    <row r="36" spans="1:66" ht="12.75">
      <c r="A36" s="79" t="s">
        <v>567</v>
      </c>
      <c r="B36" s="79" t="s">
        <v>290</v>
      </c>
      <c r="C36" s="79" t="s">
        <v>218</v>
      </c>
      <c r="D36" s="99">
        <v>7940</v>
      </c>
      <c r="E36" s="99">
        <v>1548</v>
      </c>
      <c r="F36" s="99" t="s">
        <v>398</v>
      </c>
      <c r="G36" s="99">
        <v>27</v>
      </c>
      <c r="H36" s="99">
        <v>24</v>
      </c>
      <c r="I36" s="99">
        <v>166</v>
      </c>
      <c r="J36" s="99">
        <v>819</v>
      </c>
      <c r="K36" s="99" t="s">
        <v>657</v>
      </c>
      <c r="L36" s="99">
        <v>1587</v>
      </c>
      <c r="M36" s="99">
        <v>635</v>
      </c>
      <c r="N36" s="99">
        <v>315</v>
      </c>
      <c r="O36" s="99">
        <v>184</v>
      </c>
      <c r="P36" s="159">
        <v>184</v>
      </c>
      <c r="Q36" s="99">
        <v>18</v>
      </c>
      <c r="R36" s="99">
        <v>42</v>
      </c>
      <c r="S36" s="99">
        <v>42</v>
      </c>
      <c r="T36" s="99">
        <v>23</v>
      </c>
      <c r="U36" s="99">
        <v>6</v>
      </c>
      <c r="V36" s="99">
        <v>36</v>
      </c>
      <c r="W36" s="99">
        <v>52</v>
      </c>
      <c r="X36" s="99">
        <v>30</v>
      </c>
      <c r="Y36" s="99">
        <v>78</v>
      </c>
      <c r="Z36" s="99">
        <v>57</v>
      </c>
      <c r="AA36" s="99" t="s">
        <v>657</v>
      </c>
      <c r="AB36" s="99" t="s">
        <v>657</v>
      </c>
      <c r="AC36" s="99" t="s">
        <v>657</v>
      </c>
      <c r="AD36" s="98" t="s">
        <v>375</v>
      </c>
      <c r="AE36" s="100">
        <v>0.19496221662468513</v>
      </c>
      <c r="AF36" s="100">
        <v>0.06</v>
      </c>
      <c r="AG36" s="98">
        <v>340.05037783375315</v>
      </c>
      <c r="AH36" s="98">
        <v>302.2670025188917</v>
      </c>
      <c r="AI36" s="100">
        <v>0.021</v>
      </c>
      <c r="AJ36" s="100">
        <v>0.690556</v>
      </c>
      <c r="AK36" s="100" t="s">
        <v>657</v>
      </c>
      <c r="AL36" s="100">
        <v>0.807634</v>
      </c>
      <c r="AM36" s="100">
        <v>0.585793</v>
      </c>
      <c r="AN36" s="100">
        <v>0.63</v>
      </c>
      <c r="AO36" s="98">
        <v>2317.3803526448364</v>
      </c>
      <c r="AP36" s="158">
        <v>1.109251404</v>
      </c>
      <c r="AQ36" s="100">
        <v>0.09782608695652174</v>
      </c>
      <c r="AR36" s="100">
        <v>0.42857142857142855</v>
      </c>
      <c r="AS36" s="98">
        <v>528.9672544080604</v>
      </c>
      <c r="AT36" s="98">
        <v>289.67254408060455</v>
      </c>
      <c r="AU36" s="98">
        <v>75.56675062972292</v>
      </c>
      <c r="AV36" s="98">
        <v>453.4005037783375</v>
      </c>
      <c r="AW36" s="98">
        <v>654.9118387909319</v>
      </c>
      <c r="AX36" s="98">
        <v>377.8337531486146</v>
      </c>
      <c r="AY36" s="98">
        <v>982.367758186398</v>
      </c>
      <c r="AZ36" s="98">
        <v>717.8841309823678</v>
      </c>
      <c r="BA36" s="100" t="s">
        <v>657</v>
      </c>
      <c r="BB36" s="100" t="s">
        <v>657</v>
      </c>
      <c r="BC36" s="100" t="s">
        <v>657</v>
      </c>
      <c r="BD36" s="158">
        <v>0.9547592163</v>
      </c>
      <c r="BE36" s="158">
        <v>1.28162262</v>
      </c>
      <c r="BF36" s="162">
        <v>1186</v>
      </c>
      <c r="BG36" s="162" t="s">
        <v>657</v>
      </c>
      <c r="BH36" s="162">
        <v>1965</v>
      </c>
      <c r="BI36" s="162">
        <v>1084</v>
      </c>
      <c r="BJ36" s="162">
        <v>500</v>
      </c>
      <c r="BK36" s="97"/>
      <c r="BL36" s="97"/>
      <c r="BM36" s="97"/>
      <c r="BN36" s="97"/>
    </row>
    <row r="37" spans="1:66" ht="12.75">
      <c r="A37" s="79" t="s">
        <v>636</v>
      </c>
      <c r="B37" s="79" t="s">
        <v>360</v>
      </c>
      <c r="C37" s="79" t="s">
        <v>218</v>
      </c>
      <c r="D37" s="99">
        <v>5311</v>
      </c>
      <c r="E37" s="99">
        <v>1416</v>
      </c>
      <c r="F37" s="99" t="s">
        <v>397</v>
      </c>
      <c r="G37" s="99">
        <v>37</v>
      </c>
      <c r="H37" s="99">
        <v>22</v>
      </c>
      <c r="I37" s="99">
        <v>113</v>
      </c>
      <c r="J37" s="99">
        <v>603</v>
      </c>
      <c r="K37" s="99">
        <v>6</v>
      </c>
      <c r="L37" s="99">
        <v>1009</v>
      </c>
      <c r="M37" s="99">
        <v>459</v>
      </c>
      <c r="N37" s="99">
        <v>151</v>
      </c>
      <c r="O37" s="99">
        <v>169</v>
      </c>
      <c r="P37" s="159">
        <v>169</v>
      </c>
      <c r="Q37" s="99">
        <v>18</v>
      </c>
      <c r="R37" s="99">
        <v>32</v>
      </c>
      <c r="S37" s="99">
        <v>25</v>
      </c>
      <c r="T37" s="99">
        <v>43</v>
      </c>
      <c r="U37" s="99" t="s">
        <v>657</v>
      </c>
      <c r="V37" s="99">
        <v>29</v>
      </c>
      <c r="W37" s="99">
        <v>74</v>
      </c>
      <c r="X37" s="99">
        <v>20</v>
      </c>
      <c r="Y37" s="99">
        <v>119</v>
      </c>
      <c r="Z37" s="99">
        <v>46</v>
      </c>
      <c r="AA37" s="99" t="s">
        <v>657</v>
      </c>
      <c r="AB37" s="99" t="s">
        <v>657</v>
      </c>
      <c r="AC37" s="99" t="s">
        <v>657</v>
      </c>
      <c r="AD37" s="98" t="s">
        <v>375</v>
      </c>
      <c r="AE37" s="100">
        <v>0.266616456411222</v>
      </c>
      <c r="AF37" s="100">
        <v>0.12</v>
      </c>
      <c r="AG37" s="98">
        <v>696.6672942948597</v>
      </c>
      <c r="AH37" s="98">
        <v>414.23460741856525</v>
      </c>
      <c r="AI37" s="100">
        <v>0.021</v>
      </c>
      <c r="AJ37" s="100">
        <v>0.774069</v>
      </c>
      <c r="AK37" s="100">
        <v>0.4</v>
      </c>
      <c r="AL37" s="100">
        <v>0.832508</v>
      </c>
      <c r="AM37" s="100">
        <v>0.580278</v>
      </c>
      <c r="AN37" s="100">
        <v>0.629167</v>
      </c>
      <c r="AO37" s="98">
        <v>3182.0749388062513</v>
      </c>
      <c r="AP37" s="158">
        <v>1.3718290709999998</v>
      </c>
      <c r="AQ37" s="100">
        <v>0.10650887573964497</v>
      </c>
      <c r="AR37" s="100">
        <v>0.5625</v>
      </c>
      <c r="AS37" s="98">
        <v>470.7211447938241</v>
      </c>
      <c r="AT37" s="98">
        <v>809.6403690453775</v>
      </c>
      <c r="AU37" s="98" t="s">
        <v>657</v>
      </c>
      <c r="AV37" s="98">
        <v>546.036527960836</v>
      </c>
      <c r="AW37" s="98">
        <v>1393.3345885897195</v>
      </c>
      <c r="AX37" s="98">
        <v>376.5769158350593</v>
      </c>
      <c r="AY37" s="98">
        <v>2240.632649218603</v>
      </c>
      <c r="AZ37" s="98">
        <v>866.1269064206364</v>
      </c>
      <c r="BA37" s="100" t="s">
        <v>657</v>
      </c>
      <c r="BB37" s="100" t="s">
        <v>657</v>
      </c>
      <c r="BC37" s="100" t="s">
        <v>657</v>
      </c>
      <c r="BD37" s="158">
        <v>1.172795639</v>
      </c>
      <c r="BE37" s="158">
        <v>1.594961395</v>
      </c>
      <c r="BF37" s="162">
        <v>779</v>
      </c>
      <c r="BG37" s="162">
        <v>15</v>
      </c>
      <c r="BH37" s="162">
        <v>1212</v>
      </c>
      <c r="BI37" s="162">
        <v>791</v>
      </c>
      <c r="BJ37" s="162">
        <v>240</v>
      </c>
      <c r="BK37" s="97"/>
      <c r="BL37" s="97"/>
      <c r="BM37" s="97"/>
      <c r="BN37" s="97"/>
    </row>
    <row r="38" spans="1:66" ht="12.75">
      <c r="A38" s="79" t="s">
        <v>649</v>
      </c>
      <c r="B38" s="79" t="s">
        <v>374</v>
      </c>
      <c r="C38" s="79" t="s">
        <v>218</v>
      </c>
      <c r="D38" s="99">
        <v>10012</v>
      </c>
      <c r="E38" s="99">
        <v>1411</v>
      </c>
      <c r="F38" s="99" t="s">
        <v>396</v>
      </c>
      <c r="G38" s="99">
        <v>37</v>
      </c>
      <c r="H38" s="99">
        <v>22</v>
      </c>
      <c r="I38" s="99">
        <v>102</v>
      </c>
      <c r="J38" s="99">
        <v>751</v>
      </c>
      <c r="K38" s="99" t="s">
        <v>657</v>
      </c>
      <c r="L38" s="99">
        <v>1854</v>
      </c>
      <c r="M38" s="99">
        <v>438</v>
      </c>
      <c r="N38" s="99">
        <v>202</v>
      </c>
      <c r="O38" s="99">
        <v>153</v>
      </c>
      <c r="P38" s="159">
        <v>153</v>
      </c>
      <c r="Q38" s="99">
        <v>19</v>
      </c>
      <c r="R38" s="99">
        <v>38</v>
      </c>
      <c r="S38" s="99">
        <v>28</v>
      </c>
      <c r="T38" s="99">
        <v>24</v>
      </c>
      <c r="U38" s="99">
        <v>6</v>
      </c>
      <c r="V38" s="99">
        <v>20</v>
      </c>
      <c r="W38" s="99">
        <v>62</v>
      </c>
      <c r="X38" s="99">
        <v>52</v>
      </c>
      <c r="Y38" s="99">
        <v>108</v>
      </c>
      <c r="Z38" s="99">
        <v>46</v>
      </c>
      <c r="AA38" s="99" t="s">
        <v>657</v>
      </c>
      <c r="AB38" s="99" t="s">
        <v>657</v>
      </c>
      <c r="AC38" s="99" t="s">
        <v>657</v>
      </c>
      <c r="AD38" s="98" t="s">
        <v>375</v>
      </c>
      <c r="AE38" s="100">
        <v>0.14093088294047143</v>
      </c>
      <c r="AF38" s="100">
        <v>0.12</v>
      </c>
      <c r="AG38" s="98">
        <v>369.5565321614063</v>
      </c>
      <c r="AH38" s="98">
        <v>219.73631642029565</v>
      </c>
      <c r="AI38" s="100">
        <v>0.01</v>
      </c>
      <c r="AJ38" s="100">
        <v>0.688359</v>
      </c>
      <c r="AK38" s="100" t="s">
        <v>657</v>
      </c>
      <c r="AL38" s="100">
        <v>0.741897</v>
      </c>
      <c r="AM38" s="100">
        <v>0.488839</v>
      </c>
      <c r="AN38" s="100">
        <v>0.587209</v>
      </c>
      <c r="AO38" s="98">
        <v>1528.166200559329</v>
      </c>
      <c r="AP38" s="158">
        <v>0.8834111786</v>
      </c>
      <c r="AQ38" s="100">
        <v>0.12418300653594772</v>
      </c>
      <c r="AR38" s="100">
        <v>0.5</v>
      </c>
      <c r="AS38" s="98">
        <v>279.6644027167399</v>
      </c>
      <c r="AT38" s="98">
        <v>239.71234518577708</v>
      </c>
      <c r="AU38" s="98">
        <v>59.92808629644427</v>
      </c>
      <c r="AV38" s="98">
        <v>199.76028765481422</v>
      </c>
      <c r="AW38" s="98">
        <v>619.2568917299241</v>
      </c>
      <c r="AX38" s="98">
        <v>519.376747902517</v>
      </c>
      <c r="AY38" s="98">
        <v>1078.705553335997</v>
      </c>
      <c r="AZ38" s="98">
        <v>459.44866160607273</v>
      </c>
      <c r="BA38" s="100" t="s">
        <v>657</v>
      </c>
      <c r="BB38" s="100" t="s">
        <v>657</v>
      </c>
      <c r="BC38" s="100" t="s">
        <v>657</v>
      </c>
      <c r="BD38" s="158">
        <v>0.7489778137</v>
      </c>
      <c r="BE38" s="158">
        <v>1.035007935</v>
      </c>
      <c r="BF38" s="162">
        <v>1091</v>
      </c>
      <c r="BG38" s="162" t="s">
        <v>657</v>
      </c>
      <c r="BH38" s="162">
        <v>2499</v>
      </c>
      <c r="BI38" s="162">
        <v>896</v>
      </c>
      <c r="BJ38" s="162">
        <v>344</v>
      </c>
      <c r="BK38" s="97"/>
      <c r="BL38" s="97"/>
      <c r="BM38" s="97"/>
      <c r="BN38" s="97"/>
    </row>
    <row r="39" spans="1:66" ht="12.75">
      <c r="A39" s="79" t="s">
        <v>570</v>
      </c>
      <c r="B39" s="79" t="s">
        <v>293</v>
      </c>
      <c r="C39" s="79" t="s">
        <v>218</v>
      </c>
      <c r="D39" s="99">
        <v>9979</v>
      </c>
      <c r="E39" s="99">
        <v>2648</v>
      </c>
      <c r="F39" s="99" t="s">
        <v>396</v>
      </c>
      <c r="G39" s="99">
        <v>65</v>
      </c>
      <c r="H39" s="99">
        <v>31</v>
      </c>
      <c r="I39" s="99">
        <v>237</v>
      </c>
      <c r="J39" s="99">
        <v>946</v>
      </c>
      <c r="K39" s="99">
        <v>20</v>
      </c>
      <c r="L39" s="99">
        <v>1752</v>
      </c>
      <c r="M39" s="99">
        <v>792</v>
      </c>
      <c r="N39" s="99">
        <v>377</v>
      </c>
      <c r="O39" s="99">
        <v>181</v>
      </c>
      <c r="P39" s="159">
        <v>181</v>
      </c>
      <c r="Q39" s="99">
        <v>23</v>
      </c>
      <c r="R39" s="99">
        <v>64</v>
      </c>
      <c r="S39" s="99">
        <v>39</v>
      </c>
      <c r="T39" s="99">
        <v>25</v>
      </c>
      <c r="U39" s="99">
        <v>7</v>
      </c>
      <c r="V39" s="99">
        <v>36</v>
      </c>
      <c r="W39" s="99">
        <v>53</v>
      </c>
      <c r="X39" s="99">
        <v>42</v>
      </c>
      <c r="Y39" s="99">
        <v>136</v>
      </c>
      <c r="Z39" s="99">
        <v>74</v>
      </c>
      <c r="AA39" s="99" t="s">
        <v>657</v>
      </c>
      <c r="AB39" s="99" t="s">
        <v>657</v>
      </c>
      <c r="AC39" s="99" t="s">
        <v>657</v>
      </c>
      <c r="AD39" s="98" t="s">
        <v>375</v>
      </c>
      <c r="AE39" s="100">
        <v>0.2653572502254735</v>
      </c>
      <c r="AF39" s="100">
        <v>0.09</v>
      </c>
      <c r="AG39" s="98">
        <v>651.3678725323178</v>
      </c>
      <c r="AH39" s="98">
        <v>310.6523699769516</v>
      </c>
      <c r="AI39" s="100">
        <v>0.024</v>
      </c>
      <c r="AJ39" s="100">
        <v>0.660615</v>
      </c>
      <c r="AK39" s="100">
        <v>0.454545</v>
      </c>
      <c r="AL39" s="100">
        <v>0.716564</v>
      </c>
      <c r="AM39" s="100">
        <v>0.593703</v>
      </c>
      <c r="AN39" s="100">
        <v>0.622112</v>
      </c>
      <c r="AO39" s="98">
        <v>1813.8089988976851</v>
      </c>
      <c r="AP39" s="158">
        <v>0.7665116881999999</v>
      </c>
      <c r="AQ39" s="100">
        <v>0.1270718232044199</v>
      </c>
      <c r="AR39" s="100">
        <v>0.359375</v>
      </c>
      <c r="AS39" s="98">
        <v>390.8207235193907</v>
      </c>
      <c r="AT39" s="98">
        <v>250.52610482012227</v>
      </c>
      <c r="AU39" s="98">
        <v>70.14730934963423</v>
      </c>
      <c r="AV39" s="98">
        <v>360.75759094097606</v>
      </c>
      <c r="AW39" s="98">
        <v>531.1153422186592</v>
      </c>
      <c r="AX39" s="98">
        <v>420.8838560978054</v>
      </c>
      <c r="AY39" s="98">
        <v>1362.862010221465</v>
      </c>
      <c r="AZ39" s="98">
        <v>741.5572702675619</v>
      </c>
      <c r="BA39" s="100" t="s">
        <v>657</v>
      </c>
      <c r="BB39" s="100" t="s">
        <v>657</v>
      </c>
      <c r="BC39" s="100" t="s">
        <v>657</v>
      </c>
      <c r="BD39" s="158">
        <v>0.658907547</v>
      </c>
      <c r="BE39" s="158">
        <v>0.8866778564000001</v>
      </c>
      <c r="BF39" s="162">
        <v>1432</v>
      </c>
      <c r="BG39" s="162">
        <v>44</v>
      </c>
      <c r="BH39" s="162">
        <v>2445</v>
      </c>
      <c r="BI39" s="162">
        <v>1334</v>
      </c>
      <c r="BJ39" s="162">
        <v>606</v>
      </c>
      <c r="BK39" s="97"/>
      <c r="BL39" s="97"/>
      <c r="BM39" s="97"/>
      <c r="BN39" s="97"/>
    </row>
    <row r="40" spans="1:66" ht="12.75">
      <c r="A40" s="79" t="s">
        <v>605</v>
      </c>
      <c r="B40" s="79" t="s">
        <v>329</v>
      </c>
      <c r="C40" s="79" t="s">
        <v>218</v>
      </c>
      <c r="D40" s="99">
        <v>11069</v>
      </c>
      <c r="E40" s="99">
        <v>2323</v>
      </c>
      <c r="F40" s="99" t="s">
        <v>396</v>
      </c>
      <c r="G40" s="99">
        <v>52</v>
      </c>
      <c r="H40" s="99">
        <v>22</v>
      </c>
      <c r="I40" s="99">
        <v>210</v>
      </c>
      <c r="J40" s="99">
        <v>1053</v>
      </c>
      <c r="K40" s="99">
        <v>36</v>
      </c>
      <c r="L40" s="99">
        <v>1886</v>
      </c>
      <c r="M40" s="99">
        <v>889</v>
      </c>
      <c r="N40" s="99">
        <v>435</v>
      </c>
      <c r="O40" s="99">
        <v>163</v>
      </c>
      <c r="P40" s="159">
        <v>163</v>
      </c>
      <c r="Q40" s="99">
        <v>27</v>
      </c>
      <c r="R40" s="99">
        <v>57</v>
      </c>
      <c r="S40" s="99">
        <v>33</v>
      </c>
      <c r="T40" s="99">
        <v>26</v>
      </c>
      <c r="U40" s="99" t="s">
        <v>657</v>
      </c>
      <c r="V40" s="99">
        <v>23</v>
      </c>
      <c r="W40" s="99">
        <v>49</v>
      </c>
      <c r="X40" s="99">
        <v>44</v>
      </c>
      <c r="Y40" s="99">
        <v>108</v>
      </c>
      <c r="Z40" s="99">
        <v>61</v>
      </c>
      <c r="AA40" s="99" t="s">
        <v>657</v>
      </c>
      <c r="AB40" s="99" t="s">
        <v>657</v>
      </c>
      <c r="AC40" s="99" t="s">
        <v>657</v>
      </c>
      <c r="AD40" s="98" t="s">
        <v>375</v>
      </c>
      <c r="AE40" s="100">
        <v>0.20986538982744601</v>
      </c>
      <c r="AF40" s="100">
        <v>0.09</v>
      </c>
      <c r="AG40" s="98">
        <v>469.78046797362003</v>
      </c>
      <c r="AH40" s="98">
        <v>198.75327491191615</v>
      </c>
      <c r="AI40" s="100">
        <v>0.019</v>
      </c>
      <c r="AJ40" s="100">
        <v>0.727713</v>
      </c>
      <c r="AK40" s="100">
        <v>0.545455</v>
      </c>
      <c r="AL40" s="100">
        <v>0.797463</v>
      </c>
      <c r="AM40" s="100">
        <v>0.649854</v>
      </c>
      <c r="AN40" s="100">
        <v>0.671296</v>
      </c>
      <c r="AO40" s="98">
        <v>1472.5810823019242</v>
      </c>
      <c r="AP40" s="158">
        <v>0.7292027283</v>
      </c>
      <c r="AQ40" s="100">
        <v>0.1656441717791411</v>
      </c>
      <c r="AR40" s="100">
        <v>0.47368421052631576</v>
      </c>
      <c r="AS40" s="98">
        <v>298.1299123678742</v>
      </c>
      <c r="AT40" s="98">
        <v>234.89023398681002</v>
      </c>
      <c r="AU40" s="98" t="s">
        <v>657</v>
      </c>
      <c r="AV40" s="98">
        <v>207.78751468063962</v>
      </c>
      <c r="AW40" s="98">
        <v>442.67774866744963</v>
      </c>
      <c r="AX40" s="98">
        <v>397.5065498238323</v>
      </c>
      <c r="AY40" s="98">
        <v>975.6978950221339</v>
      </c>
      <c r="AZ40" s="98">
        <v>551.0886258921312</v>
      </c>
      <c r="BA40" s="100" t="s">
        <v>657</v>
      </c>
      <c r="BB40" s="100" t="s">
        <v>657</v>
      </c>
      <c r="BC40" s="100" t="s">
        <v>657</v>
      </c>
      <c r="BD40" s="158">
        <v>0.6215538025</v>
      </c>
      <c r="BE40" s="158">
        <v>0.8501390838999999</v>
      </c>
      <c r="BF40" s="162">
        <v>1447</v>
      </c>
      <c r="BG40" s="162">
        <v>66</v>
      </c>
      <c r="BH40" s="162">
        <v>2365</v>
      </c>
      <c r="BI40" s="162">
        <v>1368</v>
      </c>
      <c r="BJ40" s="162">
        <v>648</v>
      </c>
      <c r="BK40" s="97"/>
      <c r="BL40" s="97"/>
      <c r="BM40" s="97"/>
      <c r="BN40" s="97"/>
    </row>
    <row r="41" spans="1:66" ht="12.75">
      <c r="A41" s="79" t="s">
        <v>569</v>
      </c>
      <c r="B41" s="79" t="s">
        <v>292</v>
      </c>
      <c r="C41" s="79" t="s">
        <v>218</v>
      </c>
      <c r="D41" s="99">
        <v>10343</v>
      </c>
      <c r="E41" s="99">
        <v>1499</v>
      </c>
      <c r="F41" s="99" t="s">
        <v>397</v>
      </c>
      <c r="G41" s="99">
        <v>39</v>
      </c>
      <c r="H41" s="99">
        <v>35</v>
      </c>
      <c r="I41" s="99">
        <v>109</v>
      </c>
      <c r="J41" s="99">
        <v>628</v>
      </c>
      <c r="K41" s="99" t="s">
        <v>657</v>
      </c>
      <c r="L41" s="99">
        <v>1775</v>
      </c>
      <c r="M41" s="99">
        <v>397</v>
      </c>
      <c r="N41" s="99">
        <v>176</v>
      </c>
      <c r="O41" s="99">
        <v>243</v>
      </c>
      <c r="P41" s="159">
        <v>243</v>
      </c>
      <c r="Q41" s="99">
        <v>22</v>
      </c>
      <c r="R41" s="99">
        <v>47</v>
      </c>
      <c r="S41" s="99">
        <v>49</v>
      </c>
      <c r="T41" s="99">
        <v>36</v>
      </c>
      <c r="U41" s="99">
        <v>12</v>
      </c>
      <c r="V41" s="99">
        <v>48</v>
      </c>
      <c r="W41" s="99">
        <v>48</v>
      </c>
      <c r="X41" s="99">
        <v>53</v>
      </c>
      <c r="Y41" s="99">
        <v>122</v>
      </c>
      <c r="Z41" s="99">
        <v>48</v>
      </c>
      <c r="AA41" s="99" t="s">
        <v>657</v>
      </c>
      <c r="AB41" s="99" t="s">
        <v>657</v>
      </c>
      <c r="AC41" s="99" t="s">
        <v>657</v>
      </c>
      <c r="AD41" s="98" t="s">
        <v>375</v>
      </c>
      <c r="AE41" s="100">
        <v>0.14492893744561539</v>
      </c>
      <c r="AF41" s="100">
        <v>0.14</v>
      </c>
      <c r="AG41" s="98">
        <v>377.0666151020014</v>
      </c>
      <c r="AH41" s="98">
        <v>338.3931161171807</v>
      </c>
      <c r="AI41" s="100">
        <v>0.011000000000000001</v>
      </c>
      <c r="AJ41" s="100">
        <v>0.613881</v>
      </c>
      <c r="AK41" s="100" t="s">
        <v>657</v>
      </c>
      <c r="AL41" s="100">
        <v>0.694444</v>
      </c>
      <c r="AM41" s="100">
        <v>0.469822</v>
      </c>
      <c r="AN41" s="100">
        <v>0.486188</v>
      </c>
      <c r="AO41" s="98">
        <v>2349.4150633278546</v>
      </c>
      <c r="AP41" s="158">
        <v>1.381496735</v>
      </c>
      <c r="AQ41" s="100">
        <v>0.09053497942386832</v>
      </c>
      <c r="AR41" s="100">
        <v>0.46808510638297873</v>
      </c>
      <c r="AS41" s="98">
        <v>473.750362564053</v>
      </c>
      <c r="AT41" s="98">
        <v>348.06149086338587</v>
      </c>
      <c r="AU41" s="98">
        <v>116.02049695446196</v>
      </c>
      <c r="AV41" s="98">
        <v>464.08198781784785</v>
      </c>
      <c r="AW41" s="98">
        <v>464.08198781784785</v>
      </c>
      <c r="AX41" s="98">
        <v>512.4238615488737</v>
      </c>
      <c r="AY41" s="98">
        <v>1179.54171903703</v>
      </c>
      <c r="AZ41" s="98">
        <v>464.08198781784785</v>
      </c>
      <c r="BA41" s="101" t="s">
        <v>657</v>
      </c>
      <c r="BB41" s="101" t="s">
        <v>657</v>
      </c>
      <c r="BC41" s="101" t="s">
        <v>657</v>
      </c>
      <c r="BD41" s="158">
        <v>1.213244553</v>
      </c>
      <c r="BE41" s="158">
        <v>1.566557617</v>
      </c>
      <c r="BF41" s="162">
        <v>1023</v>
      </c>
      <c r="BG41" s="162" t="s">
        <v>657</v>
      </c>
      <c r="BH41" s="162">
        <v>2556</v>
      </c>
      <c r="BI41" s="162">
        <v>845</v>
      </c>
      <c r="BJ41" s="162">
        <v>362</v>
      </c>
      <c r="BK41" s="97"/>
      <c r="BL41" s="97"/>
      <c r="BM41" s="97"/>
      <c r="BN41" s="97"/>
    </row>
    <row r="42" spans="1:66" ht="12.75">
      <c r="A42" s="79" t="s">
        <v>588</v>
      </c>
      <c r="B42" s="79" t="s">
        <v>312</v>
      </c>
      <c r="C42" s="79" t="s">
        <v>218</v>
      </c>
      <c r="D42" s="99">
        <v>13036</v>
      </c>
      <c r="E42" s="99">
        <v>3261</v>
      </c>
      <c r="F42" s="99" t="s">
        <v>398</v>
      </c>
      <c r="G42" s="99">
        <v>58</v>
      </c>
      <c r="H42" s="99">
        <v>44</v>
      </c>
      <c r="I42" s="99">
        <v>308</v>
      </c>
      <c r="J42" s="99">
        <v>1553</v>
      </c>
      <c r="K42" s="99">
        <v>30</v>
      </c>
      <c r="L42" s="99">
        <v>2480</v>
      </c>
      <c r="M42" s="99">
        <v>815</v>
      </c>
      <c r="N42" s="99">
        <v>653</v>
      </c>
      <c r="O42" s="99">
        <v>482</v>
      </c>
      <c r="P42" s="159">
        <v>482</v>
      </c>
      <c r="Q42" s="99">
        <v>37</v>
      </c>
      <c r="R42" s="99">
        <v>72</v>
      </c>
      <c r="S42" s="99">
        <v>83</v>
      </c>
      <c r="T42" s="99">
        <v>87</v>
      </c>
      <c r="U42" s="99">
        <v>6</v>
      </c>
      <c r="V42" s="99">
        <v>97</v>
      </c>
      <c r="W42" s="99">
        <v>160</v>
      </c>
      <c r="X42" s="99">
        <v>31</v>
      </c>
      <c r="Y42" s="99">
        <v>231</v>
      </c>
      <c r="Z42" s="99">
        <v>99</v>
      </c>
      <c r="AA42" s="99" t="s">
        <v>657</v>
      </c>
      <c r="AB42" s="99" t="s">
        <v>657</v>
      </c>
      <c r="AC42" s="99" t="s">
        <v>657</v>
      </c>
      <c r="AD42" s="98" t="s">
        <v>375</v>
      </c>
      <c r="AE42" s="100">
        <v>0.2501534212948757</v>
      </c>
      <c r="AF42" s="100">
        <v>0.07</v>
      </c>
      <c r="AG42" s="98">
        <v>444.92175513961337</v>
      </c>
      <c r="AH42" s="98">
        <v>337.52684872660325</v>
      </c>
      <c r="AI42" s="100">
        <v>0.024</v>
      </c>
      <c r="AJ42" s="100">
        <v>0.75535</v>
      </c>
      <c r="AK42" s="100">
        <v>0.535714</v>
      </c>
      <c r="AL42" s="100">
        <v>0.814717</v>
      </c>
      <c r="AM42" s="100">
        <v>0.401676</v>
      </c>
      <c r="AN42" s="100">
        <v>0.639569</v>
      </c>
      <c r="AO42" s="98">
        <v>3697.453206505063</v>
      </c>
      <c r="AP42" s="158">
        <v>1.584878845</v>
      </c>
      <c r="AQ42" s="100">
        <v>0.07676348547717843</v>
      </c>
      <c r="AR42" s="100">
        <v>0.5138888888888888</v>
      </c>
      <c r="AS42" s="98">
        <v>636.6983737342744</v>
      </c>
      <c r="AT42" s="98">
        <v>667.38263270942</v>
      </c>
      <c r="AU42" s="98">
        <v>46.02638846271863</v>
      </c>
      <c r="AV42" s="98">
        <v>744.0932801472844</v>
      </c>
      <c r="AW42" s="98">
        <v>1227.37035900583</v>
      </c>
      <c r="AX42" s="98">
        <v>237.80300705737957</v>
      </c>
      <c r="AY42" s="98">
        <v>1772.015955814667</v>
      </c>
      <c r="AZ42" s="98">
        <v>759.4354096348574</v>
      </c>
      <c r="BA42" s="100" t="s">
        <v>657</v>
      </c>
      <c r="BB42" s="100" t="s">
        <v>657</v>
      </c>
      <c r="BC42" s="100" t="s">
        <v>657</v>
      </c>
      <c r="BD42" s="158">
        <v>1.446527557</v>
      </c>
      <c r="BE42" s="158">
        <v>1.7328921510000002</v>
      </c>
      <c r="BF42" s="162">
        <v>2056</v>
      </c>
      <c r="BG42" s="162">
        <v>56</v>
      </c>
      <c r="BH42" s="162">
        <v>3044</v>
      </c>
      <c r="BI42" s="162">
        <v>2029</v>
      </c>
      <c r="BJ42" s="162">
        <v>1021</v>
      </c>
      <c r="BK42" s="97"/>
      <c r="BL42" s="97"/>
      <c r="BM42" s="97"/>
      <c r="BN42" s="97"/>
    </row>
    <row r="43" spans="1:66" ht="12.75">
      <c r="A43" s="79" t="s">
        <v>589</v>
      </c>
      <c r="B43" s="79" t="s">
        <v>313</v>
      </c>
      <c r="C43" s="79" t="s">
        <v>218</v>
      </c>
      <c r="D43" s="99">
        <v>10945</v>
      </c>
      <c r="E43" s="99">
        <v>2586</v>
      </c>
      <c r="F43" s="99" t="s">
        <v>398</v>
      </c>
      <c r="G43" s="99">
        <v>56</v>
      </c>
      <c r="H43" s="99">
        <v>29</v>
      </c>
      <c r="I43" s="99">
        <v>247</v>
      </c>
      <c r="J43" s="99">
        <v>1267</v>
      </c>
      <c r="K43" s="99">
        <v>1242</v>
      </c>
      <c r="L43" s="99">
        <v>1974</v>
      </c>
      <c r="M43" s="99">
        <v>986</v>
      </c>
      <c r="N43" s="99">
        <v>454</v>
      </c>
      <c r="O43" s="99">
        <v>170</v>
      </c>
      <c r="P43" s="159">
        <v>170</v>
      </c>
      <c r="Q43" s="99">
        <v>15</v>
      </c>
      <c r="R43" s="99">
        <v>56</v>
      </c>
      <c r="S43" s="99">
        <v>31</v>
      </c>
      <c r="T43" s="99">
        <v>14</v>
      </c>
      <c r="U43" s="99" t="s">
        <v>657</v>
      </c>
      <c r="V43" s="99">
        <v>56</v>
      </c>
      <c r="W43" s="99">
        <v>60</v>
      </c>
      <c r="X43" s="99">
        <v>65</v>
      </c>
      <c r="Y43" s="99">
        <v>103</v>
      </c>
      <c r="Z43" s="99">
        <v>47</v>
      </c>
      <c r="AA43" s="99" t="s">
        <v>657</v>
      </c>
      <c r="AB43" s="99" t="s">
        <v>657</v>
      </c>
      <c r="AC43" s="99" t="s">
        <v>657</v>
      </c>
      <c r="AD43" s="98" t="s">
        <v>375</v>
      </c>
      <c r="AE43" s="100">
        <v>0.2362722704431247</v>
      </c>
      <c r="AF43" s="100">
        <v>0.05</v>
      </c>
      <c r="AG43" s="98">
        <v>511.6491548652353</v>
      </c>
      <c r="AH43" s="98">
        <v>264.96116948378256</v>
      </c>
      <c r="AI43" s="100">
        <v>0.023</v>
      </c>
      <c r="AJ43" s="100">
        <v>0.801392</v>
      </c>
      <c r="AK43" s="100">
        <v>0.819261</v>
      </c>
      <c r="AL43" s="100">
        <v>0.779313</v>
      </c>
      <c r="AM43" s="100">
        <v>0.631242</v>
      </c>
      <c r="AN43" s="100">
        <v>0.654179</v>
      </c>
      <c r="AO43" s="98">
        <v>1553.2206486980356</v>
      </c>
      <c r="AP43" s="158">
        <v>0.7004742432000001</v>
      </c>
      <c r="AQ43" s="100">
        <v>0.08823529411764706</v>
      </c>
      <c r="AR43" s="100">
        <v>0.26785714285714285</v>
      </c>
      <c r="AS43" s="98">
        <v>283.2343535861124</v>
      </c>
      <c r="AT43" s="98">
        <v>127.91228871630882</v>
      </c>
      <c r="AU43" s="98" t="s">
        <v>657</v>
      </c>
      <c r="AV43" s="98">
        <v>511.6491548652353</v>
      </c>
      <c r="AW43" s="98">
        <v>548.1955230698949</v>
      </c>
      <c r="AX43" s="98">
        <v>593.8784833257195</v>
      </c>
      <c r="AY43" s="98">
        <v>941.0689812699862</v>
      </c>
      <c r="AZ43" s="98">
        <v>429.419826404751</v>
      </c>
      <c r="BA43" s="100" t="s">
        <v>657</v>
      </c>
      <c r="BB43" s="100" t="s">
        <v>657</v>
      </c>
      <c r="BC43" s="100" t="s">
        <v>657</v>
      </c>
      <c r="BD43" s="158">
        <v>0.5991326141</v>
      </c>
      <c r="BE43" s="158">
        <v>0.8140477753</v>
      </c>
      <c r="BF43" s="162">
        <v>1581</v>
      </c>
      <c r="BG43" s="162">
        <v>1516</v>
      </c>
      <c r="BH43" s="162">
        <v>2533</v>
      </c>
      <c r="BI43" s="162">
        <v>1562</v>
      </c>
      <c r="BJ43" s="162">
        <v>694</v>
      </c>
      <c r="BK43" s="97"/>
      <c r="BL43" s="97"/>
      <c r="BM43" s="97"/>
      <c r="BN43" s="97"/>
    </row>
    <row r="44" spans="1:66" ht="12.75">
      <c r="A44" s="79" t="s">
        <v>585</v>
      </c>
      <c r="B44" s="79" t="s">
        <v>309</v>
      </c>
      <c r="C44" s="79" t="s">
        <v>218</v>
      </c>
      <c r="D44" s="99">
        <v>5419</v>
      </c>
      <c r="E44" s="99">
        <v>1164</v>
      </c>
      <c r="F44" s="99" t="s">
        <v>398</v>
      </c>
      <c r="G44" s="99">
        <v>36</v>
      </c>
      <c r="H44" s="99">
        <v>14</v>
      </c>
      <c r="I44" s="99">
        <v>145</v>
      </c>
      <c r="J44" s="99">
        <v>669</v>
      </c>
      <c r="K44" s="99">
        <v>657</v>
      </c>
      <c r="L44" s="99">
        <v>1085</v>
      </c>
      <c r="M44" s="99">
        <v>518</v>
      </c>
      <c r="N44" s="99">
        <v>246</v>
      </c>
      <c r="O44" s="99">
        <v>112</v>
      </c>
      <c r="P44" s="159">
        <v>112</v>
      </c>
      <c r="Q44" s="99">
        <v>12</v>
      </c>
      <c r="R44" s="99">
        <v>27</v>
      </c>
      <c r="S44" s="99">
        <v>14</v>
      </c>
      <c r="T44" s="99">
        <v>27</v>
      </c>
      <c r="U44" s="99" t="s">
        <v>657</v>
      </c>
      <c r="V44" s="99">
        <v>21</v>
      </c>
      <c r="W44" s="99">
        <v>45</v>
      </c>
      <c r="X44" s="99">
        <v>19</v>
      </c>
      <c r="Y44" s="99">
        <v>78</v>
      </c>
      <c r="Z44" s="99">
        <v>27</v>
      </c>
      <c r="AA44" s="99" t="s">
        <v>657</v>
      </c>
      <c r="AB44" s="99" t="s">
        <v>657</v>
      </c>
      <c r="AC44" s="99" t="s">
        <v>657</v>
      </c>
      <c r="AD44" s="98" t="s">
        <v>375</v>
      </c>
      <c r="AE44" s="100">
        <v>0.21479977855692933</v>
      </c>
      <c r="AF44" s="100">
        <v>0.05</v>
      </c>
      <c r="AG44" s="98">
        <v>664.3292120317402</v>
      </c>
      <c r="AH44" s="98">
        <v>258.3502491234545</v>
      </c>
      <c r="AI44" s="100">
        <v>0.027000000000000003</v>
      </c>
      <c r="AJ44" s="100">
        <v>0.755932</v>
      </c>
      <c r="AK44" s="100">
        <v>0.768421</v>
      </c>
      <c r="AL44" s="100">
        <v>0.826982</v>
      </c>
      <c r="AM44" s="100">
        <v>0.601626</v>
      </c>
      <c r="AN44" s="100">
        <v>0.647368</v>
      </c>
      <c r="AO44" s="98">
        <v>2066.801992987636</v>
      </c>
      <c r="AP44" s="158">
        <v>0.9396302795</v>
      </c>
      <c r="AQ44" s="100">
        <v>0.10714285714285714</v>
      </c>
      <c r="AR44" s="100">
        <v>0.4444444444444444</v>
      </c>
      <c r="AS44" s="98">
        <v>258.3502491234545</v>
      </c>
      <c r="AT44" s="98">
        <v>498.24690902380513</v>
      </c>
      <c r="AU44" s="98" t="s">
        <v>657</v>
      </c>
      <c r="AV44" s="98">
        <v>387.52537368518176</v>
      </c>
      <c r="AW44" s="98">
        <v>830.4115150396752</v>
      </c>
      <c r="AX44" s="98">
        <v>350.61819523897395</v>
      </c>
      <c r="AY44" s="98">
        <v>1439.3799594021036</v>
      </c>
      <c r="AZ44" s="98">
        <v>498.24690902380513</v>
      </c>
      <c r="BA44" s="100" t="s">
        <v>657</v>
      </c>
      <c r="BB44" s="100" t="s">
        <v>657</v>
      </c>
      <c r="BC44" s="100" t="s">
        <v>657</v>
      </c>
      <c r="BD44" s="158">
        <v>0.7736886597</v>
      </c>
      <c r="BE44" s="158">
        <v>1.130619431</v>
      </c>
      <c r="BF44" s="162">
        <v>885</v>
      </c>
      <c r="BG44" s="162">
        <v>855</v>
      </c>
      <c r="BH44" s="162">
        <v>1312</v>
      </c>
      <c r="BI44" s="162">
        <v>861</v>
      </c>
      <c r="BJ44" s="162">
        <v>380</v>
      </c>
      <c r="BK44" s="97"/>
      <c r="BL44" s="97"/>
      <c r="BM44" s="97"/>
      <c r="BN44" s="97"/>
    </row>
    <row r="45" spans="1:66" ht="12.75">
      <c r="A45" s="79" t="s">
        <v>583</v>
      </c>
      <c r="B45" s="79" t="s">
        <v>307</v>
      </c>
      <c r="C45" s="79" t="s">
        <v>218</v>
      </c>
      <c r="D45" s="99">
        <v>9659</v>
      </c>
      <c r="E45" s="99">
        <v>1936</v>
      </c>
      <c r="F45" s="99" t="s">
        <v>397</v>
      </c>
      <c r="G45" s="99">
        <v>48</v>
      </c>
      <c r="H45" s="99">
        <v>27</v>
      </c>
      <c r="I45" s="99">
        <v>202</v>
      </c>
      <c r="J45" s="99">
        <v>967</v>
      </c>
      <c r="K45" s="99">
        <v>22</v>
      </c>
      <c r="L45" s="99">
        <v>1837</v>
      </c>
      <c r="M45" s="99">
        <v>680</v>
      </c>
      <c r="N45" s="99">
        <v>341</v>
      </c>
      <c r="O45" s="99">
        <v>227</v>
      </c>
      <c r="P45" s="159">
        <v>227</v>
      </c>
      <c r="Q45" s="99">
        <v>21</v>
      </c>
      <c r="R45" s="99">
        <v>48</v>
      </c>
      <c r="S45" s="99">
        <v>44</v>
      </c>
      <c r="T45" s="99">
        <v>31</v>
      </c>
      <c r="U45" s="99">
        <v>7</v>
      </c>
      <c r="V45" s="99">
        <v>50</v>
      </c>
      <c r="W45" s="99">
        <v>85</v>
      </c>
      <c r="X45" s="99">
        <v>22</v>
      </c>
      <c r="Y45" s="99">
        <v>129</v>
      </c>
      <c r="Z45" s="99">
        <v>41</v>
      </c>
      <c r="AA45" s="99" t="s">
        <v>657</v>
      </c>
      <c r="AB45" s="99" t="s">
        <v>657</v>
      </c>
      <c r="AC45" s="99" t="s">
        <v>657</v>
      </c>
      <c r="AD45" s="98" t="s">
        <v>375</v>
      </c>
      <c r="AE45" s="100">
        <v>0.20043482762190704</v>
      </c>
      <c r="AF45" s="100">
        <v>0.13</v>
      </c>
      <c r="AG45" s="98">
        <v>496.945853608034</v>
      </c>
      <c r="AH45" s="98">
        <v>279.5320426545191</v>
      </c>
      <c r="AI45" s="100">
        <v>0.021</v>
      </c>
      <c r="AJ45" s="100">
        <v>0.748452</v>
      </c>
      <c r="AK45" s="100">
        <v>0.55</v>
      </c>
      <c r="AL45" s="100">
        <v>0.785378</v>
      </c>
      <c r="AM45" s="100">
        <v>0.57384</v>
      </c>
      <c r="AN45" s="100">
        <v>0.624542</v>
      </c>
      <c r="AO45" s="98">
        <v>2350.1397660213274</v>
      </c>
      <c r="AP45" s="158">
        <v>1.157561798</v>
      </c>
      <c r="AQ45" s="100">
        <v>0.09251101321585903</v>
      </c>
      <c r="AR45" s="100">
        <v>0.4375</v>
      </c>
      <c r="AS45" s="98">
        <v>455.5336991406978</v>
      </c>
      <c r="AT45" s="98">
        <v>320.94419712185527</v>
      </c>
      <c r="AU45" s="98">
        <v>72.47127031783829</v>
      </c>
      <c r="AV45" s="98">
        <v>517.651930841702</v>
      </c>
      <c r="AW45" s="98">
        <v>880.0082824308935</v>
      </c>
      <c r="AX45" s="98">
        <v>227.7668495703489</v>
      </c>
      <c r="AY45" s="98">
        <v>1335.5419815715914</v>
      </c>
      <c r="AZ45" s="98">
        <v>424.47458329019565</v>
      </c>
      <c r="BA45" s="100" t="s">
        <v>657</v>
      </c>
      <c r="BB45" s="100" t="s">
        <v>657</v>
      </c>
      <c r="BC45" s="100" t="s">
        <v>657</v>
      </c>
      <c r="BD45" s="158">
        <v>1.01186409</v>
      </c>
      <c r="BE45" s="158">
        <v>1.3183470149999998</v>
      </c>
      <c r="BF45" s="162">
        <v>1292</v>
      </c>
      <c r="BG45" s="162">
        <v>40</v>
      </c>
      <c r="BH45" s="162">
        <v>2339</v>
      </c>
      <c r="BI45" s="162">
        <v>1185</v>
      </c>
      <c r="BJ45" s="162">
        <v>546</v>
      </c>
      <c r="BK45" s="97"/>
      <c r="BL45" s="97"/>
      <c r="BM45" s="97"/>
      <c r="BN45" s="97"/>
    </row>
    <row r="46" spans="1:66" ht="12.75">
      <c r="A46" s="79" t="s">
        <v>611</v>
      </c>
      <c r="B46" s="79" t="s">
        <v>335</v>
      </c>
      <c r="C46" s="79" t="s">
        <v>218</v>
      </c>
      <c r="D46" s="99">
        <v>11062</v>
      </c>
      <c r="E46" s="99">
        <v>2245</v>
      </c>
      <c r="F46" s="99" t="s">
        <v>397</v>
      </c>
      <c r="G46" s="99">
        <v>64</v>
      </c>
      <c r="H46" s="99">
        <v>34</v>
      </c>
      <c r="I46" s="99">
        <v>217</v>
      </c>
      <c r="J46" s="99">
        <v>965</v>
      </c>
      <c r="K46" s="99">
        <v>945</v>
      </c>
      <c r="L46" s="99">
        <v>1939</v>
      </c>
      <c r="M46" s="99">
        <v>643</v>
      </c>
      <c r="N46" s="99">
        <v>288</v>
      </c>
      <c r="O46" s="99">
        <v>231</v>
      </c>
      <c r="P46" s="159">
        <v>231</v>
      </c>
      <c r="Q46" s="99">
        <v>27</v>
      </c>
      <c r="R46" s="99">
        <v>57</v>
      </c>
      <c r="S46" s="99">
        <v>48</v>
      </c>
      <c r="T46" s="99">
        <v>34</v>
      </c>
      <c r="U46" s="99">
        <v>6</v>
      </c>
      <c r="V46" s="99">
        <v>36</v>
      </c>
      <c r="W46" s="99">
        <v>54</v>
      </c>
      <c r="X46" s="99">
        <v>37</v>
      </c>
      <c r="Y46" s="99">
        <v>158</v>
      </c>
      <c r="Z46" s="99">
        <v>80</v>
      </c>
      <c r="AA46" s="99" t="s">
        <v>657</v>
      </c>
      <c r="AB46" s="99" t="s">
        <v>657</v>
      </c>
      <c r="AC46" s="99" t="s">
        <v>657</v>
      </c>
      <c r="AD46" s="98" t="s">
        <v>375</v>
      </c>
      <c r="AE46" s="100">
        <v>0.2029470258542759</v>
      </c>
      <c r="AF46" s="100">
        <v>0.15</v>
      </c>
      <c r="AG46" s="98">
        <v>578.5572229253299</v>
      </c>
      <c r="AH46" s="98">
        <v>307.35852467908154</v>
      </c>
      <c r="AI46" s="100">
        <v>0.02</v>
      </c>
      <c r="AJ46" s="100">
        <v>0.748062</v>
      </c>
      <c r="AK46" s="100">
        <v>0.758427</v>
      </c>
      <c r="AL46" s="100">
        <v>0.742912</v>
      </c>
      <c r="AM46" s="100">
        <v>0.562063</v>
      </c>
      <c r="AN46" s="100">
        <v>0.576</v>
      </c>
      <c r="AO46" s="98">
        <v>2088.2299764961126</v>
      </c>
      <c r="AP46" s="158">
        <v>1.0554852289999999</v>
      </c>
      <c r="AQ46" s="100">
        <v>0.11688311688311688</v>
      </c>
      <c r="AR46" s="100">
        <v>0.47368421052631576</v>
      </c>
      <c r="AS46" s="98">
        <v>433.9179171939975</v>
      </c>
      <c r="AT46" s="98">
        <v>307.35852467908154</v>
      </c>
      <c r="AU46" s="98">
        <v>54.239739649249685</v>
      </c>
      <c r="AV46" s="98">
        <v>325.4384378954981</v>
      </c>
      <c r="AW46" s="98">
        <v>488.15765684324714</v>
      </c>
      <c r="AX46" s="98">
        <v>334.4783945037064</v>
      </c>
      <c r="AY46" s="98">
        <v>1428.3131440969084</v>
      </c>
      <c r="AZ46" s="98">
        <v>723.1965286566624</v>
      </c>
      <c r="BA46" s="101" t="s">
        <v>657</v>
      </c>
      <c r="BB46" s="101" t="s">
        <v>657</v>
      </c>
      <c r="BC46" s="101" t="s">
        <v>657</v>
      </c>
      <c r="BD46" s="158">
        <v>0.9237519073</v>
      </c>
      <c r="BE46" s="158">
        <v>1.200734863</v>
      </c>
      <c r="BF46" s="162">
        <v>1290</v>
      </c>
      <c r="BG46" s="162">
        <v>1246</v>
      </c>
      <c r="BH46" s="162">
        <v>2610</v>
      </c>
      <c r="BI46" s="162">
        <v>1144</v>
      </c>
      <c r="BJ46" s="162">
        <v>500</v>
      </c>
      <c r="BK46" s="97"/>
      <c r="BL46" s="97"/>
      <c r="BM46" s="97"/>
      <c r="BN46" s="97"/>
    </row>
    <row r="47" spans="1:66" ht="12.75">
      <c r="A47" s="79" t="s">
        <v>560</v>
      </c>
      <c r="B47" s="79" t="s">
        <v>283</v>
      </c>
      <c r="C47" s="79" t="s">
        <v>218</v>
      </c>
      <c r="D47" s="99">
        <v>9718</v>
      </c>
      <c r="E47" s="99">
        <v>1403</v>
      </c>
      <c r="F47" s="99" t="s">
        <v>398</v>
      </c>
      <c r="G47" s="99">
        <v>38</v>
      </c>
      <c r="H47" s="99">
        <v>15</v>
      </c>
      <c r="I47" s="99">
        <v>170</v>
      </c>
      <c r="J47" s="99">
        <v>956</v>
      </c>
      <c r="K47" s="99">
        <v>945</v>
      </c>
      <c r="L47" s="99">
        <v>1995</v>
      </c>
      <c r="M47" s="99">
        <v>586</v>
      </c>
      <c r="N47" s="99">
        <v>271</v>
      </c>
      <c r="O47" s="99">
        <v>208</v>
      </c>
      <c r="P47" s="159">
        <v>208</v>
      </c>
      <c r="Q47" s="99">
        <v>16</v>
      </c>
      <c r="R47" s="99">
        <v>50</v>
      </c>
      <c r="S47" s="99">
        <v>48</v>
      </c>
      <c r="T47" s="99">
        <v>19</v>
      </c>
      <c r="U47" s="99">
        <v>9</v>
      </c>
      <c r="V47" s="99">
        <v>36</v>
      </c>
      <c r="W47" s="99">
        <v>40</v>
      </c>
      <c r="X47" s="99">
        <v>51</v>
      </c>
      <c r="Y47" s="99">
        <v>101</v>
      </c>
      <c r="Z47" s="99">
        <v>47</v>
      </c>
      <c r="AA47" s="99" t="s">
        <v>657</v>
      </c>
      <c r="AB47" s="99" t="s">
        <v>657</v>
      </c>
      <c r="AC47" s="99" t="s">
        <v>657</v>
      </c>
      <c r="AD47" s="98" t="s">
        <v>375</v>
      </c>
      <c r="AE47" s="100">
        <v>0.1443712698086026</v>
      </c>
      <c r="AF47" s="100">
        <v>0.07</v>
      </c>
      <c r="AG47" s="98">
        <v>391.026960279893</v>
      </c>
      <c r="AH47" s="98">
        <v>154.35274747890512</v>
      </c>
      <c r="AI47" s="100">
        <v>0.017</v>
      </c>
      <c r="AJ47" s="100">
        <v>0.810857</v>
      </c>
      <c r="AK47" s="100">
        <v>0.820313</v>
      </c>
      <c r="AL47" s="100">
        <v>0.82268</v>
      </c>
      <c r="AM47" s="100">
        <v>0.584247</v>
      </c>
      <c r="AN47" s="100">
        <v>0.607623</v>
      </c>
      <c r="AO47" s="98">
        <v>2140.3580983741513</v>
      </c>
      <c r="AP47" s="158">
        <v>1.185840683</v>
      </c>
      <c r="AQ47" s="100">
        <v>0.07692307692307693</v>
      </c>
      <c r="AR47" s="100">
        <v>0.32</v>
      </c>
      <c r="AS47" s="98">
        <v>493.9287919324964</v>
      </c>
      <c r="AT47" s="98">
        <v>195.5134801399465</v>
      </c>
      <c r="AU47" s="98">
        <v>92.61164848734307</v>
      </c>
      <c r="AV47" s="98">
        <v>370.4465939493723</v>
      </c>
      <c r="AW47" s="98">
        <v>411.6073266104137</v>
      </c>
      <c r="AX47" s="98">
        <v>524.7993414282774</v>
      </c>
      <c r="AY47" s="98">
        <v>1039.3084996912944</v>
      </c>
      <c r="AZ47" s="98">
        <v>483.63860876723606</v>
      </c>
      <c r="BA47" s="100" t="s">
        <v>657</v>
      </c>
      <c r="BB47" s="100" t="s">
        <v>657</v>
      </c>
      <c r="BC47" s="100" t="s">
        <v>657</v>
      </c>
      <c r="BD47" s="158">
        <v>1.030151978</v>
      </c>
      <c r="BE47" s="158">
        <v>1.3584136960000002</v>
      </c>
      <c r="BF47" s="162">
        <v>1179</v>
      </c>
      <c r="BG47" s="162">
        <v>1152</v>
      </c>
      <c r="BH47" s="162">
        <v>2425</v>
      </c>
      <c r="BI47" s="162">
        <v>1003</v>
      </c>
      <c r="BJ47" s="162">
        <v>446</v>
      </c>
      <c r="BK47" s="97"/>
      <c r="BL47" s="97"/>
      <c r="BM47" s="97"/>
      <c r="BN47" s="97"/>
    </row>
    <row r="48" spans="1:66" ht="12.75">
      <c r="A48" s="79" t="s">
        <v>610</v>
      </c>
      <c r="B48" s="79" t="s">
        <v>334</v>
      </c>
      <c r="C48" s="79" t="s">
        <v>218</v>
      </c>
      <c r="D48" s="99">
        <v>18537</v>
      </c>
      <c r="E48" s="99">
        <v>4144</v>
      </c>
      <c r="F48" s="99" t="s">
        <v>398</v>
      </c>
      <c r="G48" s="99">
        <v>89</v>
      </c>
      <c r="H48" s="99">
        <v>49</v>
      </c>
      <c r="I48" s="99">
        <v>367</v>
      </c>
      <c r="J48" s="99">
        <v>2058</v>
      </c>
      <c r="K48" s="99">
        <v>1748</v>
      </c>
      <c r="L48" s="99">
        <v>3654</v>
      </c>
      <c r="M48" s="99">
        <v>1521</v>
      </c>
      <c r="N48" s="99">
        <v>773</v>
      </c>
      <c r="O48" s="99">
        <v>385</v>
      </c>
      <c r="P48" s="159">
        <v>385</v>
      </c>
      <c r="Q48" s="99">
        <v>37</v>
      </c>
      <c r="R48" s="99">
        <v>112</v>
      </c>
      <c r="S48" s="99">
        <v>68</v>
      </c>
      <c r="T48" s="99">
        <v>42</v>
      </c>
      <c r="U48" s="99">
        <v>12</v>
      </c>
      <c r="V48" s="99">
        <v>123</v>
      </c>
      <c r="W48" s="99">
        <v>74</v>
      </c>
      <c r="X48" s="99">
        <v>92</v>
      </c>
      <c r="Y48" s="99">
        <v>142</v>
      </c>
      <c r="Z48" s="99">
        <v>67</v>
      </c>
      <c r="AA48" s="99" t="s">
        <v>657</v>
      </c>
      <c r="AB48" s="99" t="s">
        <v>657</v>
      </c>
      <c r="AC48" s="99" t="s">
        <v>657</v>
      </c>
      <c r="AD48" s="98" t="s">
        <v>375</v>
      </c>
      <c r="AE48" s="100">
        <v>0.22355289421157684</v>
      </c>
      <c r="AF48" s="100">
        <v>0.06</v>
      </c>
      <c r="AG48" s="98">
        <v>480.12083940227654</v>
      </c>
      <c r="AH48" s="98">
        <v>264.33619247990504</v>
      </c>
      <c r="AI48" s="100">
        <v>0.02</v>
      </c>
      <c r="AJ48" s="100">
        <v>0.816019</v>
      </c>
      <c r="AK48" s="100">
        <v>0.821429</v>
      </c>
      <c r="AL48" s="100">
        <v>0.818915</v>
      </c>
      <c r="AM48" s="100">
        <v>0.644219</v>
      </c>
      <c r="AN48" s="100">
        <v>0.689563</v>
      </c>
      <c r="AO48" s="98">
        <v>2076.9272266278253</v>
      </c>
      <c r="AP48" s="158">
        <v>0.9567733764999999</v>
      </c>
      <c r="AQ48" s="100">
        <v>0.09610389610389611</v>
      </c>
      <c r="AR48" s="100">
        <v>0.33035714285714285</v>
      </c>
      <c r="AS48" s="98">
        <v>366.83389976803153</v>
      </c>
      <c r="AT48" s="98">
        <v>226.57387926849006</v>
      </c>
      <c r="AU48" s="98">
        <v>64.73539407671144</v>
      </c>
      <c r="AV48" s="98">
        <v>663.5377892862923</v>
      </c>
      <c r="AW48" s="98">
        <v>399.2015968063872</v>
      </c>
      <c r="AX48" s="98">
        <v>496.3046879214544</v>
      </c>
      <c r="AY48" s="98">
        <v>766.0354965744187</v>
      </c>
      <c r="AZ48" s="98">
        <v>361.4392835949722</v>
      </c>
      <c r="BA48" s="100" t="s">
        <v>657</v>
      </c>
      <c r="BB48" s="100" t="s">
        <v>657</v>
      </c>
      <c r="BC48" s="100" t="s">
        <v>657</v>
      </c>
      <c r="BD48" s="158">
        <v>0.8635773468</v>
      </c>
      <c r="BE48" s="158">
        <v>1.057285233</v>
      </c>
      <c r="BF48" s="162">
        <v>2522</v>
      </c>
      <c r="BG48" s="162">
        <v>2128</v>
      </c>
      <c r="BH48" s="162">
        <v>4462</v>
      </c>
      <c r="BI48" s="162">
        <v>2361</v>
      </c>
      <c r="BJ48" s="162">
        <v>1121</v>
      </c>
      <c r="BK48" s="97"/>
      <c r="BL48" s="97"/>
      <c r="BM48" s="97"/>
      <c r="BN48" s="97"/>
    </row>
    <row r="49" spans="1:66" ht="12.75">
      <c r="A49" s="79" t="s">
        <v>620</v>
      </c>
      <c r="B49" s="79" t="s">
        <v>344</v>
      </c>
      <c r="C49" s="79" t="s">
        <v>218</v>
      </c>
      <c r="D49" s="99">
        <v>4870</v>
      </c>
      <c r="E49" s="99">
        <v>1108</v>
      </c>
      <c r="F49" s="99" t="s">
        <v>398</v>
      </c>
      <c r="G49" s="99">
        <v>31</v>
      </c>
      <c r="H49" s="99">
        <v>13</v>
      </c>
      <c r="I49" s="99">
        <v>101</v>
      </c>
      <c r="J49" s="99">
        <v>566</v>
      </c>
      <c r="K49" s="99">
        <v>565</v>
      </c>
      <c r="L49" s="99">
        <v>882</v>
      </c>
      <c r="M49" s="99">
        <v>291</v>
      </c>
      <c r="N49" s="99">
        <v>220</v>
      </c>
      <c r="O49" s="99">
        <v>65</v>
      </c>
      <c r="P49" s="159">
        <v>65</v>
      </c>
      <c r="Q49" s="99" t="s">
        <v>657</v>
      </c>
      <c r="R49" s="99">
        <v>10</v>
      </c>
      <c r="S49" s="99">
        <v>17</v>
      </c>
      <c r="T49" s="99" t="s">
        <v>657</v>
      </c>
      <c r="U49" s="99" t="s">
        <v>657</v>
      </c>
      <c r="V49" s="99">
        <v>21</v>
      </c>
      <c r="W49" s="99">
        <v>30</v>
      </c>
      <c r="X49" s="99" t="s">
        <v>657</v>
      </c>
      <c r="Y49" s="99">
        <v>37</v>
      </c>
      <c r="Z49" s="99">
        <v>29</v>
      </c>
      <c r="AA49" s="99" t="s">
        <v>657</v>
      </c>
      <c r="AB49" s="99" t="s">
        <v>657</v>
      </c>
      <c r="AC49" s="99" t="s">
        <v>657</v>
      </c>
      <c r="AD49" s="98" t="s">
        <v>375</v>
      </c>
      <c r="AE49" s="100">
        <v>0.2275154004106776</v>
      </c>
      <c r="AF49" s="100">
        <v>0.07</v>
      </c>
      <c r="AG49" s="98">
        <v>636.5503080082135</v>
      </c>
      <c r="AH49" s="98">
        <v>266.9404517453799</v>
      </c>
      <c r="AI49" s="100">
        <v>0.021</v>
      </c>
      <c r="AJ49" s="100">
        <v>0.772169</v>
      </c>
      <c r="AK49" s="100">
        <v>0.793539</v>
      </c>
      <c r="AL49" s="100">
        <v>0.735</v>
      </c>
      <c r="AM49" s="100">
        <v>0.382392</v>
      </c>
      <c r="AN49" s="100">
        <v>0.617978</v>
      </c>
      <c r="AO49" s="98">
        <v>1334.7022587268993</v>
      </c>
      <c r="AP49" s="158">
        <v>0.6037687683</v>
      </c>
      <c r="AQ49" s="100" t="s">
        <v>657</v>
      </c>
      <c r="AR49" s="100" t="s">
        <v>657</v>
      </c>
      <c r="AS49" s="98">
        <v>349.0759753593429</v>
      </c>
      <c r="AT49" s="98" t="s">
        <v>657</v>
      </c>
      <c r="AU49" s="98" t="s">
        <v>657</v>
      </c>
      <c r="AV49" s="98">
        <v>431.21149897330594</v>
      </c>
      <c r="AW49" s="98">
        <v>616.0164271047228</v>
      </c>
      <c r="AX49" s="98" t="s">
        <v>657</v>
      </c>
      <c r="AY49" s="98">
        <v>759.7535934291581</v>
      </c>
      <c r="AZ49" s="98">
        <v>595.482546201232</v>
      </c>
      <c r="BA49" s="100" t="s">
        <v>657</v>
      </c>
      <c r="BB49" s="100" t="s">
        <v>657</v>
      </c>
      <c r="BC49" s="100" t="s">
        <v>657</v>
      </c>
      <c r="BD49" s="158">
        <v>0.4659759903</v>
      </c>
      <c r="BE49" s="158">
        <v>0.7695528412</v>
      </c>
      <c r="BF49" s="162">
        <v>733</v>
      </c>
      <c r="BG49" s="162">
        <v>712</v>
      </c>
      <c r="BH49" s="162">
        <v>1200</v>
      </c>
      <c r="BI49" s="162">
        <v>761</v>
      </c>
      <c r="BJ49" s="162">
        <v>356</v>
      </c>
      <c r="BK49" s="97"/>
      <c r="BL49" s="97"/>
      <c r="BM49" s="97"/>
      <c r="BN49" s="97"/>
    </row>
    <row r="50" spans="1:66" ht="12.75">
      <c r="A50" s="79" t="s">
        <v>615</v>
      </c>
      <c r="B50" s="79" t="s">
        <v>339</v>
      </c>
      <c r="C50" s="79" t="s">
        <v>218</v>
      </c>
      <c r="D50" s="99">
        <v>13351</v>
      </c>
      <c r="E50" s="99">
        <v>2512</v>
      </c>
      <c r="F50" s="99" t="s">
        <v>398</v>
      </c>
      <c r="G50" s="99">
        <v>55</v>
      </c>
      <c r="H50" s="99">
        <v>30</v>
      </c>
      <c r="I50" s="99">
        <v>333</v>
      </c>
      <c r="J50" s="99">
        <v>1222</v>
      </c>
      <c r="K50" s="99">
        <v>602</v>
      </c>
      <c r="L50" s="99">
        <v>2590</v>
      </c>
      <c r="M50" s="99">
        <v>913</v>
      </c>
      <c r="N50" s="99">
        <v>454</v>
      </c>
      <c r="O50" s="99">
        <v>209</v>
      </c>
      <c r="P50" s="159">
        <v>209</v>
      </c>
      <c r="Q50" s="99">
        <v>27</v>
      </c>
      <c r="R50" s="99">
        <v>59</v>
      </c>
      <c r="S50" s="99">
        <v>59</v>
      </c>
      <c r="T50" s="99">
        <v>38</v>
      </c>
      <c r="U50" s="99">
        <v>8</v>
      </c>
      <c r="V50" s="99">
        <v>24</v>
      </c>
      <c r="W50" s="99">
        <v>84</v>
      </c>
      <c r="X50" s="99">
        <v>57</v>
      </c>
      <c r="Y50" s="99">
        <v>144</v>
      </c>
      <c r="Z50" s="99">
        <v>63</v>
      </c>
      <c r="AA50" s="99" t="s">
        <v>657</v>
      </c>
      <c r="AB50" s="99" t="s">
        <v>657</v>
      </c>
      <c r="AC50" s="99" t="s">
        <v>657</v>
      </c>
      <c r="AD50" s="98" t="s">
        <v>375</v>
      </c>
      <c r="AE50" s="100">
        <v>0.18815070032207326</v>
      </c>
      <c r="AF50" s="100">
        <v>0.06</v>
      </c>
      <c r="AG50" s="98">
        <v>411.95416073702347</v>
      </c>
      <c r="AH50" s="98">
        <v>224.70226949292189</v>
      </c>
      <c r="AI50" s="100">
        <v>0.025</v>
      </c>
      <c r="AJ50" s="100">
        <v>0.704729</v>
      </c>
      <c r="AK50" s="100">
        <v>0.829201</v>
      </c>
      <c r="AL50" s="100">
        <v>0.777311</v>
      </c>
      <c r="AM50" s="100">
        <v>0.567081</v>
      </c>
      <c r="AN50" s="100">
        <v>0.619372</v>
      </c>
      <c r="AO50" s="98">
        <v>1565.425810800689</v>
      </c>
      <c r="AP50" s="158">
        <v>0.7858389282</v>
      </c>
      <c r="AQ50" s="100">
        <v>0.1291866028708134</v>
      </c>
      <c r="AR50" s="100">
        <v>0.4576271186440678</v>
      </c>
      <c r="AS50" s="98">
        <v>441.9144633360797</v>
      </c>
      <c r="AT50" s="98">
        <v>284.6228746910344</v>
      </c>
      <c r="AU50" s="98">
        <v>59.920605198112504</v>
      </c>
      <c r="AV50" s="98">
        <v>179.7618155943375</v>
      </c>
      <c r="AW50" s="98">
        <v>629.1663545801813</v>
      </c>
      <c r="AX50" s="98">
        <v>426.93431203655155</v>
      </c>
      <c r="AY50" s="98">
        <v>1078.570893566025</v>
      </c>
      <c r="AZ50" s="98">
        <v>471.87476593513594</v>
      </c>
      <c r="BA50" s="100" t="s">
        <v>657</v>
      </c>
      <c r="BB50" s="100" t="s">
        <v>657</v>
      </c>
      <c r="BC50" s="100" t="s">
        <v>657</v>
      </c>
      <c r="BD50" s="158">
        <v>0.6829047394</v>
      </c>
      <c r="BE50" s="158">
        <v>0.8999079895</v>
      </c>
      <c r="BF50" s="162">
        <v>1734</v>
      </c>
      <c r="BG50" s="162">
        <v>726</v>
      </c>
      <c r="BH50" s="162">
        <v>3332</v>
      </c>
      <c r="BI50" s="162">
        <v>1610</v>
      </c>
      <c r="BJ50" s="162">
        <v>733</v>
      </c>
      <c r="BK50" s="97"/>
      <c r="BL50" s="97"/>
      <c r="BM50" s="97"/>
      <c r="BN50" s="97"/>
    </row>
    <row r="51" spans="1:66" ht="12.75">
      <c r="A51" s="79" t="s">
        <v>634</v>
      </c>
      <c r="B51" s="79" t="s">
        <v>358</v>
      </c>
      <c r="C51" s="79" t="s">
        <v>218</v>
      </c>
      <c r="D51" s="99">
        <v>5608</v>
      </c>
      <c r="E51" s="99">
        <v>1412</v>
      </c>
      <c r="F51" s="99" t="s">
        <v>397</v>
      </c>
      <c r="G51" s="99">
        <v>39</v>
      </c>
      <c r="H51" s="99">
        <v>10</v>
      </c>
      <c r="I51" s="99">
        <v>122</v>
      </c>
      <c r="J51" s="99">
        <v>536</v>
      </c>
      <c r="K51" s="99">
        <v>6</v>
      </c>
      <c r="L51" s="99">
        <v>1008</v>
      </c>
      <c r="M51" s="99">
        <v>424</v>
      </c>
      <c r="N51" s="99">
        <v>195</v>
      </c>
      <c r="O51" s="99">
        <v>165</v>
      </c>
      <c r="P51" s="159">
        <v>165</v>
      </c>
      <c r="Q51" s="99">
        <v>9</v>
      </c>
      <c r="R51" s="99">
        <v>35</v>
      </c>
      <c r="S51" s="99">
        <v>21</v>
      </c>
      <c r="T51" s="99">
        <v>19</v>
      </c>
      <c r="U51" s="99" t="s">
        <v>657</v>
      </c>
      <c r="V51" s="99">
        <v>42</v>
      </c>
      <c r="W51" s="99">
        <v>71</v>
      </c>
      <c r="X51" s="99">
        <v>18</v>
      </c>
      <c r="Y51" s="99">
        <v>128</v>
      </c>
      <c r="Z51" s="99">
        <v>36</v>
      </c>
      <c r="AA51" s="99" t="s">
        <v>657</v>
      </c>
      <c r="AB51" s="99" t="s">
        <v>657</v>
      </c>
      <c r="AC51" s="99" t="s">
        <v>657</v>
      </c>
      <c r="AD51" s="98" t="s">
        <v>375</v>
      </c>
      <c r="AE51" s="100">
        <v>0.25178316690442226</v>
      </c>
      <c r="AF51" s="100">
        <v>0.13</v>
      </c>
      <c r="AG51" s="98">
        <v>695.4350927246791</v>
      </c>
      <c r="AH51" s="98">
        <v>178.3166904422254</v>
      </c>
      <c r="AI51" s="100">
        <v>0.022000000000000002</v>
      </c>
      <c r="AJ51" s="100">
        <v>0.671679</v>
      </c>
      <c r="AK51" s="100">
        <v>0.352941</v>
      </c>
      <c r="AL51" s="100">
        <v>0.786271</v>
      </c>
      <c r="AM51" s="100">
        <v>0.569128</v>
      </c>
      <c r="AN51" s="100">
        <v>0.589124</v>
      </c>
      <c r="AO51" s="98">
        <v>2942.225392296719</v>
      </c>
      <c r="AP51" s="158">
        <v>1.2803578189999998</v>
      </c>
      <c r="AQ51" s="100">
        <v>0.05454545454545454</v>
      </c>
      <c r="AR51" s="100">
        <v>0.2571428571428571</v>
      </c>
      <c r="AS51" s="98">
        <v>374.46504992867335</v>
      </c>
      <c r="AT51" s="98">
        <v>338.8017118402282</v>
      </c>
      <c r="AU51" s="98" t="s">
        <v>657</v>
      </c>
      <c r="AV51" s="98">
        <v>748.9300998573467</v>
      </c>
      <c r="AW51" s="98">
        <v>1266.0485021398003</v>
      </c>
      <c r="AX51" s="98">
        <v>320.9700427960057</v>
      </c>
      <c r="AY51" s="98">
        <v>2282.453637660485</v>
      </c>
      <c r="AZ51" s="98">
        <v>641.9400855920114</v>
      </c>
      <c r="BA51" s="100" t="s">
        <v>657</v>
      </c>
      <c r="BB51" s="100" t="s">
        <v>657</v>
      </c>
      <c r="BC51" s="100" t="s">
        <v>657</v>
      </c>
      <c r="BD51" s="158">
        <v>1.092447205</v>
      </c>
      <c r="BE51" s="158">
        <v>1.491312561</v>
      </c>
      <c r="BF51" s="162">
        <v>798</v>
      </c>
      <c r="BG51" s="162">
        <v>17</v>
      </c>
      <c r="BH51" s="162">
        <v>1282</v>
      </c>
      <c r="BI51" s="162">
        <v>745</v>
      </c>
      <c r="BJ51" s="162">
        <v>331</v>
      </c>
      <c r="BK51" s="97"/>
      <c r="BL51" s="97"/>
      <c r="BM51" s="97"/>
      <c r="BN51" s="97"/>
    </row>
    <row r="52" spans="1:66" ht="12.75">
      <c r="A52" s="79" t="s">
        <v>609</v>
      </c>
      <c r="B52" s="79" t="s">
        <v>333</v>
      </c>
      <c r="C52" s="79" t="s">
        <v>218</v>
      </c>
      <c r="D52" s="99">
        <v>12392</v>
      </c>
      <c r="E52" s="99">
        <v>2371</v>
      </c>
      <c r="F52" s="99" t="s">
        <v>398</v>
      </c>
      <c r="G52" s="99">
        <v>55</v>
      </c>
      <c r="H52" s="99">
        <v>30</v>
      </c>
      <c r="I52" s="99">
        <v>239</v>
      </c>
      <c r="J52" s="99">
        <v>1196</v>
      </c>
      <c r="K52" s="99">
        <v>12</v>
      </c>
      <c r="L52" s="99">
        <v>2377</v>
      </c>
      <c r="M52" s="99">
        <v>932</v>
      </c>
      <c r="N52" s="99">
        <v>430</v>
      </c>
      <c r="O52" s="99">
        <v>198</v>
      </c>
      <c r="P52" s="159">
        <v>198</v>
      </c>
      <c r="Q52" s="99">
        <v>12</v>
      </c>
      <c r="R52" s="99">
        <v>50</v>
      </c>
      <c r="S52" s="99">
        <v>57</v>
      </c>
      <c r="T52" s="99">
        <v>12</v>
      </c>
      <c r="U52" s="99">
        <v>7</v>
      </c>
      <c r="V52" s="99">
        <v>45</v>
      </c>
      <c r="W52" s="99">
        <v>52</v>
      </c>
      <c r="X52" s="99">
        <v>55</v>
      </c>
      <c r="Y52" s="99">
        <v>124</v>
      </c>
      <c r="Z52" s="99">
        <v>59</v>
      </c>
      <c r="AA52" s="99" t="s">
        <v>657</v>
      </c>
      <c r="AB52" s="99" t="s">
        <v>657</v>
      </c>
      <c r="AC52" s="99" t="s">
        <v>657</v>
      </c>
      <c r="AD52" s="98" t="s">
        <v>375</v>
      </c>
      <c r="AE52" s="100">
        <v>0.19133311814073595</v>
      </c>
      <c r="AF52" s="100">
        <v>0.06</v>
      </c>
      <c r="AG52" s="98">
        <v>443.8347320852163</v>
      </c>
      <c r="AH52" s="98">
        <v>242.0916720464816</v>
      </c>
      <c r="AI52" s="100">
        <v>0.019</v>
      </c>
      <c r="AJ52" s="100">
        <v>0.750785</v>
      </c>
      <c r="AK52" s="100">
        <v>0.375</v>
      </c>
      <c r="AL52" s="100">
        <v>0.754603</v>
      </c>
      <c r="AM52" s="100">
        <v>0.609948</v>
      </c>
      <c r="AN52" s="100">
        <v>0.627737</v>
      </c>
      <c r="AO52" s="98">
        <v>1597.8050355067785</v>
      </c>
      <c r="AP52" s="158">
        <v>0.8129585265999999</v>
      </c>
      <c r="AQ52" s="100">
        <v>0.06060606060606061</v>
      </c>
      <c r="AR52" s="100">
        <v>0.24</v>
      </c>
      <c r="AS52" s="98">
        <v>459.974176888315</v>
      </c>
      <c r="AT52" s="98">
        <v>96.83666881859264</v>
      </c>
      <c r="AU52" s="98">
        <v>56.488056810845706</v>
      </c>
      <c r="AV52" s="98">
        <v>363.1375080697224</v>
      </c>
      <c r="AW52" s="98">
        <v>419.6255648805681</v>
      </c>
      <c r="AX52" s="98">
        <v>443.8347320852163</v>
      </c>
      <c r="AY52" s="98">
        <v>1000.645577792124</v>
      </c>
      <c r="AZ52" s="98">
        <v>476.1136216914138</v>
      </c>
      <c r="BA52" s="100" t="s">
        <v>657</v>
      </c>
      <c r="BB52" s="100" t="s">
        <v>657</v>
      </c>
      <c r="BC52" s="100" t="s">
        <v>657</v>
      </c>
      <c r="BD52" s="158">
        <v>0.7036602782999999</v>
      </c>
      <c r="BE52" s="158">
        <v>0.9344232941</v>
      </c>
      <c r="BF52" s="162">
        <v>1593</v>
      </c>
      <c r="BG52" s="162">
        <v>32</v>
      </c>
      <c r="BH52" s="162">
        <v>3150</v>
      </c>
      <c r="BI52" s="162">
        <v>1528</v>
      </c>
      <c r="BJ52" s="162">
        <v>685</v>
      </c>
      <c r="BK52" s="97"/>
      <c r="BL52" s="97"/>
      <c r="BM52" s="97"/>
      <c r="BN52" s="97"/>
    </row>
    <row r="53" spans="1:66" ht="12.75">
      <c r="A53" s="79" t="s">
        <v>627</v>
      </c>
      <c r="B53" s="79" t="s">
        <v>351</v>
      </c>
      <c r="C53" s="79" t="s">
        <v>218</v>
      </c>
      <c r="D53" s="99">
        <v>2670</v>
      </c>
      <c r="E53" s="99">
        <v>409</v>
      </c>
      <c r="F53" s="99" t="s">
        <v>397</v>
      </c>
      <c r="G53" s="99">
        <v>16</v>
      </c>
      <c r="H53" s="99">
        <v>9</v>
      </c>
      <c r="I53" s="99">
        <v>33</v>
      </c>
      <c r="J53" s="99">
        <v>132</v>
      </c>
      <c r="K53" s="99">
        <v>128</v>
      </c>
      <c r="L53" s="99">
        <v>367</v>
      </c>
      <c r="M53" s="99">
        <v>103</v>
      </c>
      <c r="N53" s="99">
        <v>46</v>
      </c>
      <c r="O53" s="99">
        <v>37</v>
      </c>
      <c r="P53" s="159">
        <v>37</v>
      </c>
      <c r="Q53" s="99">
        <v>7</v>
      </c>
      <c r="R53" s="99">
        <v>20</v>
      </c>
      <c r="S53" s="99">
        <v>9</v>
      </c>
      <c r="T53" s="99" t="s">
        <v>657</v>
      </c>
      <c r="U53" s="99" t="s">
        <v>657</v>
      </c>
      <c r="V53" s="99" t="s">
        <v>657</v>
      </c>
      <c r="W53" s="99">
        <v>8</v>
      </c>
      <c r="X53" s="99">
        <v>8</v>
      </c>
      <c r="Y53" s="99">
        <v>38</v>
      </c>
      <c r="Z53" s="99">
        <v>11</v>
      </c>
      <c r="AA53" s="99" t="s">
        <v>657</v>
      </c>
      <c r="AB53" s="99" t="s">
        <v>657</v>
      </c>
      <c r="AC53" s="99" t="s">
        <v>657</v>
      </c>
      <c r="AD53" s="98" t="s">
        <v>375</v>
      </c>
      <c r="AE53" s="100">
        <v>0.15318352059925094</v>
      </c>
      <c r="AF53" s="100">
        <v>0.17</v>
      </c>
      <c r="AG53" s="98">
        <v>599.2509363295881</v>
      </c>
      <c r="AH53" s="98">
        <v>337.07865168539325</v>
      </c>
      <c r="AI53" s="100">
        <v>0.012</v>
      </c>
      <c r="AJ53" s="100">
        <v>0.53012</v>
      </c>
      <c r="AK53" s="100">
        <v>0.542373</v>
      </c>
      <c r="AL53" s="100">
        <v>0.611667</v>
      </c>
      <c r="AM53" s="100">
        <v>0.440171</v>
      </c>
      <c r="AN53" s="100">
        <v>0.425926</v>
      </c>
      <c r="AO53" s="98">
        <v>1385.7677902621722</v>
      </c>
      <c r="AP53" s="158">
        <v>0.8189587401999999</v>
      </c>
      <c r="AQ53" s="100">
        <v>0.1891891891891892</v>
      </c>
      <c r="AR53" s="100">
        <v>0.35</v>
      </c>
      <c r="AS53" s="98">
        <v>337.07865168539325</v>
      </c>
      <c r="AT53" s="98" t="s">
        <v>657</v>
      </c>
      <c r="AU53" s="98" t="s">
        <v>657</v>
      </c>
      <c r="AV53" s="98" t="s">
        <v>657</v>
      </c>
      <c r="AW53" s="98">
        <v>299.62546816479403</v>
      </c>
      <c r="AX53" s="98">
        <v>299.62546816479403</v>
      </c>
      <c r="AY53" s="98">
        <v>1423.2209737827716</v>
      </c>
      <c r="AZ53" s="98">
        <v>411.98501872659176</v>
      </c>
      <c r="BA53" s="100" t="s">
        <v>657</v>
      </c>
      <c r="BB53" s="100" t="s">
        <v>657</v>
      </c>
      <c r="BC53" s="100" t="s">
        <v>657</v>
      </c>
      <c r="BD53" s="158">
        <v>0.5766225433000001</v>
      </c>
      <c r="BE53" s="158">
        <v>1.128826752</v>
      </c>
      <c r="BF53" s="162">
        <v>249</v>
      </c>
      <c r="BG53" s="162">
        <v>236</v>
      </c>
      <c r="BH53" s="162">
        <v>600</v>
      </c>
      <c r="BI53" s="162">
        <v>234</v>
      </c>
      <c r="BJ53" s="162">
        <v>108</v>
      </c>
      <c r="BK53" s="97"/>
      <c r="BL53" s="97"/>
      <c r="BM53" s="97"/>
      <c r="BN53" s="97"/>
    </row>
    <row r="54" spans="1:66" ht="12.75">
      <c r="A54" s="79" t="s">
        <v>628</v>
      </c>
      <c r="B54" s="79" t="s">
        <v>352</v>
      </c>
      <c r="C54" s="79" t="s">
        <v>218</v>
      </c>
      <c r="D54" s="99">
        <v>9702</v>
      </c>
      <c r="E54" s="99">
        <v>1838</v>
      </c>
      <c r="F54" s="99" t="s">
        <v>396</v>
      </c>
      <c r="G54" s="99">
        <v>28</v>
      </c>
      <c r="H54" s="99">
        <v>16</v>
      </c>
      <c r="I54" s="99">
        <v>128</v>
      </c>
      <c r="J54" s="99">
        <v>942</v>
      </c>
      <c r="K54" s="99">
        <v>24</v>
      </c>
      <c r="L54" s="99">
        <v>2009</v>
      </c>
      <c r="M54" s="99">
        <v>759</v>
      </c>
      <c r="N54" s="99">
        <v>356</v>
      </c>
      <c r="O54" s="99">
        <v>277</v>
      </c>
      <c r="P54" s="159">
        <v>277</v>
      </c>
      <c r="Q54" s="99">
        <v>17</v>
      </c>
      <c r="R54" s="99">
        <v>45</v>
      </c>
      <c r="S54" s="99">
        <v>43</v>
      </c>
      <c r="T54" s="99">
        <v>38</v>
      </c>
      <c r="U54" s="99" t="s">
        <v>657</v>
      </c>
      <c r="V54" s="99">
        <v>76</v>
      </c>
      <c r="W54" s="99">
        <v>90</v>
      </c>
      <c r="X54" s="99">
        <v>34</v>
      </c>
      <c r="Y54" s="99">
        <v>148</v>
      </c>
      <c r="Z54" s="99">
        <v>38</v>
      </c>
      <c r="AA54" s="99" t="s">
        <v>657</v>
      </c>
      <c r="AB54" s="99" t="s">
        <v>657</v>
      </c>
      <c r="AC54" s="99" t="s">
        <v>657</v>
      </c>
      <c r="AD54" s="98" t="s">
        <v>375</v>
      </c>
      <c r="AE54" s="100">
        <v>0.18944547515976087</v>
      </c>
      <c r="AF54" s="100">
        <v>0.11</v>
      </c>
      <c r="AG54" s="98">
        <v>288.6002886002886</v>
      </c>
      <c r="AH54" s="98">
        <v>164.91445062873635</v>
      </c>
      <c r="AI54" s="100">
        <v>0.013000000000000001</v>
      </c>
      <c r="AJ54" s="100">
        <v>0.714719</v>
      </c>
      <c r="AK54" s="100">
        <v>0.685714</v>
      </c>
      <c r="AL54" s="100">
        <v>0.838131</v>
      </c>
      <c r="AM54" s="100">
        <v>0.598109</v>
      </c>
      <c r="AN54" s="100">
        <v>0.636852</v>
      </c>
      <c r="AO54" s="98">
        <v>2855.081426509998</v>
      </c>
      <c r="AP54" s="158">
        <v>1.412994843</v>
      </c>
      <c r="AQ54" s="100">
        <v>0.061371841155234655</v>
      </c>
      <c r="AR54" s="100">
        <v>0.37777777777777777</v>
      </c>
      <c r="AS54" s="98">
        <v>443.2075860647289</v>
      </c>
      <c r="AT54" s="98">
        <v>391.6718202432488</v>
      </c>
      <c r="AU54" s="98" t="s">
        <v>657</v>
      </c>
      <c r="AV54" s="98">
        <v>783.3436404864976</v>
      </c>
      <c r="AW54" s="98">
        <v>927.643784786642</v>
      </c>
      <c r="AX54" s="98">
        <v>350.4432075860647</v>
      </c>
      <c r="AY54" s="98">
        <v>1525.458668315811</v>
      </c>
      <c r="AZ54" s="98">
        <v>391.6718202432488</v>
      </c>
      <c r="BA54" s="100" t="s">
        <v>657</v>
      </c>
      <c r="BB54" s="100" t="s">
        <v>657</v>
      </c>
      <c r="BC54" s="100" t="s">
        <v>657</v>
      </c>
      <c r="BD54" s="158">
        <v>1.251479416</v>
      </c>
      <c r="BE54" s="158">
        <v>1.589571838</v>
      </c>
      <c r="BF54" s="162">
        <v>1318</v>
      </c>
      <c r="BG54" s="162">
        <v>35</v>
      </c>
      <c r="BH54" s="162">
        <v>2397</v>
      </c>
      <c r="BI54" s="162">
        <v>1269</v>
      </c>
      <c r="BJ54" s="162">
        <v>559</v>
      </c>
      <c r="BK54" s="97"/>
      <c r="BL54" s="97"/>
      <c r="BM54" s="97"/>
      <c r="BN54" s="97"/>
    </row>
    <row r="55" spans="1:66" ht="12.75">
      <c r="A55" s="79" t="s">
        <v>641</v>
      </c>
      <c r="B55" s="79" t="s">
        <v>365</v>
      </c>
      <c r="C55" s="79" t="s">
        <v>218</v>
      </c>
      <c r="D55" s="99">
        <v>5524</v>
      </c>
      <c r="E55" s="99">
        <v>912</v>
      </c>
      <c r="F55" s="99" t="s">
        <v>398</v>
      </c>
      <c r="G55" s="99">
        <v>19</v>
      </c>
      <c r="H55" s="99">
        <v>9</v>
      </c>
      <c r="I55" s="99">
        <v>110</v>
      </c>
      <c r="J55" s="99">
        <v>614</v>
      </c>
      <c r="K55" s="99">
        <v>603</v>
      </c>
      <c r="L55" s="99">
        <v>1118</v>
      </c>
      <c r="M55" s="99">
        <v>449</v>
      </c>
      <c r="N55" s="99">
        <v>193</v>
      </c>
      <c r="O55" s="99">
        <v>94</v>
      </c>
      <c r="P55" s="159">
        <v>94</v>
      </c>
      <c r="Q55" s="99" t="s">
        <v>657</v>
      </c>
      <c r="R55" s="99">
        <v>18</v>
      </c>
      <c r="S55" s="99">
        <v>18</v>
      </c>
      <c r="T55" s="99">
        <v>16</v>
      </c>
      <c r="U55" s="99" t="s">
        <v>657</v>
      </c>
      <c r="V55" s="99">
        <v>19</v>
      </c>
      <c r="W55" s="99">
        <v>31</v>
      </c>
      <c r="X55" s="99">
        <v>22</v>
      </c>
      <c r="Y55" s="99">
        <v>43</v>
      </c>
      <c r="Z55" s="99">
        <v>14</v>
      </c>
      <c r="AA55" s="99" t="s">
        <v>657</v>
      </c>
      <c r="AB55" s="99" t="s">
        <v>657</v>
      </c>
      <c r="AC55" s="99" t="s">
        <v>657</v>
      </c>
      <c r="AD55" s="98" t="s">
        <v>375</v>
      </c>
      <c r="AE55" s="100">
        <v>0.16509775524981898</v>
      </c>
      <c r="AF55" s="100">
        <v>0.07</v>
      </c>
      <c r="AG55" s="98">
        <v>343.9536567704562</v>
      </c>
      <c r="AH55" s="98">
        <v>162.92541636495292</v>
      </c>
      <c r="AI55" s="100">
        <v>0.02</v>
      </c>
      <c r="AJ55" s="100">
        <v>0.82861</v>
      </c>
      <c r="AK55" s="100">
        <v>0.83518</v>
      </c>
      <c r="AL55" s="100">
        <v>0.789548</v>
      </c>
      <c r="AM55" s="100">
        <v>0.645115</v>
      </c>
      <c r="AN55" s="100">
        <v>0.670139</v>
      </c>
      <c r="AO55" s="98">
        <v>1701.6654598117307</v>
      </c>
      <c r="AP55" s="158">
        <v>0.8944706726</v>
      </c>
      <c r="AQ55" s="100" t="s">
        <v>657</v>
      </c>
      <c r="AR55" s="100" t="s">
        <v>657</v>
      </c>
      <c r="AS55" s="98">
        <v>325.85083272990585</v>
      </c>
      <c r="AT55" s="98">
        <v>289.64518464880524</v>
      </c>
      <c r="AU55" s="98" t="s">
        <v>657</v>
      </c>
      <c r="AV55" s="98">
        <v>343.9536567704562</v>
      </c>
      <c r="AW55" s="98">
        <v>561.1875452570602</v>
      </c>
      <c r="AX55" s="98">
        <v>398.26212889210717</v>
      </c>
      <c r="AY55" s="98">
        <v>778.421433743664</v>
      </c>
      <c r="AZ55" s="98">
        <v>253.43953656770455</v>
      </c>
      <c r="BA55" s="100" t="s">
        <v>657</v>
      </c>
      <c r="BB55" s="100" t="s">
        <v>657</v>
      </c>
      <c r="BC55" s="100" t="s">
        <v>657</v>
      </c>
      <c r="BD55" s="158">
        <v>0.7228233337000001</v>
      </c>
      <c r="BE55" s="158">
        <v>1.09460556</v>
      </c>
      <c r="BF55" s="162">
        <v>741</v>
      </c>
      <c r="BG55" s="162">
        <v>722</v>
      </c>
      <c r="BH55" s="162">
        <v>1416</v>
      </c>
      <c r="BI55" s="162">
        <v>696</v>
      </c>
      <c r="BJ55" s="162">
        <v>288</v>
      </c>
      <c r="BK55" s="97"/>
      <c r="BL55" s="97"/>
      <c r="BM55" s="97"/>
      <c r="BN55" s="97"/>
    </row>
    <row r="56" spans="1:66" ht="12.75">
      <c r="A56" s="79" t="s">
        <v>645</v>
      </c>
      <c r="B56" s="79" t="s">
        <v>369</v>
      </c>
      <c r="C56" s="79" t="s">
        <v>218</v>
      </c>
      <c r="D56" s="99">
        <v>1880</v>
      </c>
      <c r="E56" s="99">
        <v>488</v>
      </c>
      <c r="F56" s="99" t="s">
        <v>396</v>
      </c>
      <c r="G56" s="99">
        <v>13</v>
      </c>
      <c r="H56" s="99">
        <v>13</v>
      </c>
      <c r="I56" s="99">
        <v>38</v>
      </c>
      <c r="J56" s="99">
        <v>202</v>
      </c>
      <c r="K56" s="99" t="s">
        <v>657</v>
      </c>
      <c r="L56" s="99">
        <v>325</v>
      </c>
      <c r="M56" s="99">
        <v>170</v>
      </c>
      <c r="N56" s="99">
        <v>85</v>
      </c>
      <c r="O56" s="99">
        <v>43</v>
      </c>
      <c r="P56" s="159">
        <v>43</v>
      </c>
      <c r="Q56" s="99">
        <v>7</v>
      </c>
      <c r="R56" s="99">
        <v>24</v>
      </c>
      <c r="S56" s="99">
        <v>11</v>
      </c>
      <c r="T56" s="99">
        <v>8</v>
      </c>
      <c r="U56" s="99" t="s">
        <v>657</v>
      </c>
      <c r="V56" s="99">
        <v>7</v>
      </c>
      <c r="W56" s="99">
        <v>14</v>
      </c>
      <c r="X56" s="99" t="s">
        <v>657</v>
      </c>
      <c r="Y56" s="99">
        <v>22</v>
      </c>
      <c r="Z56" s="99">
        <v>23</v>
      </c>
      <c r="AA56" s="99" t="s">
        <v>657</v>
      </c>
      <c r="AB56" s="99" t="s">
        <v>657</v>
      </c>
      <c r="AC56" s="99" t="s">
        <v>657</v>
      </c>
      <c r="AD56" s="98" t="s">
        <v>375</v>
      </c>
      <c r="AE56" s="100">
        <v>0.25957446808510637</v>
      </c>
      <c r="AF56" s="100">
        <v>0.11</v>
      </c>
      <c r="AG56" s="98">
        <v>691.4893617021277</v>
      </c>
      <c r="AH56" s="98">
        <v>691.4893617021277</v>
      </c>
      <c r="AI56" s="100">
        <v>0.02</v>
      </c>
      <c r="AJ56" s="100">
        <v>0.748148</v>
      </c>
      <c r="AK56" s="100" t="s">
        <v>657</v>
      </c>
      <c r="AL56" s="100">
        <v>0.761124</v>
      </c>
      <c r="AM56" s="100">
        <v>0.636704</v>
      </c>
      <c r="AN56" s="100">
        <v>0.685484</v>
      </c>
      <c r="AO56" s="98">
        <v>2287.2340425531916</v>
      </c>
      <c r="AP56" s="158">
        <v>0.9752986908</v>
      </c>
      <c r="AQ56" s="100">
        <v>0.16279069767441862</v>
      </c>
      <c r="AR56" s="100">
        <v>0.2916666666666667</v>
      </c>
      <c r="AS56" s="98">
        <v>585.1063829787234</v>
      </c>
      <c r="AT56" s="98">
        <v>425.531914893617</v>
      </c>
      <c r="AU56" s="98" t="s">
        <v>657</v>
      </c>
      <c r="AV56" s="98">
        <v>372.3404255319149</v>
      </c>
      <c r="AW56" s="98">
        <v>744.6808510638298</v>
      </c>
      <c r="AX56" s="98" t="s">
        <v>657</v>
      </c>
      <c r="AY56" s="98">
        <v>1170.212765957447</v>
      </c>
      <c r="AZ56" s="98">
        <v>1223.404255319149</v>
      </c>
      <c r="BA56" s="100" t="s">
        <v>657</v>
      </c>
      <c r="BB56" s="100" t="s">
        <v>657</v>
      </c>
      <c r="BC56" s="100" t="s">
        <v>657</v>
      </c>
      <c r="BD56" s="158">
        <v>0.705828476</v>
      </c>
      <c r="BE56" s="158">
        <v>1.313720856</v>
      </c>
      <c r="BF56" s="162">
        <v>270</v>
      </c>
      <c r="BG56" s="162" t="s">
        <v>657</v>
      </c>
      <c r="BH56" s="162">
        <v>427</v>
      </c>
      <c r="BI56" s="162">
        <v>267</v>
      </c>
      <c r="BJ56" s="162">
        <v>124</v>
      </c>
      <c r="BK56" s="97"/>
      <c r="BL56" s="97"/>
      <c r="BM56" s="97"/>
      <c r="BN56" s="97"/>
    </row>
    <row r="57" spans="1:66" ht="12.75">
      <c r="A57" s="79" t="s">
        <v>590</v>
      </c>
      <c r="B57" s="79" t="s">
        <v>314</v>
      </c>
      <c r="C57" s="79" t="s">
        <v>218</v>
      </c>
      <c r="D57" s="99">
        <v>10561</v>
      </c>
      <c r="E57" s="99">
        <v>2259</v>
      </c>
      <c r="F57" s="99" t="s">
        <v>398</v>
      </c>
      <c r="G57" s="99">
        <v>35</v>
      </c>
      <c r="H57" s="99">
        <v>20</v>
      </c>
      <c r="I57" s="99">
        <v>180</v>
      </c>
      <c r="J57" s="99">
        <v>1183</v>
      </c>
      <c r="K57" s="99">
        <v>1180</v>
      </c>
      <c r="L57" s="99">
        <v>2067</v>
      </c>
      <c r="M57" s="99">
        <v>854</v>
      </c>
      <c r="N57" s="99">
        <v>410</v>
      </c>
      <c r="O57" s="99">
        <v>291</v>
      </c>
      <c r="P57" s="159">
        <v>291</v>
      </c>
      <c r="Q57" s="99">
        <v>19</v>
      </c>
      <c r="R57" s="99">
        <v>47</v>
      </c>
      <c r="S57" s="99">
        <v>51</v>
      </c>
      <c r="T57" s="99">
        <v>34</v>
      </c>
      <c r="U57" s="99">
        <v>8</v>
      </c>
      <c r="V57" s="99">
        <v>68</v>
      </c>
      <c r="W57" s="99">
        <v>74</v>
      </c>
      <c r="X57" s="99">
        <v>53</v>
      </c>
      <c r="Y57" s="99">
        <v>137</v>
      </c>
      <c r="Z57" s="99">
        <v>47</v>
      </c>
      <c r="AA57" s="99" t="s">
        <v>657</v>
      </c>
      <c r="AB57" s="99" t="s">
        <v>657</v>
      </c>
      <c r="AC57" s="99" t="s">
        <v>657</v>
      </c>
      <c r="AD57" s="98" t="s">
        <v>375</v>
      </c>
      <c r="AE57" s="100">
        <v>0.21390019884480635</v>
      </c>
      <c r="AF57" s="100">
        <v>0.07</v>
      </c>
      <c r="AG57" s="98">
        <v>331.40801060505635</v>
      </c>
      <c r="AH57" s="98">
        <v>189.37600606003218</v>
      </c>
      <c r="AI57" s="100">
        <v>0.017</v>
      </c>
      <c r="AJ57" s="100">
        <v>0.782925</v>
      </c>
      <c r="AK57" s="100">
        <v>0.798376</v>
      </c>
      <c r="AL57" s="100">
        <v>0.777652</v>
      </c>
      <c r="AM57" s="100">
        <v>0.591413</v>
      </c>
      <c r="AN57" s="100">
        <v>0.612855</v>
      </c>
      <c r="AO57" s="98">
        <v>2755.4208881734685</v>
      </c>
      <c r="AP57" s="158">
        <v>1.284634399</v>
      </c>
      <c r="AQ57" s="100">
        <v>0.06529209621993128</v>
      </c>
      <c r="AR57" s="100">
        <v>0.40425531914893614</v>
      </c>
      <c r="AS57" s="98">
        <v>482.90881545308207</v>
      </c>
      <c r="AT57" s="98">
        <v>321.93921030205473</v>
      </c>
      <c r="AU57" s="98">
        <v>75.75040242401288</v>
      </c>
      <c r="AV57" s="98">
        <v>643.8784206041095</v>
      </c>
      <c r="AW57" s="98">
        <v>700.6912224221192</v>
      </c>
      <c r="AX57" s="98">
        <v>501.8464160590853</v>
      </c>
      <c r="AY57" s="98">
        <v>1297.2256415112206</v>
      </c>
      <c r="AZ57" s="98">
        <v>445.03361424107567</v>
      </c>
      <c r="BA57" s="100" t="s">
        <v>657</v>
      </c>
      <c r="BB57" s="100" t="s">
        <v>657</v>
      </c>
      <c r="BC57" s="100" t="s">
        <v>657</v>
      </c>
      <c r="BD57" s="158">
        <v>1.141260834</v>
      </c>
      <c r="BE57" s="158">
        <v>1.441036377</v>
      </c>
      <c r="BF57" s="162">
        <v>1511</v>
      </c>
      <c r="BG57" s="162">
        <v>1478</v>
      </c>
      <c r="BH57" s="162">
        <v>2658</v>
      </c>
      <c r="BI57" s="162">
        <v>1444</v>
      </c>
      <c r="BJ57" s="162">
        <v>669</v>
      </c>
      <c r="BK57" s="97"/>
      <c r="BL57" s="97"/>
      <c r="BM57" s="97"/>
      <c r="BN57" s="97"/>
    </row>
    <row r="58" spans="1:66" ht="12.75">
      <c r="A58" s="79" t="s">
        <v>638</v>
      </c>
      <c r="B58" s="79" t="s">
        <v>362</v>
      </c>
      <c r="C58" s="79" t="s">
        <v>218</v>
      </c>
      <c r="D58" s="99">
        <v>6501</v>
      </c>
      <c r="E58" s="99">
        <v>1379</v>
      </c>
      <c r="F58" s="99" t="s">
        <v>397</v>
      </c>
      <c r="G58" s="99">
        <v>40</v>
      </c>
      <c r="H58" s="99">
        <v>19</v>
      </c>
      <c r="I58" s="99">
        <v>98</v>
      </c>
      <c r="J58" s="99">
        <v>618</v>
      </c>
      <c r="K58" s="99">
        <v>7</v>
      </c>
      <c r="L58" s="99">
        <v>1113</v>
      </c>
      <c r="M58" s="99">
        <v>442</v>
      </c>
      <c r="N58" s="99">
        <v>211</v>
      </c>
      <c r="O58" s="99">
        <v>153</v>
      </c>
      <c r="P58" s="159">
        <v>153</v>
      </c>
      <c r="Q58" s="99">
        <v>12</v>
      </c>
      <c r="R58" s="99">
        <v>35</v>
      </c>
      <c r="S58" s="99">
        <v>19</v>
      </c>
      <c r="T58" s="99">
        <v>27</v>
      </c>
      <c r="U58" s="99" t="s">
        <v>657</v>
      </c>
      <c r="V58" s="99">
        <v>23</v>
      </c>
      <c r="W58" s="99">
        <v>65</v>
      </c>
      <c r="X58" s="99">
        <v>13</v>
      </c>
      <c r="Y58" s="99">
        <v>86</v>
      </c>
      <c r="Z58" s="99">
        <v>44</v>
      </c>
      <c r="AA58" s="99" t="s">
        <v>657</v>
      </c>
      <c r="AB58" s="99" t="s">
        <v>657</v>
      </c>
      <c r="AC58" s="99" t="s">
        <v>657</v>
      </c>
      <c r="AD58" s="98" t="s">
        <v>375</v>
      </c>
      <c r="AE58" s="100">
        <v>0.21212121212121213</v>
      </c>
      <c r="AF58" s="100">
        <v>0.13</v>
      </c>
      <c r="AG58" s="98">
        <v>615.2899553914782</v>
      </c>
      <c r="AH58" s="98">
        <v>292.2627288109522</v>
      </c>
      <c r="AI58" s="100">
        <v>0.015</v>
      </c>
      <c r="AJ58" s="100">
        <v>0.741897</v>
      </c>
      <c r="AK58" s="100">
        <v>0.466667</v>
      </c>
      <c r="AL58" s="100">
        <v>0.757143</v>
      </c>
      <c r="AM58" s="100">
        <v>0.548387</v>
      </c>
      <c r="AN58" s="100">
        <v>0.592697</v>
      </c>
      <c r="AO58" s="98">
        <v>2353.4840793724043</v>
      </c>
      <c r="AP58" s="158">
        <v>1.14882164</v>
      </c>
      <c r="AQ58" s="100">
        <v>0.0784313725490196</v>
      </c>
      <c r="AR58" s="100">
        <v>0.34285714285714286</v>
      </c>
      <c r="AS58" s="98">
        <v>292.2627288109522</v>
      </c>
      <c r="AT58" s="98">
        <v>415.3207198892478</v>
      </c>
      <c r="AU58" s="98" t="s">
        <v>657</v>
      </c>
      <c r="AV58" s="98">
        <v>353.79172435009997</v>
      </c>
      <c r="AW58" s="98">
        <v>999.8461775111522</v>
      </c>
      <c r="AX58" s="98">
        <v>199.96923550223042</v>
      </c>
      <c r="AY58" s="98">
        <v>1322.8734040916781</v>
      </c>
      <c r="AZ58" s="98">
        <v>676.8189509306261</v>
      </c>
      <c r="BA58" s="100" t="s">
        <v>657</v>
      </c>
      <c r="BB58" s="100" t="s">
        <v>657</v>
      </c>
      <c r="BC58" s="100" t="s">
        <v>657</v>
      </c>
      <c r="BD58" s="158">
        <v>0.9739993286</v>
      </c>
      <c r="BE58" s="158">
        <v>1.345963745</v>
      </c>
      <c r="BF58" s="162">
        <v>833</v>
      </c>
      <c r="BG58" s="162">
        <v>15</v>
      </c>
      <c r="BH58" s="162">
        <v>1470</v>
      </c>
      <c r="BI58" s="162">
        <v>806</v>
      </c>
      <c r="BJ58" s="162">
        <v>356</v>
      </c>
      <c r="BK58" s="97"/>
      <c r="BL58" s="97"/>
      <c r="BM58" s="97"/>
      <c r="BN58" s="97"/>
    </row>
    <row r="59" spans="1:66" ht="12.75">
      <c r="A59" s="79" t="s">
        <v>643</v>
      </c>
      <c r="B59" s="79" t="s">
        <v>367</v>
      </c>
      <c r="C59" s="79" t="s">
        <v>218</v>
      </c>
      <c r="D59" s="99">
        <v>6269</v>
      </c>
      <c r="E59" s="99">
        <v>1057</v>
      </c>
      <c r="F59" s="99" t="s">
        <v>398</v>
      </c>
      <c r="G59" s="99">
        <v>32</v>
      </c>
      <c r="H59" s="99">
        <v>20</v>
      </c>
      <c r="I59" s="99">
        <v>139</v>
      </c>
      <c r="J59" s="99">
        <v>522</v>
      </c>
      <c r="K59" s="99">
        <v>12</v>
      </c>
      <c r="L59" s="99">
        <v>1202</v>
      </c>
      <c r="M59" s="99">
        <v>397</v>
      </c>
      <c r="N59" s="99">
        <v>200</v>
      </c>
      <c r="O59" s="99">
        <v>227</v>
      </c>
      <c r="P59" s="159">
        <v>227</v>
      </c>
      <c r="Q59" s="99">
        <v>18</v>
      </c>
      <c r="R59" s="99">
        <v>34</v>
      </c>
      <c r="S59" s="99">
        <v>30</v>
      </c>
      <c r="T59" s="99">
        <v>25</v>
      </c>
      <c r="U59" s="99" t="s">
        <v>657</v>
      </c>
      <c r="V59" s="99">
        <v>83</v>
      </c>
      <c r="W59" s="99">
        <v>37</v>
      </c>
      <c r="X59" s="99">
        <v>35</v>
      </c>
      <c r="Y59" s="99">
        <v>78</v>
      </c>
      <c r="Z59" s="99">
        <v>29</v>
      </c>
      <c r="AA59" s="99" t="s">
        <v>657</v>
      </c>
      <c r="AB59" s="99" t="s">
        <v>657</v>
      </c>
      <c r="AC59" s="99" t="s">
        <v>657</v>
      </c>
      <c r="AD59" s="98" t="s">
        <v>375</v>
      </c>
      <c r="AE59" s="100">
        <v>0.16860743340245654</v>
      </c>
      <c r="AF59" s="100">
        <v>0.06</v>
      </c>
      <c r="AG59" s="98">
        <v>510.4482373584304</v>
      </c>
      <c r="AH59" s="98">
        <v>319.030148349019</v>
      </c>
      <c r="AI59" s="100">
        <v>0.022000000000000002</v>
      </c>
      <c r="AJ59" s="100">
        <v>0.689564</v>
      </c>
      <c r="AK59" s="100">
        <v>0.6</v>
      </c>
      <c r="AL59" s="100">
        <v>0.771007</v>
      </c>
      <c r="AM59" s="100">
        <v>0.57453</v>
      </c>
      <c r="AN59" s="100">
        <v>0.589971</v>
      </c>
      <c r="AO59" s="98">
        <v>3620.9921837613656</v>
      </c>
      <c r="AP59" s="158">
        <v>1.898921967</v>
      </c>
      <c r="AQ59" s="100">
        <v>0.07929515418502203</v>
      </c>
      <c r="AR59" s="100">
        <v>0.5294117647058824</v>
      </c>
      <c r="AS59" s="98">
        <v>478.5452225235285</v>
      </c>
      <c r="AT59" s="98">
        <v>398.7876854362737</v>
      </c>
      <c r="AU59" s="98" t="s">
        <v>657</v>
      </c>
      <c r="AV59" s="98">
        <v>1323.9751156484288</v>
      </c>
      <c r="AW59" s="98">
        <v>590.2057744456852</v>
      </c>
      <c r="AX59" s="98">
        <v>558.3027596107833</v>
      </c>
      <c r="AY59" s="98">
        <v>1244.217578561174</v>
      </c>
      <c r="AZ59" s="98">
        <v>462.5937151060775</v>
      </c>
      <c r="BA59" s="100" t="s">
        <v>657</v>
      </c>
      <c r="BB59" s="100" t="s">
        <v>657</v>
      </c>
      <c r="BC59" s="100" t="s">
        <v>657</v>
      </c>
      <c r="BD59" s="158">
        <v>1.659912262</v>
      </c>
      <c r="BE59" s="158">
        <v>2.1626820369999997</v>
      </c>
      <c r="BF59" s="162">
        <v>757</v>
      </c>
      <c r="BG59" s="162">
        <v>20</v>
      </c>
      <c r="BH59" s="162">
        <v>1559</v>
      </c>
      <c r="BI59" s="162">
        <v>691</v>
      </c>
      <c r="BJ59" s="162">
        <v>339</v>
      </c>
      <c r="BK59" s="97"/>
      <c r="BL59" s="97"/>
      <c r="BM59" s="97"/>
      <c r="BN59" s="97"/>
    </row>
    <row r="60" spans="1:66" ht="12.75">
      <c r="A60" s="79" t="s">
        <v>574</v>
      </c>
      <c r="B60" s="79" t="s">
        <v>297</v>
      </c>
      <c r="C60" s="79" t="s">
        <v>218</v>
      </c>
      <c r="D60" s="99">
        <v>22651</v>
      </c>
      <c r="E60" s="99">
        <v>4172</v>
      </c>
      <c r="F60" s="99" t="s">
        <v>398</v>
      </c>
      <c r="G60" s="99">
        <v>90</v>
      </c>
      <c r="H60" s="99">
        <v>63</v>
      </c>
      <c r="I60" s="99">
        <v>442</v>
      </c>
      <c r="J60" s="99">
        <v>2004</v>
      </c>
      <c r="K60" s="99">
        <v>1967</v>
      </c>
      <c r="L60" s="99">
        <v>4190</v>
      </c>
      <c r="M60" s="99">
        <v>1369</v>
      </c>
      <c r="N60" s="99">
        <v>608</v>
      </c>
      <c r="O60" s="99">
        <v>408</v>
      </c>
      <c r="P60" s="159">
        <v>408</v>
      </c>
      <c r="Q60" s="99">
        <v>55</v>
      </c>
      <c r="R60" s="99">
        <v>128</v>
      </c>
      <c r="S60" s="99">
        <v>97</v>
      </c>
      <c r="T60" s="99">
        <v>48</v>
      </c>
      <c r="U60" s="99">
        <v>13</v>
      </c>
      <c r="V60" s="99">
        <v>85</v>
      </c>
      <c r="W60" s="99">
        <v>117</v>
      </c>
      <c r="X60" s="99">
        <v>83</v>
      </c>
      <c r="Y60" s="99">
        <v>224</v>
      </c>
      <c r="Z60" s="99">
        <v>130</v>
      </c>
      <c r="AA60" s="99" t="s">
        <v>657</v>
      </c>
      <c r="AB60" s="99" t="s">
        <v>657</v>
      </c>
      <c r="AC60" s="99" t="s">
        <v>657</v>
      </c>
      <c r="AD60" s="98" t="s">
        <v>375</v>
      </c>
      <c r="AE60" s="100">
        <v>0.1841861286477418</v>
      </c>
      <c r="AF60" s="100">
        <v>0.07</v>
      </c>
      <c r="AG60" s="98">
        <v>397.3334510617633</v>
      </c>
      <c r="AH60" s="98">
        <v>278.1334157432343</v>
      </c>
      <c r="AI60" s="100">
        <v>0.02</v>
      </c>
      <c r="AJ60" s="100">
        <v>0.783118</v>
      </c>
      <c r="AK60" s="100">
        <v>0.793785</v>
      </c>
      <c r="AL60" s="100">
        <v>0.760574</v>
      </c>
      <c r="AM60" s="100">
        <v>0.599912</v>
      </c>
      <c r="AN60" s="100">
        <v>0.644068</v>
      </c>
      <c r="AO60" s="98">
        <v>1801.2449781466603</v>
      </c>
      <c r="AP60" s="158">
        <v>0.9365660858</v>
      </c>
      <c r="AQ60" s="100">
        <v>0.13480392156862744</v>
      </c>
      <c r="AR60" s="100">
        <v>0.4296875</v>
      </c>
      <c r="AS60" s="98">
        <v>428.23716392212265</v>
      </c>
      <c r="AT60" s="98">
        <v>211.9111738996071</v>
      </c>
      <c r="AU60" s="98">
        <v>57.39260959781025</v>
      </c>
      <c r="AV60" s="98">
        <v>375.2593704472209</v>
      </c>
      <c r="AW60" s="98">
        <v>516.5334863802923</v>
      </c>
      <c r="AX60" s="98">
        <v>366.4297382014039</v>
      </c>
      <c r="AY60" s="98">
        <v>988.9188115314997</v>
      </c>
      <c r="AZ60" s="98">
        <v>573.9260959781025</v>
      </c>
      <c r="BA60" s="100" t="s">
        <v>657</v>
      </c>
      <c r="BB60" s="100" t="s">
        <v>657</v>
      </c>
      <c r="BC60" s="100" t="s">
        <v>657</v>
      </c>
      <c r="BD60" s="158">
        <v>0.8478799438</v>
      </c>
      <c r="BE60" s="158">
        <v>1.032006226</v>
      </c>
      <c r="BF60" s="162">
        <v>2559</v>
      </c>
      <c r="BG60" s="162">
        <v>2478</v>
      </c>
      <c r="BH60" s="162">
        <v>5509</v>
      </c>
      <c r="BI60" s="162">
        <v>2282</v>
      </c>
      <c r="BJ60" s="162">
        <v>944</v>
      </c>
      <c r="BK60" s="97"/>
      <c r="BL60" s="97"/>
      <c r="BM60" s="97"/>
      <c r="BN60" s="97"/>
    </row>
    <row r="61" spans="1:66" ht="12.75">
      <c r="A61" s="79" t="s">
        <v>593</v>
      </c>
      <c r="B61" s="79" t="s">
        <v>317</v>
      </c>
      <c r="C61" s="79" t="s">
        <v>218</v>
      </c>
      <c r="D61" s="99">
        <v>7048</v>
      </c>
      <c r="E61" s="99">
        <v>1470</v>
      </c>
      <c r="F61" s="99" t="s">
        <v>397</v>
      </c>
      <c r="G61" s="99">
        <v>33</v>
      </c>
      <c r="H61" s="99">
        <v>14</v>
      </c>
      <c r="I61" s="99">
        <v>181</v>
      </c>
      <c r="J61" s="99">
        <v>747</v>
      </c>
      <c r="K61" s="99">
        <v>6</v>
      </c>
      <c r="L61" s="99">
        <v>1343</v>
      </c>
      <c r="M61" s="99">
        <v>356</v>
      </c>
      <c r="N61" s="99">
        <v>277</v>
      </c>
      <c r="O61" s="99">
        <v>157</v>
      </c>
      <c r="P61" s="159">
        <v>157</v>
      </c>
      <c r="Q61" s="99">
        <v>16</v>
      </c>
      <c r="R61" s="99">
        <v>32</v>
      </c>
      <c r="S61" s="99">
        <v>25</v>
      </c>
      <c r="T61" s="99">
        <v>41</v>
      </c>
      <c r="U61" s="99" t="s">
        <v>657</v>
      </c>
      <c r="V61" s="99">
        <v>23</v>
      </c>
      <c r="W61" s="99">
        <v>91</v>
      </c>
      <c r="X61" s="99">
        <v>20</v>
      </c>
      <c r="Y61" s="99">
        <v>144</v>
      </c>
      <c r="Z61" s="99">
        <v>33</v>
      </c>
      <c r="AA61" s="99" t="s">
        <v>657</v>
      </c>
      <c r="AB61" s="99" t="s">
        <v>657</v>
      </c>
      <c r="AC61" s="99" t="s">
        <v>657</v>
      </c>
      <c r="AD61" s="98" t="s">
        <v>375</v>
      </c>
      <c r="AE61" s="100">
        <v>0.20856980703745742</v>
      </c>
      <c r="AF61" s="100">
        <v>0.14</v>
      </c>
      <c r="AG61" s="98">
        <v>468.21793416572075</v>
      </c>
      <c r="AH61" s="98">
        <v>198.63791146424518</v>
      </c>
      <c r="AI61" s="100">
        <v>0.026000000000000002</v>
      </c>
      <c r="AJ61" s="100">
        <v>0.757606</v>
      </c>
      <c r="AK61" s="100">
        <v>0.26087</v>
      </c>
      <c r="AL61" s="100">
        <v>0.78584</v>
      </c>
      <c r="AM61" s="100">
        <v>0.36701</v>
      </c>
      <c r="AN61" s="100">
        <v>0.557344</v>
      </c>
      <c r="AO61" s="98">
        <v>2227.582292849035</v>
      </c>
      <c r="AP61" s="158">
        <v>1.061649399</v>
      </c>
      <c r="AQ61" s="100">
        <v>0.10191082802547771</v>
      </c>
      <c r="AR61" s="100">
        <v>0.5</v>
      </c>
      <c r="AS61" s="98">
        <v>354.7105561861521</v>
      </c>
      <c r="AT61" s="98">
        <v>581.7253121452894</v>
      </c>
      <c r="AU61" s="98" t="s">
        <v>657</v>
      </c>
      <c r="AV61" s="98">
        <v>326.3337116912599</v>
      </c>
      <c r="AW61" s="98">
        <v>1291.1464245175937</v>
      </c>
      <c r="AX61" s="98">
        <v>283.7684449489217</v>
      </c>
      <c r="AY61" s="98">
        <v>2043.1328036322361</v>
      </c>
      <c r="AZ61" s="98">
        <v>468.21793416572075</v>
      </c>
      <c r="BA61" s="100" t="s">
        <v>657</v>
      </c>
      <c r="BB61" s="100" t="s">
        <v>657</v>
      </c>
      <c r="BC61" s="100" t="s">
        <v>657</v>
      </c>
      <c r="BD61" s="158">
        <v>0.9020783996999999</v>
      </c>
      <c r="BE61" s="158">
        <v>1.2413144680000001</v>
      </c>
      <c r="BF61" s="162">
        <v>986</v>
      </c>
      <c r="BG61" s="162">
        <v>23</v>
      </c>
      <c r="BH61" s="162">
        <v>1709</v>
      </c>
      <c r="BI61" s="162">
        <v>970</v>
      </c>
      <c r="BJ61" s="162">
        <v>497</v>
      </c>
      <c r="BK61" s="97"/>
      <c r="BL61" s="97"/>
      <c r="BM61" s="97"/>
      <c r="BN61" s="97"/>
    </row>
    <row r="62" spans="1:66" ht="12.75">
      <c r="A62" s="79" t="s">
        <v>644</v>
      </c>
      <c r="B62" s="79" t="s">
        <v>368</v>
      </c>
      <c r="C62" s="79" t="s">
        <v>218</v>
      </c>
      <c r="D62" s="99">
        <v>4590</v>
      </c>
      <c r="E62" s="99">
        <v>709</v>
      </c>
      <c r="F62" s="99" t="s">
        <v>398</v>
      </c>
      <c r="G62" s="99">
        <v>11</v>
      </c>
      <c r="H62" s="99">
        <v>11</v>
      </c>
      <c r="I62" s="99">
        <v>60</v>
      </c>
      <c r="J62" s="99">
        <v>381</v>
      </c>
      <c r="K62" s="99">
        <v>367</v>
      </c>
      <c r="L62" s="99">
        <v>860</v>
      </c>
      <c r="M62" s="99">
        <v>256</v>
      </c>
      <c r="N62" s="99">
        <v>113</v>
      </c>
      <c r="O62" s="99">
        <v>66</v>
      </c>
      <c r="P62" s="159">
        <v>66</v>
      </c>
      <c r="Q62" s="99">
        <v>6</v>
      </c>
      <c r="R62" s="99">
        <v>12</v>
      </c>
      <c r="S62" s="99">
        <v>20</v>
      </c>
      <c r="T62" s="99" t="s">
        <v>657</v>
      </c>
      <c r="U62" s="99">
        <v>7</v>
      </c>
      <c r="V62" s="99">
        <v>14</v>
      </c>
      <c r="W62" s="99">
        <v>24</v>
      </c>
      <c r="X62" s="99">
        <v>27</v>
      </c>
      <c r="Y62" s="99">
        <v>34</v>
      </c>
      <c r="Z62" s="99">
        <v>18</v>
      </c>
      <c r="AA62" s="99" t="s">
        <v>657</v>
      </c>
      <c r="AB62" s="99" t="s">
        <v>657</v>
      </c>
      <c r="AC62" s="99" t="s">
        <v>657</v>
      </c>
      <c r="AD62" s="98" t="s">
        <v>375</v>
      </c>
      <c r="AE62" s="100">
        <v>0.15446623093681916</v>
      </c>
      <c r="AF62" s="100">
        <v>0.08</v>
      </c>
      <c r="AG62" s="98">
        <v>239.65141612200435</v>
      </c>
      <c r="AH62" s="98">
        <v>239.65141612200435</v>
      </c>
      <c r="AI62" s="100">
        <v>0.013000000000000001</v>
      </c>
      <c r="AJ62" s="100">
        <v>0.772819</v>
      </c>
      <c r="AK62" s="100">
        <v>0.775899</v>
      </c>
      <c r="AL62" s="100">
        <v>0.79409</v>
      </c>
      <c r="AM62" s="100">
        <v>0.605201</v>
      </c>
      <c r="AN62" s="100">
        <v>0.631285</v>
      </c>
      <c r="AO62" s="98">
        <v>1437.9084967320262</v>
      </c>
      <c r="AP62" s="158">
        <v>0.8224149323000001</v>
      </c>
      <c r="AQ62" s="100">
        <v>0.09090909090909091</v>
      </c>
      <c r="AR62" s="100">
        <v>0.5</v>
      </c>
      <c r="AS62" s="98">
        <v>435.7298474945534</v>
      </c>
      <c r="AT62" s="98" t="s">
        <v>657</v>
      </c>
      <c r="AU62" s="98">
        <v>152.5054466230937</v>
      </c>
      <c r="AV62" s="98">
        <v>305.0108932461874</v>
      </c>
      <c r="AW62" s="98">
        <v>522.875816993464</v>
      </c>
      <c r="AX62" s="98">
        <v>588.2352941176471</v>
      </c>
      <c r="AY62" s="98">
        <v>740.7407407407408</v>
      </c>
      <c r="AZ62" s="98">
        <v>392.15686274509807</v>
      </c>
      <c r="BA62" s="100" t="s">
        <v>657</v>
      </c>
      <c r="BB62" s="100" t="s">
        <v>657</v>
      </c>
      <c r="BC62" s="100" t="s">
        <v>657</v>
      </c>
      <c r="BD62" s="158">
        <v>0.6360556412</v>
      </c>
      <c r="BE62" s="158">
        <v>1.046313477</v>
      </c>
      <c r="BF62" s="162">
        <v>493</v>
      </c>
      <c r="BG62" s="162">
        <v>473</v>
      </c>
      <c r="BH62" s="162">
        <v>1083</v>
      </c>
      <c r="BI62" s="162">
        <v>423</v>
      </c>
      <c r="BJ62" s="162">
        <v>179</v>
      </c>
      <c r="BK62" s="97"/>
      <c r="BL62" s="97"/>
      <c r="BM62" s="97"/>
      <c r="BN62" s="97"/>
    </row>
    <row r="63" spans="1:66" ht="12.75">
      <c r="A63" s="79" t="s">
        <v>603</v>
      </c>
      <c r="B63" s="79" t="s">
        <v>327</v>
      </c>
      <c r="C63" s="79" t="s">
        <v>218</v>
      </c>
      <c r="D63" s="99">
        <v>9924</v>
      </c>
      <c r="E63" s="99">
        <v>2276</v>
      </c>
      <c r="F63" s="99" t="s">
        <v>396</v>
      </c>
      <c r="G63" s="99">
        <v>56</v>
      </c>
      <c r="H63" s="99">
        <v>28</v>
      </c>
      <c r="I63" s="99">
        <v>265</v>
      </c>
      <c r="J63" s="99">
        <v>794</v>
      </c>
      <c r="K63" s="99">
        <v>797</v>
      </c>
      <c r="L63" s="99">
        <v>1824</v>
      </c>
      <c r="M63" s="99">
        <v>772</v>
      </c>
      <c r="N63" s="99">
        <v>354</v>
      </c>
      <c r="O63" s="99">
        <v>185</v>
      </c>
      <c r="P63" s="159">
        <v>185</v>
      </c>
      <c r="Q63" s="99">
        <v>24</v>
      </c>
      <c r="R63" s="99">
        <v>49</v>
      </c>
      <c r="S63" s="99">
        <v>34</v>
      </c>
      <c r="T63" s="99">
        <v>24</v>
      </c>
      <c r="U63" s="99">
        <v>10</v>
      </c>
      <c r="V63" s="99">
        <v>32</v>
      </c>
      <c r="W63" s="99">
        <v>60</v>
      </c>
      <c r="X63" s="99">
        <v>42</v>
      </c>
      <c r="Y63" s="99">
        <v>139</v>
      </c>
      <c r="Z63" s="99">
        <v>70</v>
      </c>
      <c r="AA63" s="99" t="s">
        <v>657</v>
      </c>
      <c r="AB63" s="99" t="s">
        <v>657</v>
      </c>
      <c r="AC63" s="99" t="s">
        <v>657</v>
      </c>
      <c r="AD63" s="98" t="s">
        <v>375</v>
      </c>
      <c r="AE63" s="100">
        <v>0.2293430068520758</v>
      </c>
      <c r="AF63" s="100">
        <v>0.1</v>
      </c>
      <c r="AG63" s="98">
        <v>564.2885933091495</v>
      </c>
      <c r="AH63" s="98">
        <v>282.14429665457476</v>
      </c>
      <c r="AI63" s="100">
        <v>0.027000000000000003</v>
      </c>
      <c r="AJ63" s="100">
        <v>0.593867</v>
      </c>
      <c r="AK63" s="100">
        <v>0.862554</v>
      </c>
      <c r="AL63" s="100">
        <v>0.784854</v>
      </c>
      <c r="AM63" s="100">
        <v>0.63749</v>
      </c>
      <c r="AN63" s="100">
        <v>0.661682</v>
      </c>
      <c r="AO63" s="98">
        <v>1864.167674324869</v>
      </c>
      <c r="AP63" s="158">
        <v>0.8616204834</v>
      </c>
      <c r="AQ63" s="100">
        <v>0.12972972972972974</v>
      </c>
      <c r="AR63" s="100">
        <v>0.4897959183673469</v>
      </c>
      <c r="AS63" s="98">
        <v>342.6037887948408</v>
      </c>
      <c r="AT63" s="98">
        <v>241.8379685610641</v>
      </c>
      <c r="AU63" s="98">
        <v>100.76582023377671</v>
      </c>
      <c r="AV63" s="98">
        <v>322.45062474808543</v>
      </c>
      <c r="AW63" s="98">
        <v>604.5949214026602</v>
      </c>
      <c r="AX63" s="98">
        <v>423.21644498186214</v>
      </c>
      <c r="AY63" s="98">
        <v>1400.6449012494961</v>
      </c>
      <c r="AZ63" s="98">
        <v>705.360741636437</v>
      </c>
      <c r="BA63" s="101" t="s">
        <v>657</v>
      </c>
      <c r="BB63" s="101" t="s">
        <v>657</v>
      </c>
      <c r="BC63" s="101" t="s">
        <v>657</v>
      </c>
      <c r="BD63" s="158">
        <v>0.7419298553</v>
      </c>
      <c r="BE63" s="158">
        <v>0.9951229094999999</v>
      </c>
      <c r="BF63" s="162">
        <v>1337</v>
      </c>
      <c r="BG63" s="162">
        <v>924</v>
      </c>
      <c r="BH63" s="162">
        <v>2324</v>
      </c>
      <c r="BI63" s="162">
        <v>1211</v>
      </c>
      <c r="BJ63" s="162">
        <v>535</v>
      </c>
      <c r="BK63" s="97"/>
      <c r="BL63" s="97"/>
      <c r="BM63" s="97"/>
      <c r="BN63" s="97"/>
    </row>
    <row r="64" spans="1:66" ht="12.75">
      <c r="A64" s="79" t="s">
        <v>572</v>
      </c>
      <c r="B64" s="79" t="s">
        <v>295</v>
      </c>
      <c r="C64" s="79" t="s">
        <v>218</v>
      </c>
      <c r="D64" s="99">
        <v>5398</v>
      </c>
      <c r="E64" s="99">
        <v>1885</v>
      </c>
      <c r="F64" s="99" t="s">
        <v>398</v>
      </c>
      <c r="G64" s="99">
        <v>56</v>
      </c>
      <c r="H64" s="99">
        <v>18</v>
      </c>
      <c r="I64" s="99">
        <v>158</v>
      </c>
      <c r="J64" s="99">
        <v>661</v>
      </c>
      <c r="K64" s="99">
        <v>16</v>
      </c>
      <c r="L64" s="99">
        <v>898</v>
      </c>
      <c r="M64" s="99">
        <v>358</v>
      </c>
      <c r="N64" s="99">
        <v>293</v>
      </c>
      <c r="O64" s="99">
        <v>267</v>
      </c>
      <c r="P64" s="159">
        <v>267</v>
      </c>
      <c r="Q64" s="99">
        <v>19</v>
      </c>
      <c r="R64" s="99">
        <v>45</v>
      </c>
      <c r="S64" s="99">
        <v>27</v>
      </c>
      <c r="T64" s="99">
        <v>52</v>
      </c>
      <c r="U64" s="99" t="s">
        <v>657</v>
      </c>
      <c r="V64" s="99">
        <v>54</v>
      </c>
      <c r="W64" s="99">
        <v>88</v>
      </c>
      <c r="X64" s="99">
        <v>19</v>
      </c>
      <c r="Y64" s="99">
        <v>115</v>
      </c>
      <c r="Z64" s="99">
        <v>57</v>
      </c>
      <c r="AA64" s="99" t="s">
        <v>657</v>
      </c>
      <c r="AB64" s="99" t="s">
        <v>657</v>
      </c>
      <c r="AC64" s="99" t="s">
        <v>657</v>
      </c>
      <c r="AD64" s="98" t="s">
        <v>375</v>
      </c>
      <c r="AE64" s="100">
        <v>0.34920340866987776</v>
      </c>
      <c r="AF64" s="100">
        <v>0.07</v>
      </c>
      <c r="AG64" s="98">
        <v>1037.4212671359762</v>
      </c>
      <c r="AH64" s="98">
        <v>333.45683586513525</v>
      </c>
      <c r="AI64" s="100">
        <v>0.028999999999999998</v>
      </c>
      <c r="AJ64" s="100">
        <v>0.779481</v>
      </c>
      <c r="AK64" s="100">
        <v>0.615385</v>
      </c>
      <c r="AL64" s="100">
        <v>0.823853</v>
      </c>
      <c r="AM64" s="100">
        <v>0.4</v>
      </c>
      <c r="AN64" s="100">
        <v>0.631466</v>
      </c>
      <c r="AO64" s="98">
        <v>4946.276398666173</v>
      </c>
      <c r="AP64" s="158">
        <v>1.8105357359999998</v>
      </c>
      <c r="AQ64" s="100">
        <v>0.07116104868913857</v>
      </c>
      <c r="AR64" s="100">
        <v>0.4222222222222222</v>
      </c>
      <c r="AS64" s="98">
        <v>500.18525379770284</v>
      </c>
      <c r="AT64" s="98">
        <v>963.3197480548351</v>
      </c>
      <c r="AU64" s="98" t="s">
        <v>657</v>
      </c>
      <c r="AV64" s="98">
        <v>1000.3705075954057</v>
      </c>
      <c r="AW64" s="98">
        <v>1630.2334197851055</v>
      </c>
      <c r="AX64" s="98">
        <v>351.9822156354205</v>
      </c>
      <c r="AY64" s="98">
        <v>2130.4186735828084</v>
      </c>
      <c r="AZ64" s="98">
        <v>1055.9466469062615</v>
      </c>
      <c r="BA64" s="100" t="s">
        <v>657</v>
      </c>
      <c r="BB64" s="100" t="s">
        <v>657</v>
      </c>
      <c r="BC64" s="100" t="s">
        <v>657</v>
      </c>
      <c r="BD64" s="158">
        <v>1.599858246</v>
      </c>
      <c r="BE64" s="158">
        <v>2.041242828</v>
      </c>
      <c r="BF64" s="162">
        <v>848</v>
      </c>
      <c r="BG64" s="162">
        <v>26</v>
      </c>
      <c r="BH64" s="162">
        <v>1090</v>
      </c>
      <c r="BI64" s="162">
        <v>895</v>
      </c>
      <c r="BJ64" s="162">
        <v>464</v>
      </c>
      <c r="BK64" s="97"/>
      <c r="BL64" s="97"/>
      <c r="BM64" s="97"/>
      <c r="BN64" s="97"/>
    </row>
    <row r="65" spans="1:66" ht="12.75">
      <c r="A65" s="79" t="s">
        <v>606</v>
      </c>
      <c r="B65" s="79" t="s">
        <v>330</v>
      </c>
      <c r="C65" s="79" t="s">
        <v>218</v>
      </c>
      <c r="D65" s="99">
        <v>14914</v>
      </c>
      <c r="E65" s="99">
        <v>2345</v>
      </c>
      <c r="F65" s="99" t="s">
        <v>398</v>
      </c>
      <c r="G65" s="99">
        <v>66</v>
      </c>
      <c r="H65" s="99">
        <v>33</v>
      </c>
      <c r="I65" s="99">
        <v>251</v>
      </c>
      <c r="J65" s="99">
        <v>1314</v>
      </c>
      <c r="K65" s="99">
        <v>10</v>
      </c>
      <c r="L65" s="99">
        <v>2961</v>
      </c>
      <c r="M65" s="99">
        <v>961</v>
      </c>
      <c r="N65" s="99">
        <v>451</v>
      </c>
      <c r="O65" s="99">
        <v>255</v>
      </c>
      <c r="P65" s="159">
        <v>255</v>
      </c>
      <c r="Q65" s="99">
        <v>31</v>
      </c>
      <c r="R65" s="99">
        <v>72</v>
      </c>
      <c r="S65" s="99">
        <v>67</v>
      </c>
      <c r="T65" s="99">
        <v>43</v>
      </c>
      <c r="U65" s="99" t="s">
        <v>657</v>
      </c>
      <c r="V65" s="99">
        <v>43</v>
      </c>
      <c r="W65" s="99">
        <v>81</v>
      </c>
      <c r="X65" s="99">
        <v>64</v>
      </c>
      <c r="Y65" s="99">
        <v>143</v>
      </c>
      <c r="Z65" s="99">
        <v>61</v>
      </c>
      <c r="AA65" s="99" t="s">
        <v>657</v>
      </c>
      <c r="AB65" s="99" t="s">
        <v>657</v>
      </c>
      <c r="AC65" s="99" t="s">
        <v>657</v>
      </c>
      <c r="AD65" s="98" t="s">
        <v>375</v>
      </c>
      <c r="AE65" s="100">
        <v>0.15723481292745073</v>
      </c>
      <c r="AF65" s="100">
        <v>0.06</v>
      </c>
      <c r="AG65" s="98">
        <v>442.5372133565777</v>
      </c>
      <c r="AH65" s="98">
        <v>221.26860667828885</v>
      </c>
      <c r="AI65" s="100">
        <v>0.017</v>
      </c>
      <c r="AJ65" s="100">
        <v>0.687238</v>
      </c>
      <c r="AK65" s="100">
        <v>0.357143</v>
      </c>
      <c r="AL65" s="100">
        <v>0.767695</v>
      </c>
      <c r="AM65" s="100">
        <v>0.576139</v>
      </c>
      <c r="AN65" s="100">
        <v>0.631653</v>
      </c>
      <c r="AO65" s="98">
        <v>1709.8028697867776</v>
      </c>
      <c r="AP65" s="158">
        <v>0.9088775635</v>
      </c>
      <c r="AQ65" s="100">
        <v>0.12156862745098039</v>
      </c>
      <c r="AR65" s="100">
        <v>0.4305555555555556</v>
      </c>
      <c r="AS65" s="98">
        <v>449.2423226498592</v>
      </c>
      <c r="AT65" s="98">
        <v>288.31969961110366</v>
      </c>
      <c r="AU65" s="98" t="s">
        <v>657</v>
      </c>
      <c r="AV65" s="98">
        <v>288.31969961110366</v>
      </c>
      <c r="AW65" s="98">
        <v>543.1138527557999</v>
      </c>
      <c r="AX65" s="98">
        <v>429.12699477001473</v>
      </c>
      <c r="AY65" s="98">
        <v>958.8306289392517</v>
      </c>
      <c r="AZ65" s="98">
        <v>409.0116668901703</v>
      </c>
      <c r="BA65" s="100" t="s">
        <v>657</v>
      </c>
      <c r="BB65" s="100" t="s">
        <v>657</v>
      </c>
      <c r="BC65" s="100" t="s">
        <v>657</v>
      </c>
      <c r="BD65" s="158">
        <v>0.8007372284000001</v>
      </c>
      <c r="BE65" s="158">
        <v>1.02755043</v>
      </c>
      <c r="BF65" s="162">
        <v>1912</v>
      </c>
      <c r="BG65" s="162">
        <v>28</v>
      </c>
      <c r="BH65" s="162">
        <v>3857</v>
      </c>
      <c r="BI65" s="162">
        <v>1668</v>
      </c>
      <c r="BJ65" s="162">
        <v>714</v>
      </c>
      <c r="BK65" s="97"/>
      <c r="BL65" s="97"/>
      <c r="BM65" s="97"/>
      <c r="BN65" s="97"/>
    </row>
    <row r="66" spans="1:66" ht="12.75">
      <c r="A66" s="79" t="s">
        <v>584</v>
      </c>
      <c r="B66" s="79" t="s">
        <v>308</v>
      </c>
      <c r="C66" s="79" t="s">
        <v>218</v>
      </c>
      <c r="D66" s="99">
        <v>12302</v>
      </c>
      <c r="E66" s="99">
        <v>3154</v>
      </c>
      <c r="F66" s="99" t="s">
        <v>398</v>
      </c>
      <c r="G66" s="99">
        <v>61</v>
      </c>
      <c r="H66" s="99">
        <v>39</v>
      </c>
      <c r="I66" s="99">
        <v>303</v>
      </c>
      <c r="J66" s="99">
        <v>1608</v>
      </c>
      <c r="K66" s="99">
        <v>1581</v>
      </c>
      <c r="L66" s="99">
        <v>2363</v>
      </c>
      <c r="M66" s="99">
        <v>742</v>
      </c>
      <c r="N66" s="99">
        <v>598</v>
      </c>
      <c r="O66" s="99">
        <v>262</v>
      </c>
      <c r="P66" s="159">
        <v>262</v>
      </c>
      <c r="Q66" s="99">
        <v>38</v>
      </c>
      <c r="R66" s="99">
        <v>85</v>
      </c>
      <c r="S66" s="99">
        <v>47</v>
      </c>
      <c r="T66" s="99">
        <v>35</v>
      </c>
      <c r="U66" s="99">
        <v>8</v>
      </c>
      <c r="V66" s="99">
        <v>44</v>
      </c>
      <c r="W66" s="99">
        <v>41</v>
      </c>
      <c r="X66" s="99">
        <v>26</v>
      </c>
      <c r="Y66" s="99">
        <v>92</v>
      </c>
      <c r="Z66" s="99">
        <v>35</v>
      </c>
      <c r="AA66" s="99" t="s">
        <v>657</v>
      </c>
      <c r="AB66" s="99" t="s">
        <v>657</v>
      </c>
      <c r="AC66" s="99" t="s">
        <v>657</v>
      </c>
      <c r="AD66" s="98" t="s">
        <v>375</v>
      </c>
      <c r="AE66" s="100">
        <v>0.25638107624776457</v>
      </c>
      <c r="AF66" s="100">
        <v>0.06</v>
      </c>
      <c r="AG66" s="98">
        <v>495.85433262884084</v>
      </c>
      <c r="AH66" s="98">
        <v>317.02162250040647</v>
      </c>
      <c r="AI66" s="100">
        <v>0.025</v>
      </c>
      <c r="AJ66" s="100">
        <v>0.769746</v>
      </c>
      <c r="AK66" s="100">
        <v>0.777668</v>
      </c>
      <c r="AL66" s="100">
        <v>0.792687</v>
      </c>
      <c r="AM66" s="100">
        <v>0.346082</v>
      </c>
      <c r="AN66" s="100">
        <v>0.633475</v>
      </c>
      <c r="AO66" s="98">
        <v>2129.735002438628</v>
      </c>
      <c r="AP66" s="158">
        <v>0.8790018463</v>
      </c>
      <c r="AQ66" s="100">
        <v>0.1450381679389313</v>
      </c>
      <c r="AR66" s="100">
        <v>0.4470588235294118</v>
      </c>
      <c r="AS66" s="98">
        <v>382.0516989107462</v>
      </c>
      <c r="AT66" s="98">
        <v>284.50658429523656</v>
      </c>
      <c r="AU66" s="98">
        <v>65.03007641033979</v>
      </c>
      <c r="AV66" s="98">
        <v>357.6654202568688</v>
      </c>
      <c r="AW66" s="98">
        <v>333.2791416029914</v>
      </c>
      <c r="AX66" s="98">
        <v>211.3477483336043</v>
      </c>
      <c r="AY66" s="98">
        <v>747.8458787189074</v>
      </c>
      <c r="AZ66" s="98">
        <v>284.50658429523656</v>
      </c>
      <c r="BA66" s="100" t="s">
        <v>657</v>
      </c>
      <c r="BB66" s="100" t="s">
        <v>657</v>
      </c>
      <c r="BC66" s="100" t="s">
        <v>657</v>
      </c>
      <c r="BD66" s="158">
        <v>0.7757785797</v>
      </c>
      <c r="BE66" s="158">
        <v>0.9921366882</v>
      </c>
      <c r="BF66" s="162">
        <v>2089</v>
      </c>
      <c r="BG66" s="162">
        <v>2033</v>
      </c>
      <c r="BH66" s="162">
        <v>2981</v>
      </c>
      <c r="BI66" s="162">
        <v>2144</v>
      </c>
      <c r="BJ66" s="162">
        <v>944</v>
      </c>
      <c r="BK66" s="97"/>
      <c r="BL66" s="97"/>
      <c r="BM66" s="97"/>
      <c r="BN66" s="97"/>
    </row>
    <row r="67" spans="1:66" ht="12.75">
      <c r="A67" s="79" t="s">
        <v>586</v>
      </c>
      <c r="B67" s="79" t="s">
        <v>310</v>
      </c>
      <c r="C67" s="79" t="s">
        <v>218</v>
      </c>
      <c r="D67" s="99">
        <v>11993</v>
      </c>
      <c r="E67" s="99">
        <v>3033</v>
      </c>
      <c r="F67" s="99" t="s">
        <v>398</v>
      </c>
      <c r="G67" s="99">
        <v>58</v>
      </c>
      <c r="H67" s="99">
        <v>35</v>
      </c>
      <c r="I67" s="99">
        <v>282</v>
      </c>
      <c r="J67" s="99">
        <v>1250</v>
      </c>
      <c r="K67" s="99">
        <v>20</v>
      </c>
      <c r="L67" s="99">
        <v>2088</v>
      </c>
      <c r="M67" s="99">
        <v>991</v>
      </c>
      <c r="N67" s="99">
        <v>474</v>
      </c>
      <c r="O67" s="99">
        <v>336</v>
      </c>
      <c r="P67" s="159">
        <v>336</v>
      </c>
      <c r="Q67" s="99">
        <v>39</v>
      </c>
      <c r="R67" s="99">
        <v>62</v>
      </c>
      <c r="S67" s="99">
        <v>99</v>
      </c>
      <c r="T67" s="99">
        <v>43</v>
      </c>
      <c r="U67" s="99" t="s">
        <v>657</v>
      </c>
      <c r="V67" s="99">
        <v>43</v>
      </c>
      <c r="W67" s="99">
        <v>62</v>
      </c>
      <c r="X67" s="99">
        <v>45</v>
      </c>
      <c r="Y67" s="99">
        <v>136</v>
      </c>
      <c r="Z67" s="99">
        <v>56</v>
      </c>
      <c r="AA67" s="99" t="s">
        <v>657</v>
      </c>
      <c r="AB67" s="99" t="s">
        <v>657</v>
      </c>
      <c r="AC67" s="99" t="s">
        <v>657</v>
      </c>
      <c r="AD67" s="98" t="s">
        <v>375</v>
      </c>
      <c r="AE67" s="100">
        <v>0.25289752355540734</v>
      </c>
      <c r="AF67" s="100">
        <v>0.08</v>
      </c>
      <c r="AG67" s="98">
        <v>483.6154423413658</v>
      </c>
      <c r="AH67" s="98">
        <v>291.836904861169</v>
      </c>
      <c r="AI67" s="100">
        <v>0.024</v>
      </c>
      <c r="AJ67" s="100">
        <v>0.682314</v>
      </c>
      <c r="AK67" s="100">
        <v>0.377358</v>
      </c>
      <c r="AL67" s="100">
        <v>0.741741</v>
      </c>
      <c r="AM67" s="100">
        <v>0.576163</v>
      </c>
      <c r="AN67" s="100">
        <v>0.629482</v>
      </c>
      <c r="AO67" s="98">
        <v>2801.6342866672226</v>
      </c>
      <c r="AP67" s="158">
        <v>1.204069672</v>
      </c>
      <c r="AQ67" s="100">
        <v>0.11607142857142858</v>
      </c>
      <c r="AR67" s="100">
        <v>0.6290322580645161</v>
      </c>
      <c r="AS67" s="98">
        <v>825.4815308930209</v>
      </c>
      <c r="AT67" s="98">
        <v>358.5424831151505</v>
      </c>
      <c r="AU67" s="98" t="s">
        <v>657</v>
      </c>
      <c r="AV67" s="98">
        <v>358.5424831151505</v>
      </c>
      <c r="AW67" s="98">
        <v>516.9682314683565</v>
      </c>
      <c r="AX67" s="98">
        <v>375.21887767864587</v>
      </c>
      <c r="AY67" s="98">
        <v>1133.9948303176852</v>
      </c>
      <c r="AZ67" s="98">
        <v>466.9390477778704</v>
      </c>
      <c r="BA67" s="100" t="s">
        <v>657</v>
      </c>
      <c r="BB67" s="100" t="s">
        <v>657</v>
      </c>
      <c r="BC67" s="100" t="s">
        <v>657</v>
      </c>
      <c r="BD67" s="158">
        <v>1.078751831</v>
      </c>
      <c r="BE67" s="158">
        <v>1.339949493</v>
      </c>
      <c r="BF67" s="162">
        <v>1832</v>
      </c>
      <c r="BG67" s="162">
        <v>53</v>
      </c>
      <c r="BH67" s="162">
        <v>2815</v>
      </c>
      <c r="BI67" s="162">
        <v>1720</v>
      </c>
      <c r="BJ67" s="162">
        <v>753</v>
      </c>
      <c r="BK67" s="97"/>
      <c r="BL67" s="97"/>
      <c r="BM67" s="97"/>
      <c r="BN67" s="97"/>
    </row>
    <row r="68" spans="1:66" ht="12.75">
      <c r="A68" s="79" t="s">
        <v>633</v>
      </c>
      <c r="B68" s="79" t="s">
        <v>357</v>
      </c>
      <c r="C68" s="79" t="s">
        <v>218</v>
      </c>
      <c r="D68" s="99">
        <v>7574</v>
      </c>
      <c r="E68" s="99">
        <v>970</v>
      </c>
      <c r="F68" s="99" t="s">
        <v>398</v>
      </c>
      <c r="G68" s="99">
        <v>38</v>
      </c>
      <c r="H68" s="99">
        <v>17</v>
      </c>
      <c r="I68" s="99">
        <v>169</v>
      </c>
      <c r="J68" s="99">
        <v>752</v>
      </c>
      <c r="K68" s="99">
        <v>163</v>
      </c>
      <c r="L68" s="99">
        <v>1661</v>
      </c>
      <c r="M68" s="99">
        <v>436</v>
      </c>
      <c r="N68" s="99">
        <v>206</v>
      </c>
      <c r="O68" s="99">
        <v>98</v>
      </c>
      <c r="P68" s="159">
        <v>98</v>
      </c>
      <c r="Q68" s="99">
        <v>17</v>
      </c>
      <c r="R68" s="99">
        <v>40</v>
      </c>
      <c r="S68" s="99">
        <v>31</v>
      </c>
      <c r="T68" s="99">
        <v>11</v>
      </c>
      <c r="U68" s="99" t="s">
        <v>657</v>
      </c>
      <c r="V68" s="99">
        <v>16</v>
      </c>
      <c r="W68" s="99">
        <v>32</v>
      </c>
      <c r="X68" s="99">
        <v>19</v>
      </c>
      <c r="Y68" s="99">
        <v>52</v>
      </c>
      <c r="Z68" s="99">
        <v>36</v>
      </c>
      <c r="AA68" s="99" t="s">
        <v>657</v>
      </c>
      <c r="AB68" s="99" t="s">
        <v>657</v>
      </c>
      <c r="AC68" s="99" t="s">
        <v>657</v>
      </c>
      <c r="AD68" s="98" t="s">
        <v>375</v>
      </c>
      <c r="AE68" s="100">
        <v>0.1280697121732242</v>
      </c>
      <c r="AF68" s="100">
        <v>0.07</v>
      </c>
      <c r="AG68" s="98">
        <v>501.71639820438344</v>
      </c>
      <c r="AH68" s="98">
        <v>224.45207288090836</v>
      </c>
      <c r="AI68" s="100">
        <v>0.022000000000000002</v>
      </c>
      <c r="AJ68" s="100">
        <v>0.770492</v>
      </c>
      <c r="AK68" s="100">
        <v>0.601476</v>
      </c>
      <c r="AL68" s="100">
        <v>0.792084</v>
      </c>
      <c r="AM68" s="100">
        <v>0.614951</v>
      </c>
      <c r="AN68" s="100">
        <v>0.641745</v>
      </c>
      <c r="AO68" s="98">
        <v>1293.9001848428836</v>
      </c>
      <c r="AP68" s="158">
        <v>0.7229477692</v>
      </c>
      <c r="AQ68" s="100">
        <v>0.17346938775510204</v>
      </c>
      <c r="AR68" s="100">
        <v>0.425</v>
      </c>
      <c r="AS68" s="98">
        <v>409.2949564298917</v>
      </c>
      <c r="AT68" s="98">
        <v>145.23369421705837</v>
      </c>
      <c r="AU68" s="98" t="s">
        <v>657</v>
      </c>
      <c r="AV68" s="98">
        <v>211.2490097702667</v>
      </c>
      <c r="AW68" s="98">
        <v>422.4980195405334</v>
      </c>
      <c r="AX68" s="98">
        <v>250.85819910219172</v>
      </c>
      <c r="AY68" s="98">
        <v>686.5592817533668</v>
      </c>
      <c r="AZ68" s="98">
        <v>475.31027198310005</v>
      </c>
      <c r="BA68" s="100" t="s">
        <v>657</v>
      </c>
      <c r="BB68" s="100" t="s">
        <v>657</v>
      </c>
      <c r="BC68" s="100" t="s">
        <v>657</v>
      </c>
      <c r="BD68" s="158">
        <v>0.5869239426</v>
      </c>
      <c r="BE68" s="158">
        <v>0.8810417175</v>
      </c>
      <c r="BF68" s="162">
        <v>976</v>
      </c>
      <c r="BG68" s="162">
        <v>271</v>
      </c>
      <c r="BH68" s="162">
        <v>2097</v>
      </c>
      <c r="BI68" s="162">
        <v>709</v>
      </c>
      <c r="BJ68" s="162">
        <v>321</v>
      </c>
      <c r="BK68" s="97"/>
      <c r="BL68" s="97"/>
      <c r="BM68" s="97"/>
      <c r="BN68" s="97"/>
    </row>
    <row r="69" spans="1:66" ht="12.75">
      <c r="A69" s="79" t="s">
        <v>581</v>
      </c>
      <c r="B69" s="79" t="s">
        <v>305</v>
      </c>
      <c r="C69" s="79" t="s">
        <v>218</v>
      </c>
      <c r="D69" s="99">
        <v>3341</v>
      </c>
      <c r="E69" s="99">
        <v>656</v>
      </c>
      <c r="F69" s="99" t="s">
        <v>398</v>
      </c>
      <c r="G69" s="99">
        <v>9</v>
      </c>
      <c r="H69" s="99" t="s">
        <v>657</v>
      </c>
      <c r="I69" s="99">
        <v>59</v>
      </c>
      <c r="J69" s="99">
        <v>391</v>
      </c>
      <c r="K69" s="99">
        <v>380</v>
      </c>
      <c r="L69" s="99">
        <v>653</v>
      </c>
      <c r="M69" s="99">
        <v>312</v>
      </c>
      <c r="N69" s="99">
        <v>145</v>
      </c>
      <c r="O69" s="99">
        <v>29</v>
      </c>
      <c r="P69" s="159">
        <v>29</v>
      </c>
      <c r="Q69" s="99" t="s">
        <v>657</v>
      </c>
      <c r="R69" s="99">
        <v>14</v>
      </c>
      <c r="S69" s="99">
        <v>6</v>
      </c>
      <c r="T69" s="99" t="s">
        <v>657</v>
      </c>
      <c r="U69" s="99" t="s">
        <v>657</v>
      </c>
      <c r="V69" s="99" t="s">
        <v>657</v>
      </c>
      <c r="W69" s="99">
        <v>18</v>
      </c>
      <c r="X69" s="99">
        <v>9</v>
      </c>
      <c r="Y69" s="99">
        <v>34</v>
      </c>
      <c r="Z69" s="99">
        <v>13</v>
      </c>
      <c r="AA69" s="99" t="s">
        <v>657</v>
      </c>
      <c r="AB69" s="99" t="s">
        <v>657</v>
      </c>
      <c r="AC69" s="99" t="s">
        <v>657</v>
      </c>
      <c r="AD69" s="98" t="s">
        <v>375</v>
      </c>
      <c r="AE69" s="100">
        <v>0.19634839868302903</v>
      </c>
      <c r="AF69" s="100">
        <v>0.04</v>
      </c>
      <c r="AG69" s="98">
        <v>269.3804250224484</v>
      </c>
      <c r="AH69" s="98" t="s">
        <v>657</v>
      </c>
      <c r="AI69" s="100">
        <v>0.018000000000000002</v>
      </c>
      <c r="AJ69" s="100">
        <v>0.762183</v>
      </c>
      <c r="AK69" s="100">
        <v>0.777096</v>
      </c>
      <c r="AL69" s="100">
        <v>0.7811</v>
      </c>
      <c r="AM69" s="100">
        <v>0.631579</v>
      </c>
      <c r="AN69" s="100">
        <v>0.707317</v>
      </c>
      <c r="AO69" s="98">
        <v>868.0035917390003</v>
      </c>
      <c r="AP69" s="158">
        <v>0.40904521940000005</v>
      </c>
      <c r="AQ69" s="100" t="s">
        <v>657</v>
      </c>
      <c r="AR69" s="100" t="s">
        <v>657</v>
      </c>
      <c r="AS69" s="98">
        <v>179.58695001496557</v>
      </c>
      <c r="AT69" s="98" t="s">
        <v>657</v>
      </c>
      <c r="AU69" s="98" t="s">
        <v>657</v>
      </c>
      <c r="AV69" s="98" t="s">
        <v>657</v>
      </c>
      <c r="AW69" s="98">
        <v>538.7608500448968</v>
      </c>
      <c r="AX69" s="98">
        <v>269.3804250224484</v>
      </c>
      <c r="AY69" s="98">
        <v>1017.6593834181383</v>
      </c>
      <c r="AZ69" s="98">
        <v>389.10505836575874</v>
      </c>
      <c r="BA69" s="100" t="s">
        <v>657</v>
      </c>
      <c r="BB69" s="100" t="s">
        <v>657</v>
      </c>
      <c r="BC69" s="100" t="s">
        <v>657</v>
      </c>
      <c r="BD69" s="158">
        <v>0.2739440155</v>
      </c>
      <c r="BE69" s="158">
        <v>0.5874571990999999</v>
      </c>
      <c r="BF69" s="162">
        <v>513</v>
      </c>
      <c r="BG69" s="162">
        <v>489</v>
      </c>
      <c r="BH69" s="162">
        <v>836</v>
      </c>
      <c r="BI69" s="162">
        <v>494</v>
      </c>
      <c r="BJ69" s="162">
        <v>205</v>
      </c>
      <c r="BK69" s="97"/>
      <c r="BL69" s="97"/>
      <c r="BM69" s="97"/>
      <c r="BN69" s="97"/>
    </row>
    <row r="70" spans="1:66" ht="12.75">
      <c r="A70" s="79" t="s">
        <v>580</v>
      </c>
      <c r="B70" s="79" t="s">
        <v>304</v>
      </c>
      <c r="C70" s="79" t="s">
        <v>218</v>
      </c>
      <c r="D70" s="99">
        <v>15035</v>
      </c>
      <c r="E70" s="99">
        <v>1296</v>
      </c>
      <c r="F70" s="99" t="s">
        <v>398</v>
      </c>
      <c r="G70" s="99">
        <v>42</v>
      </c>
      <c r="H70" s="99">
        <v>20</v>
      </c>
      <c r="I70" s="99">
        <v>167</v>
      </c>
      <c r="J70" s="99">
        <v>754</v>
      </c>
      <c r="K70" s="99">
        <v>6</v>
      </c>
      <c r="L70" s="99">
        <v>3135</v>
      </c>
      <c r="M70" s="99">
        <v>478</v>
      </c>
      <c r="N70" s="99">
        <v>232</v>
      </c>
      <c r="O70" s="99">
        <v>274</v>
      </c>
      <c r="P70" s="159">
        <v>274</v>
      </c>
      <c r="Q70" s="99">
        <v>25</v>
      </c>
      <c r="R70" s="99">
        <v>41</v>
      </c>
      <c r="S70" s="99">
        <v>53</v>
      </c>
      <c r="T70" s="99">
        <v>35</v>
      </c>
      <c r="U70" s="99" t="s">
        <v>657</v>
      </c>
      <c r="V70" s="99">
        <v>58</v>
      </c>
      <c r="W70" s="99">
        <v>54</v>
      </c>
      <c r="X70" s="99">
        <v>43</v>
      </c>
      <c r="Y70" s="99">
        <v>132</v>
      </c>
      <c r="Z70" s="99">
        <v>38</v>
      </c>
      <c r="AA70" s="99" t="s">
        <v>657</v>
      </c>
      <c r="AB70" s="99" t="s">
        <v>657</v>
      </c>
      <c r="AC70" s="99" t="s">
        <v>657</v>
      </c>
      <c r="AD70" s="98" t="s">
        <v>375</v>
      </c>
      <c r="AE70" s="100">
        <v>0.0861988693049551</v>
      </c>
      <c r="AF70" s="100">
        <v>0.09</v>
      </c>
      <c r="AG70" s="98">
        <v>279.3481875623545</v>
      </c>
      <c r="AH70" s="98">
        <v>133.02294645826404</v>
      </c>
      <c r="AI70" s="100">
        <v>0.011000000000000001</v>
      </c>
      <c r="AJ70" s="100">
        <v>0.655083</v>
      </c>
      <c r="AK70" s="100">
        <v>0.26087</v>
      </c>
      <c r="AL70" s="100">
        <v>0.771028</v>
      </c>
      <c r="AM70" s="100">
        <v>0.546286</v>
      </c>
      <c r="AN70" s="100">
        <v>0.582915</v>
      </c>
      <c r="AO70" s="98">
        <v>1822.4143664782175</v>
      </c>
      <c r="AP70" s="158">
        <v>1.2812950129999998</v>
      </c>
      <c r="AQ70" s="100">
        <v>0.09124087591240876</v>
      </c>
      <c r="AR70" s="100">
        <v>0.6097560975609756</v>
      </c>
      <c r="AS70" s="98">
        <v>352.5108081143997</v>
      </c>
      <c r="AT70" s="98">
        <v>232.7901563019621</v>
      </c>
      <c r="AU70" s="98" t="s">
        <v>657</v>
      </c>
      <c r="AV70" s="98">
        <v>385.76654472896575</v>
      </c>
      <c r="AW70" s="98">
        <v>359.16195543731294</v>
      </c>
      <c r="AX70" s="98">
        <v>285.99933488526773</v>
      </c>
      <c r="AY70" s="98">
        <v>877.9514466245428</v>
      </c>
      <c r="AZ70" s="98">
        <v>252.74359827070168</v>
      </c>
      <c r="BA70" s="100" t="s">
        <v>657</v>
      </c>
      <c r="BB70" s="100" t="s">
        <v>657</v>
      </c>
      <c r="BC70" s="100" t="s">
        <v>657</v>
      </c>
      <c r="BD70" s="158">
        <v>1.134058838</v>
      </c>
      <c r="BE70" s="158">
        <v>1.442340088</v>
      </c>
      <c r="BF70" s="162">
        <v>1151</v>
      </c>
      <c r="BG70" s="162">
        <v>23</v>
      </c>
      <c r="BH70" s="162">
        <v>4066</v>
      </c>
      <c r="BI70" s="162">
        <v>875</v>
      </c>
      <c r="BJ70" s="162">
        <v>398</v>
      </c>
      <c r="BK70" s="97"/>
      <c r="BL70" s="97"/>
      <c r="BM70" s="97"/>
      <c r="BN70" s="97"/>
    </row>
    <row r="71" spans="1:66" ht="12.75">
      <c r="A71" s="79" t="s">
        <v>579</v>
      </c>
      <c r="B71" s="79" t="s">
        <v>302</v>
      </c>
      <c r="C71" s="79" t="s">
        <v>218</v>
      </c>
      <c r="D71" s="99">
        <v>5632</v>
      </c>
      <c r="E71" s="99">
        <v>1688</v>
      </c>
      <c r="F71" s="99" t="s">
        <v>396</v>
      </c>
      <c r="G71" s="99">
        <v>44</v>
      </c>
      <c r="H71" s="99">
        <v>27</v>
      </c>
      <c r="I71" s="99">
        <v>144</v>
      </c>
      <c r="J71" s="99">
        <v>609</v>
      </c>
      <c r="K71" s="99">
        <v>23</v>
      </c>
      <c r="L71" s="99">
        <v>911</v>
      </c>
      <c r="M71" s="99">
        <v>562</v>
      </c>
      <c r="N71" s="99">
        <v>275</v>
      </c>
      <c r="O71" s="99">
        <v>116</v>
      </c>
      <c r="P71" s="159">
        <v>116</v>
      </c>
      <c r="Q71" s="99">
        <v>14</v>
      </c>
      <c r="R71" s="99">
        <v>38</v>
      </c>
      <c r="S71" s="99">
        <v>24</v>
      </c>
      <c r="T71" s="99">
        <v>18</v>
      </c>
      <c r="U71" s="99" t="s">
        <v>657</v>
      </c>
      <c r="V71" s="99">
        <v>20</v>
      </c>
      <c r="W71" s="99">
        <v>30</v>
      </c>
      <c r="X71" s="99">
        <v>20</v>
      </c>
      <c r="Y71" s="99">
        <v>114</v>
      </c>
      <c r="Z71" s="99">
        <v>49</v>
      </c>
      <c r="AA71" s="99" t="s">
        <v>657</v>
      </c>
      <c r="AB71" s="99" t="s">
        <v>657</v>
      </c>
      <c r="AC71" s="99" t="s">
        <v>657</v>
      </c>
      <c r="AD71" s="98" t="s">
        <v>375</v>
      </c>
      <c r="AE71" s="100">
        <v>0.2997159090909091</v>
      </c>
      <c r="AF71" s="100">
        <v>0.12</v>
      </c>
      <c r="AG71" s="98">
        <v>781.25</v>
      </c>
      <c r="AH71" s="98">
        <v>479.40340909090907</v>
      </c>
      <c r="AI71" s="100">
        <v>0.026000000000000002</v>
      </c>
      <c r="AJ71" s="100">
        <v>0.680447</v>
      </c>
      <c r="AK71" s="100">
        <v>0.522727</v>
      </c>
      <c r="AL71" s="100">
        <v>0.757273</v>
      </c>
      <c r="AM71" s="100">
        <v>0.589717</v>
      </c>
      <c r="AN71" s="100">
        <v>0.632184</v>
      </c>
      <c r="AO71" s="98">
        <v>2059.659090909091</v>
      </c>
      <c r="AP71" s="158">
        <v>0.8267384337999999</v>
      </c>
      <c r="AQ71" s="100">
        <v>0.1206896551724138</v>
      </c>
      <c r="AR71" s="100">
        <v>0.3684210526315789</v>
      </c>
      <c r="AS71" s="98">
        <v>426.1363636363636</v>
      </c>
      <c r="AT71" s="98">
        <v>319.60227272727275</v>
      </c>
      <c r="AU71" s="98" t="s">
        <v>657</v>
      </c>
      <c r="AV71" s="98">
        <v>355.1136363636364</v>
      </c>
      <c r="AW71" s="98">
        <v>532.6704545454545</v>
      </c>
      <c r="AX71" s="98">
        <v>355.1136363636364</v>
      </c>
      <c r="AY71" s="98">
        <v>2024.1477272727273</v>
      </c>
      <c r="AZ71" s="98">
        <v>870.0284090909091</v>
      </c>
      <c r="BA71" s="100" t="s">
        <v>657</v>
      </c>
      <c r="BB71" s="100" t="s">
        <v>657</v>
      </c>
      <c r="BC71" s="100" t="s">
        <v>657</v>
      </c>
      <c r="BD71" s="158">
        <v>0.6831499481000001</v>
      </c>
      <c r="BE71" s="158">
        <v>0.9915940094</v>
      </c>
      <c r="BF71" s="162">
        <v>895</v>
      </c>
      <c r="BG71" s="162">
        <v>44</v>
      </c>
      <c r="BH71" s="162">
        <v>1203</v>
      </c>
      <c r="BI71" s="162">
        <v>953</v>
      </c>
      <c r="BJ71" s="162">
        <v>435</v>
      </c>
      <c r="BK71" s="97"/>
      <c r="BL71" s="97"/>
      <c r="BM71" s="97"/>
      <c r="BN71" s="97"/>
    </row>
    <row r="72" spans="1:66" ht="12.75">
      <c r="A72" s="79" t="s">
        <v>614</v>
      </c>
      <c r="B72" s="79" t="s">
        <v>338</v>
      </c>
      <c r="C72" s="79" t="s">
        <v>218</v>
      </c>
      <c r="D72" s="99">
        <v>8793</v>
      </c>
      <c r="E72" s="99">
        <v>1485</v>
      </c>
      <c r="F72" s="99" t="s">
        <v>397</v>
      </c>
      <c r="G72" s="99">
        <v>38</v>
      </c>
      <c r="H72" s="99">
        <v>27</v>
      </c>
      <c r="I72" s="99">
        <v>159</v>
      </c>
      <c r="J72" s="99">
        <v>650</v>
      </c>
      <c r="K72" s="99">
        <v>13</v>
      </c>
      <c r="L72" s="99">
        <v>1688</v>
      </c>
      <c r="M72" s="99">
        <v>308</v>
      </c>
      <c r="N72" s="99">
        <v>257</v>
      </c>
      <c r="O72" s="99">
        <v>161</v>
      </c>
      <c r="P72" s="159">
        <v>161</v>
      </c>
      <c r="Q72" s="99">
        <v>14</v>
      </c>
      <c r="R72" s="99">
        <v>53</v>
      </c>
      <c r="S72" s="99">
        <v>33</v>
      </c>
      <c r="T72" s="99">
        <v>24</v>
      </c>
      <c r="U72" s="99" t="s">
        <v>657</v>
      </c>
      <c r="V72" s="99">
        <v>32</v>
      </c>
      <c r="W72" s="99">
        <v>71</v>
      </c>
      <c r="X72" s="99">
        <v>27</v>
      </c>
      <c r="Y72" s="99">
        <v>100</v>
      </c>
      <c r="Z72" s="99">
        <v>46</v>
      </c>
      <c r="AA72" s="99" t="s">
        <v>657</v>
      </c>
      <c r="AB72" s="99" t="s">
        <v>657</v>
      </c>
      <c r="AC72" s="99" t="s">
        <v>657</v>
      </c>
      <c r="AD72" s="98" t="s">
        <v>375</v>
      </c>
      <c r="AE72" s="100">
        <v>0.16888433981576254</v>
      </c>
      <c r="AF72" s="100">
        <v>0.15</v>
      </c>
      <c r="AG72" s="98">
        <v>432.16194700329805</v>
      </c>
      <c r="AH72" s="98">
        <v>307.06243602865914</v>
      </c>
      <c r="AI72" s="100">
        <v>0.018000000000000002</v>
      </c>
      <c r="AJ72" s="100">
        <v>0.659898</v>
      </c>
      <c r="AK72" s="100">
        <v>0.361111</v>
      </c>
      <c r="AL72" s="100">
        <v>0.741001</v>
      </c>
      <c r="AM72" s="100">
        <v>0.336612</v>
      </c>
      <c r="AN72" s="100">
        <v>0.537657</v>
      </c>
      <c r="AO72" s="98">
        <v>1831.0019333560788</v>
      </c>
      <c r="AP72" s="158">
        <v>0.976492691</v>
      </c>
      <c r="AQ72" s="100">
        <v>0.08695652173913043</v>
      </c>
      <c r="AR72" s="100">
        <v>0.2641509433962264</v>
      </c>
      <c r="AS72" s="98">
        <v>375.29853292391675</v>
      </c>
      <c r="AT72" s="98">
        <v>272.94438758103036</v>
      </c>
      <c r="AU72" s="98" t="s">
        <v>657</v>
      </c>
      <c r="AV72" s="98">
        <v>363.9258501080405</v>
      </c>
      <c r="AW72" s="98">
        <v>807.4604799272148</v>
      </c>
      <c r="AX72" s="98">
        <v>307.06243602865914</v>
      </c>
      <c r="AY72" s="98">
        <v>1137.2682815876265</v>
      </c>
      <c r="AZ72" s="98">
        <v>523.1434095303082</v>
      </c>
      <c r="BA72" s="100" t="s">
        <v>657</v>
      </c>
      <c r="BB72" s="100" t="s">
        <v>657</v>
      </c>
      <c r="BC72" s="100" t="s">
        <v>657</v>
      </c>
      <c r="BD72" s="158">
        <v>0.8314811706999999</v>
      </c>
      <c r="BE72" s="158">
        <v>1.139521561</v>
      </c>
      <c r="BF72" s="162">
        <v>985</v>
      </c>
      <c r="BG72" s="162">
        <v>36</v>
      </c>
      <c r="BH72" s="162">
        <v>2278</v>
      </c>
      <c r="BI72" s="162">
        <v>915</v>
      </c>
      <c r="BJ72" s="162">
        <v>478</v>
      </c>
      <c r="BK72" s="97"/>
      <c r="BL72" s="97"/>
      <c r="BM72" s="97"/>
      <c r="BN72" s="97"/>
    </row>
    <row r="73" spans="1:66" ht="12.75">
      <c r="A73" s="79" t="s">
        <v>591</v>
      </c>
      <c r="B73" s="79" t="s">
        <v>315</v>
      </c>
      <c r="C73" s="79" t="s">
        <v>218</v>
      </c>
      <c r="D73" s="99">
        <v>6473</v>
      </c>
      <c r="E73" s="99">
        <v>1927</v>
      </c>
      <c r="F73" s="99" t="s">
        <v>396</v>
      </c>
      <c r="G73" s="99">
        <v>45</v>
      </c>
      <c r="H73" s="99">
        <v>27</v>
      </c>
      <c r="I73" s="99">
        <v>199</v>
      </c>
      <c r="J73" s="99">
        <v>769</v>
      </c>
      <c r="K73" s="99">
        <v>778</v>
      </c>
      <c r="L73" s="99">
        <v>1063</v>
      </c>
      <c r="M73" s="99">
        <v>629</v>
      </c>
      <c r="N73" s="99">
        <v>313</v>
      </c>
      <c r="O73" s="99">
        <v>168</v>
      </c>
      <c r="P73" s="159">
        <v>168</v>
      </c>
      <c r="Q73" s="99">
        <v>25</v>
      </c>
      <c r="R73" s="99">
        <v>52</v>
      </c>
      <c r="S73" s="99">
        <v>40</v>
      </c>
      <c r="T73" s="99">
        <v>14</v>
      </c>
      <c r="U73" s="99">
        <v>8</v>
      </c>
      <c r="V73" s="99">
        <v>29</v>
      </c>
      <c r="W73" s="99">
        <v>50</v>
      </c>
      <c r="X73" s="99">
        <v>26</v>
      </c>
      <c r="Y73" s="99">
        <v>126</v>
      </c>
      <c r="Z73" s="99">
        <v>56</v>
      </c>
      <c r="AA73" s="99" t="s">
        <v>657</v>
      </c>
      <c r="AB73" s="99" t="s">
        <v>657</v>
      </c>
      <c r="AC73" s="99" t="s">
        <v>657</v>
      </c>
      <c r="AD73" s="98" t="s">
        <v>375</v>
      </c>
      <c r="AE73" s="100">
        <v>0.2976981306967403</v>
      </c>
      <c r="AF73" s="100">
        <v>0.11</v>
      </c>
      <c r="AG73" s="98">
        <v>695.1954271589681</v>
      </c>
      <c r="AH73" s="98">
        <v>417.1172562953808</v>
      </c>
      <c r="AI73" s="100">
        <v>0.031</v>
      </c>
      <c r="AJ73" s="100">
        <v>0.716682</v>
      </c>
      <c r="AK73" s="100">
        <v>0.756809</v>
      </c>
      <c r="AL73" s="100">
        <v>0.794469</v>
      </c>
      <c r="AM73" s="100">
        <v>0.603647</v>
      </c>
      <c r="AN73" s="100">
        <v>0.640082</v>
      </c>
      <c r="AO73" s="98">
        <v>2595.3962613934805</v>
      </c>
      <c r="AP73" s="158">
        <v>1.040488892</v>
      </c>
      <c r="AQ73" s="100">
        <v>0.1488095238095238</v>
      </c>
      <c r="AR73" s="100">
        <v>0.4807692307692308</v>
      </c>
      <c r="AS73" s="98">
        <v>617.9514908079716</v>
      </c>
      <c r="AT73" s="98">
        <v>216.28302178279006</v>
      </c>
      <c r="AU73" s="98">
        <v>123.59029816159432</v>
      </c>
      <c r="AV73" s="98">
        <v>448.0148308357794</v>
      </c>
      <c r="AW73" s="98">
        <v>772.4393635099644</v>
      </c>
      <c r="AX73" s="98">
        <v>401.66846902518154</v>
      </c>
      <c r="AY73" s="98">
        <v>1946.5471960451105</v>
      </c>
      <c r="AZ73" s="98">
        <v>865.1320871311602</v>
      </c>
      <c r="BA73" s="100" t="s">
        <v>657</v>
      </c>
      <c r="BB73" s="100" t="s">
        <v>657</v>
      </c>
      <c r="BC73" s="100" t="s">
        <v>657</v>
      </c>
      <c r="BD73" s="158">
        <v>0.8890975189</v>
      </c>
      <c r="BE73" s="158">
        <v>1.2102685549999999</v>
      </c>
      <c r="BF73" s="162">
        <v>1073</v>
      </c>
      <c r="BG73" s="162">
        <v>1028</v>
      </c>
      <c r="BH73" s="162">
        <v>1338</v>
      </c>
      <c r="BI73" s="162">
        <v>1042</v>
      </c>
      <c r="BJ73" s="162">
        <v>489</v>
      </c>
      <c r="BK73" s="97"/>
      <c r="BL73" s="97"/>
      <c r="BM73" s="97"/>
      <c r="BN73" s="97"/>
    </row>
    <row r="74" spans="1:66" ht="12.75">
      <c r="A74" s="79" t="s">
        <v>565</v>
      </c>
      <c r="B74" s="79" t="s">
        <v>288</v>
      </c>
      <c r="C74" s="79" t="s">
        <v>218</v>
      </c>
      <c r="D74" s="99">
        <v>11188</v>
      </c>
      <c r="E74" s="99">
        <v>1930</v>
      </c>
      <c r="F74" s="99" t="s">
        <v>398</v>
      </c>
      <c r="G74" s="99">
        <v>46</v>
      </c>
      <c r="H74" s="99">
        <v>24</v>
      </c>
      <c r="I74" s="99">
        <v>196</v>
      </c>
      <c r="J74" s="99">
        <v>1097</v>
      </c>
      <c r="K74" s="99">
        <v>8</v>
      </c>
      <c r="L74" s="99">
        <v>2226</v>
      </c>
      <c r="M74" s="99">
        <v>843</v>
      </c>
      <c r="N74" s="99">
        <v>436</v>
      </c>
      <c r="O74" s="99">
        <v>169</v>
      </c>
      <c r="P74" s="159">
        <v>169</v>
      </c>
      <c r="Q74" s="99">
        <v>12</v>
      </c>
      <c r="R74" s="99">
        <v>28</v>
      </c>
      <c r="S74" s="99">
        <v>56</v>
      </c>
      <c r="T74" s="99">
        <v>18</v>
      </c>
      <c r="U74" s="99">
        <v>8</v>
      </c>
      <c r="V74" s="99">
        <v>20</v>
      </c>
      <c r="W74" s="99">
        <v>66</v>
      </c>
      <c r="X74" s="99">
        <v>35</v>
      </c>
      <c r="Y74" s="99">
        <v>77</v>
      </c>
      <c r="Z74" s="99">
        <v>49</v>
      </c>
      <c r="AA74" s="99" t="s">
        <v>657</v>
      </c>
      <c r="AB74" s="99" t="s">
        <v>657</v>
      </c>
      <c r="AC74" s="99" t="s">
        <v>657</v>
      </c>
      <c r="AD74" s="98" t="s">
        <v>375</v>
      </c>
      <c r="AE74" s="100">
        <v>0.172506256703611</v>
      </c>
      <c r="AF74" s="100">
        <v>0.06</v>
      </c>
      <c r="AG74" s="98">
        <v>411.15480872363247</v>
      </c>
      <c r="AH74" s="98">
        <v>214.51555237754738</v>
      </c>
      <c r="AI74" s="100">
        <v>0.018000000000000002</v>
      </c>
      <c r="AJ74" s="100">
        <v>0.710953</v>
      </c>
      <c r="AK74" s="100">
        <v>0.347826</v>
      </c>
      <c r="AL74" s="100">
        <v>0.774261</v>
      </c>
      <c r="AM74" s="100">
        <v>0.582182</v>
      </c>
      <c r="AN74" s="100">
        <v>0.635569</v>
      </c>
      <c r="AO74" s="98">
        <v>1510.5470146585628</v>
      </c>
      <c r="AP74" s="158">
        <v>0.7691579437</v>
      </c>
      <c r="AQ74" s="100">
        <v>0.07100591715976332</v>
      </c>
      <c r="AR74" s="100">
        <v>0.42857142857142855</v>
      </c>
      <c r="AS74" s="98">
        <v>500.53628888094386</v>
      </c>
      <c r="AT74" s="98">
        <v>160.88666428316054</v>
      </c>
      <c r="AU74" s="98">
        <v>71.50518412584913</v>
      </c>
      <c r="AV74" s="98">
        <v>178.7629603146228</v>
      </c>
      <c r="AW74" s="98">
        <v>589.9177690382553</v>
      </c>
      <c r="AX74" s="98">
        <v>312.83518055058994</v>
      </c>
      <c r="AY74" s="98">
        <v>688.2373972112978</v>
      </c>
      <c r="AZ74" s="98">
        <v>437.9692527708259</v>
      </c>
      <c r="BA74" s="100" t="s">
        <v>657</v>
      </c>
      <c r="BB74" s="100" t="s">
        <v>657</v>
      </c>
      <c r="BC74" s="100" t="s">
        <v>657</v>
      </c>
      <c r="BD74" s="158">
        <v>0.6575637054000001</v>
      </c>
      <c r="BE74" s="158">
        <v>0.894263916</v>
      </c>
      <c r="BF74" s="162">
        <v>1543</v>
      </c>
      <c r="BG74" s="162">
        <v>23</v>
      </c>
      <c r="BH74" s="162">
        <v>2875</v>
      </c>
      <c r="BI74" s="162">
        <v>1448</v>
      </c>
      <c r="BJ74" s="162">
        <v>686</v>
      </c>
      <c r="BK74" s="97"/>
      <c r="BL74" s="97"/>
      <c r="BM74" s="97"/>
      <c r="BN74" s="97"/>
    </row>
    <row r="75" spans="1:66" ht="12.75">
      <c r="A75" s="79" t="s">
        <v>623</v>
      </c>
      <c r="B75" s="79" t="s">
        <v>347</v>
      </c>
      <c r="C75" s="79" t="s">
        <v>218</v>
      </c>
      <c r="D75" s="99">
        <v>10924</v>
      </c>
      <c r="E75" s="99">
        <v>2034</v>
      </c>
      <c r="F75" s="99" t="s">
        <v>398</v>
      </c>
      <c r="G75" s="99">
        <v>41</v>
      </c>
      <c r="H75" s="99">
        <v>30</v>
      </c>
      <c r="I75" s="99">
        <v>188</v>
      </c>
      <c r="J75" s="99">
        <v>1135</v>
      </c>
      <c r="K75" s="99">
        <v>18</v>
      </c>
      <c r="L75" s="99">
        <v>2172</v>
      </c>
      <c r="M75" s="99">
        <v>777</v>
      </c>
      <c r="N75" s="99">
        <v>382</v>
      </c>
      <c r="O75" s="99">
        <v>162</v>
      </c>
      <c r="P75" s="159">
        <v>162</v>
      </c>
      <c r="Q75" s="99">
        <v>18</v>
      </c>
      <c r="R75" s="99">
        <v>84</v>
      </c>
      <c r="S75" s="99">
        <v>40</v>
      </c>
      <c r="T75" s="99">
        <v>12</v>
      </c>
      <c r="U75" s="99">
        <v>6</v>
      </c>
      <c r="V75" s="99">
        <v>32</v>
      </c>
      <c r="W75" s="99">
        <v>47</v>
      </c>
      <c r="X75" s="99">
        <v>58</v>
      </c>
      <c r="Y75" s="99">
        <v>103</v>
      </c>
      <c r="Z75" s="99">
        <v>43</v>
      </c>
      <c r="AA75" s="99" t="s">
        <v>657</v>
      </c>
      <c r="AB75" s="99" t="s">
        <v>657</v>
      </c>
      <c r="AC75" s="99" t="s">
        <v>657</v>
      </c>
      <c r="AD75" s="98" t="s">
        <v>375</v>
      </c>
      <c r="AE75" s="100">
        <v>0.18619553277187842</v>
      </c>
      <c r="AF75" s="100">
        <v>0.07</v>
      </c>
      <c r="AG75" s="98">
        <v>375.32039545953864</v>
      </c>
      <c r="AH75" s="98">
        <v>274.62467960454046</v>
      </c>
      <c r="AI75" s="100">
        <v>0.017</v>
      </c>
      <c r="AJ75" s="100">
        <v>0.811874</v>
      </c>
      <c r="AK75" s="100">
        <v>0.72</v>
      </c>
      <c r="AL75" s="100">
        <v>0.830275</v>
      </c>
      <c r="AM75" s="100">
        <v>0.623596</v>
      </c>
      <c r="AN75" s="100">
        <v>0.670175</v>
      </c>
      <c r="AO75" s="98">
        <v>1482.9732698645184</v>
      </c>
      <c r="AP75" s="158">
        <v>0.7494287872</v>
      </c>
      <c r="AQ75" s="100">
        <v>0.1111111111111111</v>
      </c>
      <c r="AR75" s="100">
        <v>0.21428571428571427</v>
      </c>
      <c r="AS75" s="98">
        <v>366.16623947272063</v>
      </c>
      <c r="AT75" s="98">
        <v>109.84987184181618</v>
      </c>
      <c r="AU75" s="98">
        <v>54.92493592090809</v>
      </c>
      <c r="AV75" s="98">
        <v>292.9329915781765</v>
      </c>
      <c r="AW75" s="98">
        <v>430.2453313804467</v>
      </c>
      <c r="AX75" s="98">
        <v>530.9410472354449</v>
      </c>
      <c r="AY75" s="98">
        <v>942.8780666422556</v>
      </c>
      <c r="AZ75" s="98">
        <v>393.62870743317467</v>
      </c>
      <c r="BA75" s="100" t="s">
        <v>657</v>
      </c>
      <c r="BB75" s="100" t="s">
        <v>657</v>
      </c>
      <c r="BC75" s="100" t="s">
        <v>657</v>
      </c>
      <c r="BD75" s="158">
        <v>0.638466835</v>
      </c>
      <c r="BE75" s="158">
        <v>0.8741320038000001</v>
      </c>
      <c r="BF75" s="162">
        <v>1398</v>
      </c>
      <c r="BG75" s="162">
        <v>25</v>
      </c>
      <c r="BH75" s="162">
        <v>2616</v>
      </c>
      <c r="BI75" s="162">
        <v>1246</v>
      </c>
      <c r="BJ75" s="162">
        <v>570</v>
      </c>
      <c r="BK75" s="97"/>
      <c r="BL75" s="97"/>
      <c r="BM75" s="97"/>
      <c r="BN75" s="97"/>
    </row>
    <row r="76" spans="1:66" ht="12.75">
      <c r="A76" s="79" t="s">
        <v>626</v>
      </c>
      <c r="B76" s="79" t="s">
        <v>350</v>
      </c>
      <c r="C76" s="79" t="s">
        <v>218</v>
      </c>
      <c r="D76" s="99">
        <v>8874</v>
      </c>
      <c r="E76" s="99">
        <v>1995</v>
      </c>
      <c r="F76" s="99" t="s">
        <v>398</v>
      </c>
      <c r="G76" s="99">
        <v>47</v>
      </c>
      <c r="H76" s="99">
        <v>28</v>
      </c>
      <c r="I76" s="99">
        <v>193</v>
      </c>
      <c r="J76" s="99">
        <v>1025</v>
      </c>
      <c r="K76" s="99">
        <v>1015</v>
      </c>
      <c r="L76" s="99">
        <v>1744</v>
      </c>
      <c r="M76" s="99">
        <v>793</v>
      </c>
      <c r="N76" s="99">
        <v>414</v>
      </c>
      <c r="O76" s="99">
        <v>183</v>
      </c>
      <c r="P76" s="159">
        <v>183</v>
      </c>
      <c r="Q76" s="99">
        <v>33</v>
      </c>
      <c r="R76" s="99">
        <v>57</v>
      </c>
      <c r="S76" s="99">
        <v>37</v>
      </c>
      <c r="T76" s="99">
        <v>27</v>
      </c>
      <c r="U76" s="99">
        <v>8</v>
      </c>
      <c r="V76" s="99">
        <v>39</v>
      </c>
      <c r="W76" s="99">
        <v>51</v>
      </c>
      <c r="X76" s="99">
        <v>22</v>
      </c>
      <c r="Y76" s="99">
        <v>113</v>
      </c>
      <c r="Z76" s="99">
        <v>38</v>
      </c>
      <c r="AA76" s="99" t="s">
        <v>657</v>
      </c>
      <c r="AB76" s="99" t="s">
        <v>657</v>
      </c>
      <c r="AC76" s="99" t="s">
        <v>657</v>
      </c>
      <c r="AD76" s="98" t="s">
        <v>375</v>
      </c>
      <c r="AE76" s="100">
        <v>0.22481406355645706</v>
      </c>
      <c r="AF76" s="100">
        <v>0.08</v>
      </c>
      <c r="AG76" s="98">
        <v>529.6371422132071</v>
      </c>
      <c r="AH76" s="98">
        <v>315.5285102546766</v>
      </c>
      <c r="AI76" s="100">
        <v>0.022000000000000002</v>
      </c>
      <c r="AJ76" s="100">
        <v>0.78725</v>
      </c>
      <c r="AK76" s="100">
        <v>0.810056</v>
      </c>
      <c r="AL76" s="100">
        <v>0.804428</v>
      </c>
      <c r="AM76" s="100">
        <v>0.658638</v>
      </c>
      <c r="AN76" s="100">
        <v>0.68543</v>
      </c>
      <c r="AO76" s="98">
        <v>2062.204192021636</v>
      </c>
      <c r="AP76" s="158">
        <v>0.9331900023999999</v>
      </c>
      <c r="AQ76" s="100">
        <v>0.18032786885245902</v>
      </c>
      <c r="AR76" s="100">
        <v>0.5789473684210527</v>
      </c>
      <c r="AS76" s="98">
        <v>416.94838855082264</v>
      </c>
      <c r="AT76" s="98">
        <v>304.25963488843814</v>
      </c>
      <c r="AU76" s="98">
        <v>90.15100292990759</v>
      </c>
      <c r="AV76" s="98">
        <v>439.4861392832995</v>
      </c>
      <c r="AW76" s="98">
        <v>574.7126436781609</v>
      </c>
      <c r="AX76" s="98">
        <v>247.9152580572459</v>
      </c>
      <c r="AY76" s="98">
        <v>1273.3829163849448</v>
      </c>
      <c r="AZ76" s="98">
        <v>428.2172639170611</v>
      </c>
      <c r="BA76" s="100" t="s">
        <v>657</v>
      </c>
      <c r="BB76" s="100" t="s">
        <v>657</v>
      </c>
      <c r="BC76" s="100" t="s">
        <v>657</v>
      </c>
      <c r="BD76" s="158">
        <v>0.8028778076</v>
      </c>
      <c r="BE76" s="158">
        <v>1.078626709</v>
      </c>
      <c r="BF76" s="162">
        <v>1302</v>
      </c>
      <c r="BG76" s="162">
        <v>1253</v>
      </c>
      <c r="BH76" s="162">
        <v>2168</v>
      </c>
      <c r="BI76" s="162">
        <v>1204</v>
      </c>
      <c r="BJ76" s="162">
        <v>604</v>
      </c>
      <c r="BK76" s="97"/>
      <c r="BL76" s="97"/>
      <c r="BM76" s="97"/>
      <c r="BN76" s="97"/>
    </row>
    <row r="77" spans="1:66" ht="12.75">
      <c r="A77" s="79" t="s">
        <v>616</v>
      </c>
      <c r="B77" s="79" t="s">
        <v>340</v>
      </c>
      <c r="C77" s="79" t="s">
        <v>218</v>
      </c>
      <c r="D77" s="99">
        <v>6081</v>
      </c>
      <c r="E77" s="99">
        <v>905</v>
      </c>
      <c r="F77" s="99" t="s">
        <v>397</v>
      </c>
      <c r="G77" s="99">
        <v>29</v>
      </c>
      <c r="H77" s="99">
        <v>19</v>
      </c>
      <c r="I77" s="99">
        <v>87</v>
      </c>
      <c r="J77" s="99">
        <v>419</v>
      </c>
      <c r="K77" s="99" t="s">
        <v>657</v>
      </c>
      <c r="L77" s="99">
        <v>1168</v>
      </c>
      <c r="M77" s="99">
        <v>272</v>
      </c>
      <c r="N77" s="99">
        <v>145</v>
      </c>
      <c r="O77" s="99">
        <v>80</v>
      </c>
      <c r="P77" s="159">
        <v>80</v>
      </c>
      <c r="Q77" s="99">
        <v>10</v>
      </c>
      <c r="R77" s="99">
        <v>21</v>
      </c>
      <c r="S77" s="99">
        <v>21</v>
      </c>
      <c r="T77" s="99">
        <v>15</v>
      </c>
      <c r="U77" s="99" t="s">
        <v>657</v>
      </c>
      <c r="V77" s="99">
        <v>11</v>
      </c>
      <c r="W77" s="99">
        <v>33</v>
      </c>
      <c r="X77" s="99">
        <v>20</v>
      </c>
      <c r="Y77" s="99">
        <v>57</v>
      </c>
      <c r="Z77" s="99">
        <v>41</v>
      </c>
      <c r="AA77" s="99" t="s">
        <v>657</v>
      </c>
      <c r="AB77" s="99" t="s">
        <v>657</v>
      </c>
      <c r="AC77" s="99" t="s">
        <v>657</v>
      </c>
      <c r="AD77" s="98" t="s">
        <v>375</v>
      </c>
      <c r="AE77" s="100">
        <v>0.14882420654497616</v>
      </c>
      <c r="AF77" s="100">
        <v>0.12</v>
      </c>
      <c r="AG77" s="98">
        <v>476.8952474921888</v>
      </c>
      <c r="AH77" s="98">
        <v>312.4486104259168</v>
      </c>
      <c r="AI77" s="100">
        <v>0.013999999999999999</v>
      </c>
      <c r="AJ77" s="100">
        <v>0.700669</v>
      </c>
      <c r="AK77" s="100" t="s">
        <v>657</v>
      </c>
      <c r="AL77" s="100">
        <v>0.733668</v>
      </c>
      <c r="AM77" s="100">
        <v>0.542914</v>
      </c>
      <c r="AN77" s="100">
        <v>0.587045</v>
      </c>
      <c r="AO77" s="98">
        <v>1315.573096530176</v>
      </c>
      <c r="AP77" s="158">
        <v>0.7485506438999999</v>
      </c>
      <c r="AQ77" s="100">
        <v>0.125</v>
      </c>
      <c r="AR77" s="100">
        <v>0.47619047619047616</v>
      </c>
      <c r="AS77" s="98">
        <v>345.33793783917116</v>
      </c>
      <c r="AT77" s="98">
        <v>246.66995559940798</v>
      </c>
      <c r="AU77" s="98" t="s">
        <v>657</v>
      </c>
      <c r="AV77" s="98">
        <v>180.8913007728992</v>
      </c>
      <c r="AW77" s="98">
        <v>542.6739023186976</v>
      </c>
      <c r="AX77" s="98">
        <v>328.893274132544</v>
      </c>
      <c r="AY77" s="98">
        <v>937.3458312777503</v>
      </c>
      <c r="AZ77" s="98">
        <v>674.2312119717152</v>
      </c>
      <c r="BA77" s="100" t="s">
        <v>657</v>
      </c>
      <c r="BB77" s="100" t="s">
        <v>657</v>
      </c>
      <c r="BC77" s="100" t="s">
        <v>657</v>
      </c>
      <c r="BD77" s="158">
        <v>0.5935540771</v>
      </c>
      <c r="BE77" s="158">
        <v>0.9316360474</v>
      </c>
      <c r="BF77" s="162">
        <v>598</v>
      </c>
      <c r="BG77" s="162" t="s">
        <v>657</v>
      </c>
      <c r="BH77" s="162">
        <v>1592</v>
      </c>
      <c r="BI77" s="162">
        <v>501</v>
      </c>
      <c r="BJ77" s="162">
        <v>247</v>
      </c>
      <c r="BK77" s="97"/>
      <c r="BL77" s="97"/>
      <c r="BM77" s="97"/>
      <c r="BN77" s="97"/>
    </row>
    <row r="78" spans="1:66" ht="12.75">
      <c r="A78" s="79" t="s">
        <v>566</v>
      </c>
      <c r="B78" s="79" t="s">
        <v>289</v>
      </c>
      <c r="C78" s="79" t="s">
        <v>218</v>
      </c>
      <c r="D78" s="99">
        <v>12347</v>
      </c>
      <c r="E78" s="99">
        <v>2307</v>
      </c>
      <c r="F78" s="99" t="s">
        <v>396</v>
      </c>
      <c r="G78" s="99">
        <v>67</v>
      </c>
      <c r="H78" s="99">
        <v>43</v>
      </c>
      <c r="I78" s="99">
        <v>206</v>
      </c>
      <c r="J78" s="99">
        <v>1194</v>
      </c>
      <c r="K78" s="99">
        <v>10</v>
      </c>
      <c r="L78" s="99">
        <v>2486</v>
      </c>
      <c r="M78" s="99">
        <v>515</v>
      </c>
      <c r="N78" s="99">
        <v>402</v>
      </c>
      <c r="O78" s="99">
        <v>259</v>
      </c>
      <c r="P78" s="159">
        <v>259</v>
      </c>
      <c r="Q78" s="99">
        <v>23</v>
      </c>
      <c r="R78" s="99">
        <v>45</v>
      </c>
      <c r="S78" s="99">
        <v>44</v>
      </c>
      <c r="T78" s="99">
        <v>49</v>
      </c>
      <c r="U78" s="99" t="s">
        <v>657</v>
      </c>
      <c r="V78" s="99">
        <v>48</v>
      </c>
      <c r="W78" s="99">
        <v>94</v>
      </c>
      <c r="X78" s="99">
        <v>24</v>
      </c>
      <c r="Y78" s="99">
        <v>135</v>
      </c>
      <c r="Z78" s="99">
        <v>62</v>
      </c>
      <c r="AA78" s="99" t="s">
        <v>657</v>
      </c>
      <c r="AB78" s="99" t="s">
        <v>657</v>
      </c>
      <c r="AC78" s="99" t="s">
        <v>657</v>
      </c>
      <c r="AD78" s="98" t="s">
        <v>375</v>
      </c>
      <c r="AE78" s="100">
        <v>0.1868470073702114</v>
      </c>
      <c r="AF78" s="100">
        <v>0.09</v>
      </c>
      <c r="AG78" s="98">
        <v>542.6419373127076</v>
      </c>
      <c r="AH78" s="98">
        <v>348.2627358872601</v>
      </c>
      <c r="AI78" s="100">
        <v>0.017</v>
      </c>
      <c r="AJ78" s="100">
        <v>0.767352</v>
      </c>
      <c r="AK78" s="100">
        <v>0.434783</v>
      </c>
      <c r="AL78" s="100">
        <v>0.779555</v>
      </c>
      <c r="AM78" s="100">
        <v>0.380917</v>
      </c>
      <c r="AN78" s="100">
        <v>0.605422</v>
      </c>
      <c r="AO78" s="98">
        <v>2097.6755487162873</v>
      </c>
      <c r="AP78" s="158">
        <v>1.046120148</v>
      </c>
      <c r="AQ78" s="100">
        <v>0.0888030888030888</v>
      </c>
      <c r="AR78" s="100">
        <v>0.5111111111111111</v>
      </c>
      <c r="AS78" s="98">
        <v>356.36186927998705</v>
      </c>
      <c r="AT78" s="98">
        <v>396.85753624362195</v>
      </c>
      <c r="AU78" s="98" t="s">
        <v>657</v>
      </c>
      <c r="AV78" s="98">
        <v>388.758402850895</v>
      </c>
      <c r="AW78" s="98">
        <v>761.3185389163359</v>
      </c>
      <c r="AX78" s="98">
        <v>194.3792014254475</v>
      </c>
      <c r="AY78" s="98">
        <v>1093.3830080181422</v>
      </c>
      <c r="AZ78" s="98">
        <v>502.14627034907267</v>
      </c>
      <c r="BA78" s="100" t="s">
        <v>657</v>
      </c>
      <c r="BB78" s="100" t="s">
        <v>657</v>
      </c>
      <c r="BC78" s="100" t="s">
        <v>657</v>
      </c>
      <c r="BD78" s="158">
        <v>0.9225848389</v>
      </c>
      <c r="BE78" s="158">
        <v>1.181589508</v>
      </c>
      <c r="BF78" s="162">
        <v>1556</v>
      </c>
      <c r="BG78" s="162">
        <v>23</v>
      </c>
      <c r="BH78" s="162">
        <v>3189</v>
      </c>
      <c r="BI78" s="162">
        <v>1352</v>
      </c>
      <c r="BJ78" s="162">
        <v>664</v>
      </c>
      <c r="BK78" s="97"/>
      <c r="BL78" s="97"/>
      <c r="BM78" s="97"/>
      <c r="BN78" s="97"/>
    </row>
    <row r="79" spans="1:66" ht="12.75">
      <c r="A79" s="79" t="s">
        <v>577</v>
      </c>
      <c r="B79" s="79" t="s">
        <v>300</v>
      </c>
      <c r="C79" s="79" t="s">
        <v>218</v>
      </c>
      <c r="D79" s="99">
        <v>11243</v>
      </c>
      <c r="E79" s="99">
        <v>2573</v>
      </c>
      <c r="F79" s="99" t="s">
        <v>398</v>
      </c>
      <c r="G79" s="99">
        <v>52</v>
      </c>
      <c r="H79" s="99">
        <v>29</v>
      </c>
      <c r="I79" s="99">
        <v>258</v>
      </c>
      <c r="J79" s="99">
        <v>1230</v>
      </c>
      <c r="K79" s="99">
        <v>10</v>
      </c>
      <c r="L79" s="99">
        <v>2165</v>
      </c>
      <c r="M79" s="99">
        <v>595</v>
      </c>
      <c r="N79" s="99">
        <v>475</v>
      </c>
      <c r="O79" s="99">
        <v>226</v>
      </c>
      <c r="P79" s="159">
        <v>226</v>
      </c>
      <c r="Q79" s="99">
        <v>18</v>
      </c>
      <c r="R79" s="99">
        <v>45</v>
      </c>
      <c r="S79" s="99">
        <v>44</v>
      </c>
      <c r="T79" s="99">
        <v>42</v>
      </c>
      <c r="U79" s="99" t="s">
        <v>657</v>
      </c>
      <c r="V79" s="99">
        <v>35</v>
      </c>
      <c r="W79" s="99">
        <v>90</v>
      </c>
      <c r="X79" s="99">
        <v>29</v>
      </c>
      <c r="Y79" s="99">
        <v>153</v>
      </c>
      <c r="Z79" s="99">
        <v>75</v>
      </c>
      <c r="AA79" s="99" t="s">
        <v>657</v>
      </c>
      <c r="AB79" s="99" t="s">
        <v>657</v>
      </c>
      <c r="AC79" s="99" t="s">
        <v>657</v>
      </c>
      <c r="AD79" s="98" t="s">
        <v>375</v>
      </c>
      <c r="AE79" s="100">
        <v>0.2288535088499511</v>
      </c>
      <c r="AF79" s="100">
        <v>0.07</v>
      </c>
      <c r="AG79" s="98">
        <v>462.51000622609627</v>
      </c>
      <c r="AH79" s="98">
        <v>257.93827270301523</v>
      </c>
      <c r="AI79" s="100">
        <v>0.023</v>
      </c>
      <c r="AJ79" s="100">
        <v>0.746812</v>
      </c>
      <c r="AK79" s="100">
        <v>0.416667</v>
      </c>
      <c r="AL79" s="100">
        <v>0.819145</v>
      </c>
      <c r="AM79" s="100">
        <v>0.372574</v>
      </c>
      <c r="AN79" s="100">
        <v>0.600506</v>
      </c>
      <c r="AO79" s="98">
        <v>2010.1396424441875</v>
      </c>
      <c r="AP79" s="158">
        <v>0.9130149077999999</v>
      </c>
      <c r="AQ79" s="100">
        <v>0.07964601769911504</v>
      </c>
      <c r="AR79" s="100">
        <v>0.4</v>
      </c>
      <c r="AS79" s="98">
        <v>391.35462065285066</v>
      </c>
      <c r="AT79" s="98">
        <v>373.5657742595393</v>
      </c>
      <c r="AU79" s="98" t="s">
        <v>657</v>
      </c>
      <c r="AV79" s="98">
        <v>311.30481188294937</v>
      </c>
      <c r="AW79" s="98">
        <v>800.4980876990127</v>
      </c>
      <c r="AX79" s="98">
        <v>257.93827270301523</v>
      </c>
      <c r="AY79" s="98">
        <v>1360.8467490883215</v>
      </c>
      <c r="AZ79" s="98">
        <v>667.0817397491772</v>
      </c>
      <c r="BA79" s="100" t="s">
        <v>657</v>
      </c>
      <c r="BB79" s="100" t="s">
        <v>657</v>
      </c>
      <c r="BC79" s="100" t="s">
        <v>657</v>
      </c>
      <c r="BD79" s="158">
        <v>0.7978520202999999</v>
      </c>
      <c r="BE79" s="158">
        <v>1.040131149</v>
      </c>
      <c r="BF79" s="162">
        <v>1647</v>
      </c>
      <c r="BG79" s="162">
        <v>24</v>
      </c>
      <c r="BH79" s="162">
        <v>2643</v>
      </c>
      <c r="BI79" s="162">
        <v>1597</v>
      </c>
      <c r="BJ79" s="162">
        <v>791</v>
      </c>
      <c r="BK79" s="97"/>
      <c r="BL79" s="97"/>
      <c r="BM79" s="97"/>
      <c r="BN79" s="97"/>
    </row>
    <row r="80" spans="1:66" ht="12.75">
      <c r="A80" s="79" t="s">
        <v>568</v>
      </c>
      <c r="B80" s="79" t="s">
        <v>291</v>
      </c>
      <c r="C80" s="79" t="s">
        <v>218</v>
      </c>
      <c r="D80" s="99">
        <v>14253</v>
      </c>
      <c r="E80" s="99">
        <v>3023</v>
      </c>
      <c r="F80" s="99" t="s">
        <v>396</v>
      </c>
      <c r="G80" s="99">
        <v>65</v>
      </c>
      <c r="H80" s="99">
        <v>27</v>
      </c>
      <c r="I80" s="99">
        <v>310</v>
      </c>
      <c r="J80" s="99">
        <v>1403</v>
      </c>
      <c r="K80" s="99">
        <v>7</v>
      </c>
      <c r="L80" s="99">
        <v>2515</v>
      </c>
      <c r="M80" s="99">
        <v>634</v>
      </c>
      <c r="N80" s="99">
        <v>512</v>
      </c>
      <c r="O80" s="99">
        <v>494</v>
      </c>
      <c r="P80" s="159">
        <v>494</v>
      </c>
      <c r="Q80" s="99">
        <v>38</v>
      </c>
      <c r="R80" s="99">
        <v>84</v>
      </c>
      <c r="S80" s="99">
        <v>66</v>
      </c>
      <c r="T80" s="99">
        <v>74</v>
      </c>
      <c r="U80" s="99">
        <v>7</v>
      </c>
      <c r="V80" s="99">
        <v>134</v>
      </c>
      <c r="W80" s="99">
        <v>149</v>
      </c>
      <c r="X80" s="99">
        <v>39</v>
      </c>
      <c r="Y80" s="99">
        <v>229</v>
      </c>
      <c r="Z80" s="99">
        <v>74</v>
      </c>
      <c r="AA80" s="99" t="s">
        <v>657</v>
      </c>
      <c r="AB80" s="99" t="s">
        <v>657</v>
      </c>
      <c r="AC80" s="99" t="s">
        <v>657</v>
      </c>
      <c r="AD80" s="98" t="s">
        <v>375</v>
      </c>
      <c r="AE80" s="100">
        <v>0.21209569915105592</v>
      </c>
      <c r="AF80" s="100">
        <v>0.12</v>
      </c>
      <c r="AG80" s="98">
        <v>456.04434154213146</v>
      </c>
      <c r="AH80" s="98">
        <v>189.43380340980846</v>
      </c>
      <c r="AI80" s="100">
        <v>0.022000000000000002</v>
      </c>
      <c r="AJ80" s="100">
        <v>0.746674</v>
      </c>
      <c r="AK80" s="100">
        <v>0.4375</v>
      </c>
      <c r="AL80" s="100">
        <v>0.771709</v>
      </c>
      <c r="AM80" s="100">
        <v>0.372284</v>
      </c>
      <c r="AN80" s="100">
        <v>0.598131</v>
      </c>
      <c r="AO80" s="98">
        <v>3465.9369957201993</v>
      </c>
      <c r="AP80" s="158">
        <v>1.662381592</v>
      </c>
      <c r="AQ80" s="100">
        <v>0.07692307692307693</v>
      </c>
      <c r="AR80" s="100">
        <v>0.4523809523809524</v>
      </c>
      <c r="AS80" s="98">
        <v>463.06040833508735</v>
      </c>
      <c r="AT80" s="98">
        <v>519.1889426787343</v>
      </c>
      <c r="AU80" s="98">
        <v>49.11246755069108</v>
      </c>
      <c r="AV80" s="98">
        <v>940.1529502560865</v>
      </c>
      <c r="AW80" s="98">
        <v>1045.3939521504244</v>
      </c>
      <c r="AX80" s="98">
        <v>273.6266049252789</v>
      </c>
      <c r="AY80" s="98">
        <v>1606.6792955868939</v>
      </c>
      <c r="AZ80" s="98">
        <v>519.1889426787343</v>
      </c>
      <c r="BA80" s="100" t="s">
        <v>657</v>
      </c>
      <c r="BB80" s="100" t="s">
        <v>657</v>
      </c>
      <c r="BC80" s="100" t="s">
        <v>657</v>
      </c>
      <c r="BD80" s="158">
        <v>1.5189981080000001</v>
      </c>
      <c r="BE80" s="158">
        <v>1.8156515500000001</v>
      </c>
      <c r="BF80" s="162">
        <v>1879</v>
      </c>
      <c r="BG80" s="162">
        <v>16</v>
      </c>
      <c r="BH80" s="162">
        <v>3259</v>
      </c>
      <c r="BI80" s="162">
        <v>1703</v>
      </c>
      <c r="BJ80" s="162">
        <v>856</v>
      </c>
      <c r="BK80" s="97"/>
      <c r="BL80" s="97"/>
      <c r="BM80" s="97"/>
      <c r="BN80" s="97"/>
    </row>
    <row r="81" spans="1:66" ht="12.75">
      <c r="A81" s="79" t="s">
        <v>619</v>
      </c>
      <c r="B81" s="79" t="s">
        <v>343</v>
      </c>
      <c r="C81" s="79" t="s">
        <v>218</v>
      </c>
      <c r="D81" s="99">
        <v>3904</v>
      </c>
      <c r="E81" s="99">
        <v>549</v>
      </c>
      <c r="F81" s="99" t="s">
        <v>397</v>
      </c>
      <c r="G81" s="99">
        <v>8</v>
      </c>
      <c r="H81" s="99" t="s">
        <v>657</v>
      </c>
      <c r="I81" s="99">
        <v>81</v>
      </c>
      <c r="J81" s="99">
        <v>237</v>
      </c>
      <c r="K81" s="99">
        <v>14</v>
      </c>
      <c r="L81" s="99">
        <v>766</v>
      </c>
      <c r="M81" s="99">
        <v>221</v>
      </c>
      <c r="N81" s="99">
        <v>109</v>
      </c>
      <c r="O81" s="99">
        <v>53</v>
      </c>
      <c r="P81" s="159">
        <v>53</v>
      </c>
      <c r="Q81" s="99">
        <v>8</v>
      </c>
      <c r="R81" s="99">
        <v>17</v>
      </c>
      <c r="S81" s="99">
        <v>10</v>
      </c>
      <c r="T81" s="99">
        <v>10</v>
      </c>
      <c r="U81" s="99" t="s">
        <v>657</v>
      </c>
      <c r="V81" s="99">
        <v>8</v>
      </c>
      <c r="W81" s="99">
        <v>19</v>
      </c>
      <c r="X81" s="99">
        <v>17</v>
      </c>
      <c r="Y81" s="99">
        <v>45</v>
      </c>
      <c r="Z81" s="99">
        <v>10</v>
      </c>
      <c r="AA81" s="99" t="s">
        <v>657</v>
      </c>
      <c r="AB81" s="99" t="s">
        <v>657</v>
      </c>
      <c r="AC81" s="99" t="s">
        <v>657</v>
      </c>
      <c r="AD81" s="98" t="s">
        <v>375</v>
      </c>
      <c r="AE81" s="100">
        <v>0.140625</v>
      </c>
      <c r="AF81" s="100">
        <v>0.12</v>
      </c>
      <c r="AG81" s="98">
        <v>204.91803278688525</v>
      </c>
      <c r="AH81" s="98" t="s">
        <v>657</v>
      </c>
      <c r="AI81" s="100">
        <v>0.021</v>
      </c>
      <c r="AJ81" s="100">
        <v>0.524336</v>
      </c>
      <c r="AK81" s="100">
        <v>0.4</v>
      </c>
      <c r="AL81" s="100">
        <v>0.792141</v>
      </c>
      <c r="AM81" s="100">
        <v>0.523697</v>
      </c>
      <c r="AN81" s="100">
        <v>0.547739</v>
      </c>
      <c r="AO81" s="98">
        <v>1357.5819672131147</v>
      </c>
      <c r="AP81" s="158">
        <v>0.7822616576999999</v>
      </c>
      <c r="AQ81" s="100">
        <v>0.1509433962264151</v>
      </c>
      <c r="AR81" s="100">
        <v>0.47058823529411764</v>
      </c>
      <c r="AS81" s="98">
        <v>256.1475409836066</v>
      </c>
      <c r="AT81" s="98">
        <v>256.1475409836066</v>
      </c>
      <c r="AU81" s="98" t="s">
        <v>657</v>
      </c>
      <c r="AV81" s="98">
        <v>204.91803278688525</v>
      </c>
      <c r="AW81" s="98">
        <v>486.6803278688525</v>
      </c>
      <c r="AX81" s="98">
        <v>435.45081967213116</v>
      </c>
      <c r="AY81" s="98">
        <v>1152.6639344262296</v>
      </c>
      <c r="AZ81" s="98">
        <v>256.1475409836066</v>
      </c>
      <c r="BA81" s="100" t="s">
        <v>657</v>
      </c>
      <c r="BB81" s="100" t="s">
        <v>657</v>
      </c>
      <c r="BC81" s="100" t="s">
        <v>657</v>
      </c>
      <c r="BD81" s="158">
        <v>0.5859676361</v>
      </c>
      <c r="BE81" s="158">
        <v>1.023217468</v>
      </c>
      <c r="BF81" s="162">
        <v>452</v>
      </c>
      <c r="BG81" s="162">
        <v>35</v>
      </c>
      <c r="BH81" s="162">
        <v>967</v>
      </c>
      <c r="BI81" s="162">
        <v>422</v>
      </c>
      <c r="BJ81" s="162">
        <v>199</v>
      </c>
      <c r="BK81" s="97"/>
      <c r="BL81" s="97"/>
      <c r="BM81" s="97"/>
      <c r="BN81" s="97"/>
    </row>
    <row r="82" spans="1:66" ht="12.75">
      <c r="A82" s="79" t="s">
        <v>582</v>
      </c>
      <c r="B82" s="79" t="s">
        <v>306</v>
      </c>
      <c r="C82" s="79" t="s">
        <v>218</v>
      </c>
      <c r="D82" s="99">
        <v>7436</v>
      </c>
      <c r="E82" s="99">
        <v>1262</v>
      </c>
      <c r="F82" s="99" t="s">
        <v>398</v>
      </c>
      <c r="G82" s="99">
        <v>19</v>
      </c>
      <c r="H82" s="99">
        <v>13</v>
      </c>
      <c r="I82" s="99">
        <v>107</v>
      </c>
      <c r="J82" s="99">
        <v>769</v>
      </c>
      <c r="K82" s="99">
        <v>795</v>
      </c>
      <c r="L82" s="99">
        <v>1535</v>
      </c>
      <c r="M82" s="99">
        <v>516</v>
      </c>
      <c r="N82" s="99">
        <v>232</v>
      </c>
      <c r="O82" s="99">
        <v>99</v>
      </c>
      <c r="P82" s="159">
        <v>99</v>
      </c>
      <c r="Q82" s="99">
        <v>18</v>
      </c>
      <c r="R82" s="99">
        <v>36</v>
      </c>
      <c r="S82" s="99">
        <v>22</v>
      </c>
      <c r="T82" s="99">
        <v>8</v>
      </c>
      <c r="U82" s="99" t="s">
        <v>657</v>
      </c>
      <c r="V82" s="99">
        <v>18</v>
      </c>
      <c r="W82" s="99">
        <v>33</v>
      </c>
      <c r="X82" s="99">
        <v>25</v>
      </c>
      <c r="Y82" s="99">
        <v>65</v>
      </c>
      <c r="Z82" s="99">
        <v>33</v>
      </c>
      <c r="AA82" s="99" t="s">
        <v>657</v>
      </c>
      <c r="AB82" s="99" t="s">
        <v>657</v>
      </c>
      <c r="AC82" s="99" t="s">
        <v>657</v>
      </c>
      <c r="AD82" s="98" t="s">
        <v>375</v>
      </c>
      <c r="AE82" s="100">
        <v>0.16971490048413126</v>
      </c>
      <c r="AF82" s="100">
        <v>0.07</v>
      </c>
      <c r="AG82" s="98">
        <v>255.51371705217858</v>
      </c>
      <c r="AH82" s="98">
        <v>174.82517482517483</v>
      </c>
      <c r="AI82" s="100">
        <v>0.013999999999999999</v>
      </c>
      <c r="AJ82" s="100">
        <v>0.755403</v>
      </c>
      <c r="AK82" s="100">
        <v>0.806288</v>
      </c>
      <c r="AL82" s="100">
        <v>0.780773</v>
      </c>
      <c r="AM82" s="100">
        <v>0.604924</v>
      </c>
      <c r="AN82" s="100">
        <v>0.615385</v>
      </c>
      <c r="AO82" s="98">
        <v>1331.3609467455622</v>
      </c>
      <c r="AP82" s="158">
        <v>0.6690193939</v>
      </c>
      <c r="AQ82" s="100">
        <v>0.18181818181818182</v>
      </c>
      <c r="AR82" s="100">
        <v>0.5</v>
      </c>
      <c r="AS82" s="98">
        <v>295.85798816568047</v>
      </c>
      <c r="AT82" s="98">
        <v>107.58472296933836</v>
      </c>
      <c r="AU82" s="98" t="s">
        <v>657</v>
      </c>
      <c r="AV82" s="98">
        <v>242.0656266810113</v>
      </c>
      <c r="AW82" s="98">
        <v>443.7869822485207</v>
      </c>
      <c r="AX82" s="98">
        <v>336.20225927918233</v>
      </c>
      <c r="AY82" s="98">
        <v>874.1258741258741</v>
      </c>
      <c r="AZ82" s="98">
        <v>443.7869822485207</v>
      </c>
      <c r="BA82" s="100" t="s">
        <v>657</v>
      </c>
      <c r="BB82" s="100" t="s">
        <v>657</v>
      </c>
      <c r="BC82" s="100" t="s">
        <v>657</v>
      </c>
      <c r="BD82" s="158">
        <v>0.5437459183</v>
      </c>
      <c r="BE82" s="158">
        <v>0.8145070647999999</v>
      </c>
      <c r="BF82" s="162">
        <v>1018</v>
      </c>
      <c r="BG82" s="162">
        <v>986</v>
      </c>
      <c r="BH82" s="162">
        <v>1966</v>
      </c>
      <c r="BI82" s="162">
        <v>853</v>
      </c>
      <c r="BJ82" s="162">
        <v>377</v>
      </c>
      <c r="BK82" s="97"/>
      <c r="BL82" s="97"/>
      <c r="BM82" s="97"/>
      <c r="BN82" s="97"/>
    </row>
    <row r="83" spans="1:66" ht="12.75">
      <c r="A83" s="79" t="s">
        <v>625</v>
      </c>
      <c r="B83" s="79" t="s">
        <v>349</v>
      </c>
      <c r="C83" s="79" t="s">
        <v>218</v>
      </c>
      <c r="D83" s="99">
        <v>10601</v>
      </c>
      <c r="E83" s="99">
        <v>2066</v>
      </c>
      <c r="F83" s="99" t="s">
        <v>396</v>
      </c>
      <c r="G83" s="99">
        <v>45</v>
      </c>
      <c r="H83" s="99">
        <v>21</v>
      </c>
      <c r="I83" s="99">
        <v>177</v>
      </c>
      <c r="J83" s="99">
        <v>1139</v>
      </c>
      <c r="K83" s="99">
        <v>1096</v>
      </c>
      <c r="L83" s="99">
        <v>2111</v>
      </c>
      <c r="M83" s="99">
        <v>804</v>
      </c>
      <c r="N83" s="99">
        <v>395</v>
      </c>
      <c r="O83" s="99">
        <v>237</v>
      </c>
      <c r="P83" s="159">
        <v>237</v>
      </c>
      <c r="Q83" s="99">
        <v>21</v>
      </c>
      <c r="R83" s="99">
        <v>53</v>
      </c>
      <c r="S83" s="99">
        <v>65</v>
      </c>
      <c r="T83" s="99">
        <v>16</v>
      </c>
      <c r="U83" s="99">
        <v>12</v>
      </c>
      <c r="V83" s="99">
        <v>32</v>
      </c>
      <c r="W83" s="99">
        <v>52</v>
      </c>
      <c r="X83" s="99">
        <v>44</v>
      </c>
      <c r="Y83" s="99">
        <v>145</v>
      </c>
      <c r="Z83" s="99">
        <v>63</v>
      </c>
      <c r="AA83" s="99" t="s">
        <v>657</v>
      </c>
      <c r="AB83" s="99" t="s">
        <v>657</v>
      </c>
      <c r="AC83" s="99" t="s">
        <v>657</v>
      </c>
      <c r="AD83" s="98" t="s">
        <v>375</v>
      </c>
      <c r="AE83" s="100">
        <v>0.1948872747853976</v>
      </c>
      <c r="AF83" s="100">
        <v>0.09</v>
      </c>
      <c r="AG83" s="98">
        <v>424.4882558249222</v>
      </c>
      <c r="AH83" s="98">
        <v>198.0945193849637</v>
      </c>
      <c r="AI83" s="100">
        <v>0.017</v>
      </c>
      <c r="AJ83" s="100">
        <v>0.757314</v>
      </c>
      <c r="AK83" s="100">
        <v>0.764829</v>
      </c>
      <c r="AL83" s="100">
        <v>0.795104</v>
      </c>
      <c r="AM83" s="100">
        <v>0.580925</v>
      </c>
      <c r="AN83" s="100">
        <v>0.627981</v>
      </c>
      <c r="AO83" s="98">
        <v>2235.63814734459</v>
      </c>
      <c r="AP83" s="158">
        <v>1.0877341459999998</v>
      </c>
      <c r="AQ83" s="100">
        <v>0.08860759493670886</v>
      </c>
      <c r="AR83" s="100">
        <v>0.39622641509433965</v>
      </c>
      <c r="AS83" s="98">
        <v>613.149702858221</v>
      </c>
      <c r="AT83" s="98">
        <v>150.92915762663898</v>
      </c>
      <c r="AU83" s="98">
        <v>113.19686821997925</v>
      </c>
      <c r="AV83" s="98">
        <v>301.85831525327796</v>
      </c>
      <c r="AW83" s="98">
        <v>490.51976228657674</v>
      </c>
      <c r="AX83" s="98">
        <v>415.0551834732572</v>
      </c>
      <c r="AY83" s="98">
        <v>1367.7954909914158</v>
      </c>
      <c r="AZ83" s="98">
        <v>594.283558154891</v>
      </c>
      <c r="BA83" s="100" t="s">
        <v>657</v>
      </c>
      <c r="BB83" s="100" t="s">
        <v>657</v>
      </c>
      <c r="BC83" s="100" t="s">
        <v>657</v>
      </c>
      <c r="BD83" s="158">
        <v>0.9536479950000001</v>
      </c>
      <c r="BE83" s="158">
        <v>1.235393295</v>
      </c>
      <c r="BF83" s="162">
        <v>1504</v>
      </c>
      <c r="BG83" s="162">
        <v>1433</v>
      </c>
      <c r="BH83" s="162">
        <v>2655</v>
      </c>
      <c r="BI83" s="162">
        <v>1384</v>
      </c>
      <c r="BJ83" s="162">
        <v>629</v>
      </c>
      <c r="BK83" s="97"/>
      <c r="BL83" s="97"/>
      <c r="BM83" s="97"/>
      <c r="BN83" s="97"/>
    </row>
    <row r="84" spans="1:66" ht="12.75">
      <c r="A84" s="79" t="s">
        <v>647</v>
      </c>
      <c r="B84" s="79" t="s">
        <v>371</v>
      </c>
      <c r="C84" s="79" t="s">
        <v>218</v>
      </c>
      <c r="D84" s="99">
        <v>1369</v>
      </c>
      <c r="E84" s="99">
        <v>465</v>
      </c>
      <c r="F84" s="99" t="s">
        <v>397</v>
      </c>
      <c r="G84" s="99">
        <v>9</v>
      </c>
      <c r="H84" s="99">
        <v>7</v>
      </c>
      <c r="I84" s="99">
        <v>44</v>
      </c>
      <c r="J84" s="99">
        <v>168</v>
      </c>
      <c r="K84" s="99" t="s">
        <v>657</v>
      </c>
      <c r="L84" s="99">
        <v>241</v>
      </c>
      <c r="M84" s="99">
        <v>90</v>
      </c>
      <c r="N84" s="99">
        <v>78</v>
      </c>
      <c r="O84" s="99">
        <v>24</v>
      </c>
      <c r="P84" s="159">
        <v>24</v>
      </c>
      <c r="Q84" s="99" t="s">
        <v>657</v>
      </c>
      <c r="R84" s="99">
        <v>9</v>
      </c>
      <c r="S84" s="99" t="s">
        <v>657</v>
      </c>
      <c r="T84" s="99" t="s">
        <v>657</v>
      </c>
      <c r="U84" s="99" t="s">
        <v>657</v>
      </c>
      <c r="V84" s="99">
        <v>6</v>
      </c>
      <c r="W84" s="99">
        <v>24</v>
      </c>
      <c r="X84" s="99">
        <v>10</v>
      </c>
      <c r="Y84" s="99">
        <v>21</v>
      </c>
      <c r="Z84" s="99">
        <v>19</v>
      </c>
      <c r="AA84" s="99" t="s">
        <v>657</v>
      </c>
      <c r="AB84" s="99" t="s">
        <v>657</v>
      </c>
      <c r="AC84" s="99" t="s">
        <v>657</v>
      </c>
      <c r="AD84" s="98" t="s">
        <v>375</v>
      </c>
      <c r="AE84" s="100">
        <v>0.33966398831263694</v>
      </c>
      <c r="AF84" s="100">
        <v>0.13</v>
      </c>
      <c r="AG84" s="98">
        <v>657.4141709276845</v>
      </c>
      <c r="AH84" s="98">
        <v>511.3221329437546</v>
      </c>
      <c r="AI84" s="100">
        <v>0.032</v>
      </c>
      <c r="AJ84" s="100">
        <v>0.756757</v>
      </c>
      <c r="AK84" s="100" t="s">
        <v>657</v>
      </c>
      <c r="AL84" s="100">
        <v>0.85461</v>
      </c>
      <c r="AM84" s="100">
        <v>0.375</v>
      </c>
      <c r="AN84" s="100">
        <v>0.59542</v>
      </c>
      <c r="AO84" s="98">
        <v>1753.1044558071585</v>
      </c>
      <c r="AP84" s="158">
        <v>0.6739529419</v>
      </c>
      <c r="AQ84" s="100" t="s">
        <v>657</v>
      </c>
      <c r="AR84" s="100" t="s">
        <v>657</v>
      </c>
      <c r="AS84" s="98" t="s">
        <v>657</v>
      </c>
      <c r="AT84" s="98" t="s">
        <v>657</v>
      </c>
      <c r="AU84" s="98" t="s">
        <v>657</v>
      </c>
      <c r="AV84" s="98">
        <v>438.2761139517896</v>
      </c>
      <c r="AW84" s="98">
        <v>1753.1044558071585</v>
      </c>
      <c r="AX84" s="98">
        <v>730.4601899196493</v>
      </c>
      <c r="AY84" s="98">
        <v>1533.9663988312636</v>
      </c>
      <c r="AZ84" s="98">
        <v>1387.8743608473337</v>
      </c>
      <c r="BA84" s="100" t="s">
        <v>657</v>
      </c>
      <c r="BB84" s="100" t="s">
        <v>657</v>
      </c>
      <c r="BC84" s="100" t="s">
        <v>657</v>
      </c>
      <c r="BD84" s="158">
        <v>0.43181438450000004</v>
      </c>
      <c r="BE84" s="158">
        <v>1.002788544</v>
      </c>
      <c r="BF84" s="162">
        <v>222</v>
      </c>
      <c r="BG84" s="162" t="s">
        <v>657</v>
      </c>
      <c r="BH84" s="162">
        <v>282</v>
      </c>
      <c r="BI84" s="162">
        <v>240</v>
      </c>
      <c r="BJ84" s="162">
        <v>131</v>
      </c>
      <c r="BK84" s="97"/>
      <c r="BL84" s="97"/>
      <c r="BM84" s="97"/>
      <c r="BN84" s="97"/>
    </row>
    <row r="85" spans="1:66" ht="12.75">
      <c r="A85" s="79" t="s">
        <v>559</v>
      </c>
      <c r="B85" s="79" t="s">
        <v>282</v>
      </c>
      <c r="C85" s="79" t="s">
        <v>218</v>
      </c>
      <c r="D85" s="99">
        <v>6556</v>
      </c>
      <c r="E85" s="99">
        <v>1315</v>
      </c>
      <c r="F85" s="99" t="s">
        <v>396</v>
      </c>
      <c r="G85" s="99">
        <v>37</v>
      </c>
      <c r="H85" s="99">
        <v>24</v>
      </c>
      <c r="I85" s="99">
        <v>141</v>
      </c>
      <c r="J85" s="99">
        <v>613</v>
      </c>
      <c r="K85" s="99">
        <v>11</v>
      </c>
      <c r="L85" s="99">
        <v>1206</v>
      </c>
      <c r="M85" s="99">
        <v>426</v>
      </c>
      <c r="N85" s="99">
        <v>210</v>
      </c>
      <c r="O85" s="99">
        <v>135</v>
      </c>
      <c r="P85" s="159">
        <v>135</v>
      </c>
      <c r="Q85" s="99">
        <v>21</v>
      </c>
      <c r="R85" s="99">
        <v>37</v>
      </c>
      <c r="S85" s="99">
        <v>22</v>
      </c>
      <c r="T85" s="99">
        <v>15</v>
      </c>
      <c r="U85" s="99" t="s">
        <v>657</v>
      </c>
      <c r="V85" s="99">
        <v>30</v>
      </c>
      <c r="W85" s="99">
        <v>55</v>
      </c>
      <c r="X85" s="99">
        <v>18</v>
      </c>
      <c r="Y85" s="99">
        <v>86</v>
      </c>
      <c r="Z85" s="99">
        <v>32</v>
      </c>
      <c r="AA85" s="99" t="s">
        <v>657</v>
      </c>
      <c r="AB85" s="99" t="s">
        <v>657</v>
      </c>
      <c r="AC85" s="99" t="s">
        <v>657</v>
      </c>
      <c r="AD85" s="98" t="s">
        <v>375</v>
      </c>
      <c r="AE85" s="100">
        <v>0.20057962172056132</v>
      </c>
      <c r="AF85" s="100">
        <v>0.1</v>
      </c>
      <c r="AG85" s="98">
        <v>564.3685173886516</v>
      </c>
      <c r="AH85" s="98">
        <v>366.07687614399026</v>
      </c>
      <c r="AI85" s="100">
        <v>0.022000000000000002</v>
      </c>
      <c r="AJ85" s="100">
        <v>0.74303</v>
      </c>
      <c r="AK85" s="100">
        <v>0.52381</v>
      </c>
      <c r="AL85" s="100">
        <v>0.789784</v>
      </c>
      <c r="AM85" s="100">
        <v>0.542675</v>
      </c>
      <c r="AN85" s="100">
        <v>0.591549</v>
      </c>
      <c r="AO85" s="98">
        <v>2059.182428309945</v>
      </c>
      <c r="AP85" s="158">
        <v>1.0160808559999999</v>
      </c>
      <c r="AQ85" s="100">
        <v>0.15555555555555556</v>
      </c>
      <c r="AR85" s="100">
        <v>0.5675675675675675</v>
      </c>
      <c r="AS85" s="98">
        <v>335.5704697986577</v>
      </c>
      <c r="AT85" s="98">
        <v>228.7980475899939</v>
      </c>
      <c r="AU85" s="98" t="s">
        <v>657</v>
      </c>
      <c r="AV85" s="98">
        <v>457.5960951799878</v>
      </c>
      <c r="AW85" s="98">
        <v>838.9261744966443</v>
      </c>
      <c r="AX85" s="98">
        <v>274.55765710799267</v>
      </c>
      <c r="AY85" s="98">
        <v>1311.7754728492982</v>
      </c>
      <c r="AZ85" s="98">
        <v>488.1025015253203</v>
      </c>
      <c r="BA85" s="100" t="s">
        <v>657</v>
      </c>
      <c r="BB85" s="100" t="s">
        <v>657</v>
      </c>
      <c r="BC85" s="100" t="s">
        <v>657</v>
      </c>
      <c r="BD85" s="158">
        <v>0.851917572</v>
      </c>
      <c r="BE85" s="158">
        <v>1.202654648</v>
      </c>
      <c r="BF85" s="162">
        <v>825</v>
      </c>
      <c r="BG85" s="162">
        <v>21</v>
      </c>
      <c r="BH85" s="162">
        <v>1527</v>
      </c>
      <c r="BI85" s="162">
        <v>785</v>
      </c>
      <c r="BJ85" s="162">
        <v>355</v>
      </c>
      <c r="BK85" s="97"/>
      <c r="BL85" s="97"/>
      <c r="BM85" s="97"/>
      <c r="BN85" s="97"/>
    </row>
    <row r="86" spans="1:66" ht="12.75">
      <c r="A86" s="79" t="s">
        <v>648</v>
      </c>
      <c r="B86" s="79" t="s">
        <v>372</v>
      </c>
      <c r="C86" s="79" t="s">
        <v>218</v>
      </c>
      <c r="D86" s="99">
        <v>5619</v>
      </c>
      <c r="E86" s="99">
        <v>893</v>
      </c>
      <c r="F86" s="99" t="s">
        <v>397</v>
      </c>
      <c r="G86" s="99">
        <v>22</v>
      </c>
      <c r="H86" s="99">
        <v>16</v>
      </c>
      <c r="I86" s="99">
        <v>98</v>
      </c>
      <c r="J86" s="99">
        <v>448</v>
      </c>
      <c r="K86" s="99">
        <v>13</v>
      </c>
      <c r="L86" s="99">
        <v>1082</v>
      </c>
      <c r="M86" s="99">
        <v>218</v>
      </c>
      <c r="N86" s="99">
        <v>171</v>
      </c>
      <c r="O86" s="99">
        <v>110</v>
      </c>
      <c r="P86" s="159">
        <v>110</v>
      </c>
      <c r="Q86" s="99" t="s">
        <v>657</v>
      </c>
      <c r="R86" s="99">
        <v>15</v>
      </c>
      <c r="S86" s="99">
        <v>29</v>
      </c>
      <c r="T86" s="99">
        <v>15</v>
      </c>
      <c r="U86" s="99" t="s">
        <v>657</v>
      </c>
      <c r="V86" s="99">
        <v>19</v>
      </c>
      <c r="W86" s="99">
        <v>28</v>
      </c>
      <c r="X86" s="99">
        <v>11</v>
      </c>
      <c r="Y86" s="99">
        <v>56</v>
      </c>
      <c r="Z86" s="99">
        <v>47</v>
      </c>
      <c r="AA86" s="99" t="s">
        <v>657</v>
      </c>
      <c r="AB86" s="99" t="s">
        <v>657</v>
      </c>
      <c r="AC86" s="99" t="s">
        <v>657</v>
      </c>
      <c r="AD86" s="98" t="s">
        <v>375</v>
      </c>
      <c r="AE86" s="100">
        <v>0.1589250756362342</v>
      </c>
      <c r="AF86" s="100">
        <v>0.14</v>
      </c>
      <c r="AG86" s="98">
        <v>391.52874176899803</v>
      </c>
      <c r="AH86" s="98">
        <v>284.7481758319986</v>
      </c>
      <c r="AI86" s="100">
        <v>0.017</v>
      </c>
      <c r="AJ86" s="100">
        <v>0.7168</v>
      </c>
      <c r="AK86" s="100">
        <v>0.419355</v>
      </c>
      <c r="AL86" s="100">
        <v>0.772305</v>
      </c>
      <c r="AM86" s="100">
        <v>0.382456</v>
      </c>
      <c r="AN86" s="100">
        <v>0.602113</v>
      </c>
      <c r="AO86" s="98">
        <v>1957.6437088449902</v>
      </c>
      <c r="AP86" s="158">
        <v>1.094528427</v>
      </c>
      <c r="AQ86" s="100" t="s">
        <v>657</v>
      </c>
      <c r="AR86" s="100" t="s">
        <v>657</v>
      </c>
      <c r="AS86" s="98">
        <v>516.1060686954975</v>
      </c>
      <c r="AT86" s="98">
        <v>266.95141484249865</v>
      </c>
      <c r="AU86" s="98" t="s">
        <v>657</v>
      </c>
      <c r="AV86" s="98">
        <v>338.1384588004983</v>
      </c>
      <c r="AW86" s="98">
        <v>498.3093077059975</v>
      </c>
      <c r="AX86" s="98">
        <v>195.76437088449902</v>
      </c>
      <c r="AY86" s="98">
        <v>996.618615411995</v>
      </c>
      <c r="AZ86" s="98">
        <v>836.4477665064958</v>
      </c>
      <c r="BA86" s="100" t="s">
        <v>657</v>
      </c>
      <c r="BB86" s="100" t="s">
        <v>657</v>
      </c>
      <c r="BC86" s="100" t="s">
        <v>657</v>
      </c>
      <c r="BD86" s="158">
        <v>0.8995692444</v>
      </c>
      <c r="BE86" s="158">
        <v>1.3192027279999998</v>
      </c>
      <c r="BF86" s="162">
        <v>625</v>
      </c>
      <c r="BG86" s="162">
        <v>31</v>
      </c>
      <c r="BH86" s="162">
        <v>1401</v>
      </c>
      <c r="BI86" s="162">
        <v>570</v>
      </c>
      <c r="BJ86" s="162">
        <v>284</v>
      </c>
      <c r="BK86" s="97"/>
      <c r="BL86" s="97"/>
      <c r="BM86" s="97"/>
      <c r="BN86" s="97"/>
    </row>
    <row r="87" spans="1:66" ht="12.75">
      <c r="A87" s="79" t="s">
        <v>563</v>
      </c>
      <c r="B87" s="79" t="s">
        <v>286</v>
      </c>
      <c r="C87" s="79" t="s">
        <v>218</v>
      </c>
      <c r="D87" s="99">
        <v>6048</v>
      </c>
      <c r="E87" s="99">
        <v>1562</v>
      </c>
      <c r="F87" s="99" t="s">
        <v>396</v>
      </c>
      <c r="G87" s="99">
        <v>38</v>
      </c>
      <c r="H87" s="99">
        <v>25</v>
      </c>
      <c r="I87" s="99">
        <v>130</v>
      </c>
      <c r="J87" s="99">
        <v>632</v>
      </c>
      <c r="K87" s="99">
        <v>16</v>
      </c>
      <c r="L87" s="99">
        <v>1040</v>
      </c>
      <c r="M87" s="99">
        <v>499</v>
      </c>
      <c r="N87" s="99">
        <v>236</v>
      </c>
      <c r="O87" s="99">
        <v>129</v>
      </c>
      <c r="P87" s="159">
        <v>129</v>
      </c>
      <c r="Q87" s="99">
        <v>20</v>
      </c>
      <c r="R87" s="99">
        <v>37</v>
      </c>
      <c r="S87" s="99">
        <v>23</v>
      </c>
      <c r="T87" s="99">
        <v>22</v>
      </c>
      <c r="U87" s="99" t="s">
        <v>657</v>
      </c>
      <c r="V87" s="99">
        <v>23</v>
      </c>
      <c r="W87" s="99">
        <v>41</v>
      </c>
      <c r="X87" s="99">
        <v>22</v>
      </c>
      <c r="Y87" s="99">
        <v>85</v>
      </c>
      <c r="Z87" s="99">
        <v>35</v>
      </c>
      <c r="AA87" s="99" t="s">
        <v>657</v>
      </c>
      <c r="AB87" s="99" t="s">
        <v>657</v>
      </c>
      <c r="AC87" s="99" t="s">
        <v>657</v>
      </c>
      <c r="AD87" s="98" t="s">
        <v>375</v>
      </c>
      <c r="AE87" s="100">
        <v>0.25826719576719576</v>
      </c>
      <c r="AF87" s="100">
        <v>0.09</v>
      </c>
      <c r="AG87" s="98">
        <v>628.3068783068783</v>
      </c>
      <c r="AH87" s="98">
        <v>413.35978835978835</v>
      </c>
      <c r="AI87" s="100">
        <v>0.021</v>
      </c>
      <c r="AJ87" s="100">
        <v>0.674493</v>
      </c>
      <c r="AK87" s="100">
        <v>0.470588</v>
      </c>
      <c r="AL87" s="100">
        <v>0.741269</v>
      </c>
      <c r="AM87" s="100">
        <v>0.554444</v>
      </c>
      <c r="AN87" s="100">
        <v>0.59</v>
      </c>
      <c r="AO87" s="98">
        <v>2132.936507936508</v>
      </c>
      <c r="AP87" s="158">
        <v>0.9097754669</v>
      </c>
      <c r="AQ87" s="100">
        <v>0.15503875968992248</v>
      </c>
      <c r="AR87" s="100">
        <v>0.5405405405405406</v>
      </c>
      <c r="AS87" s="98">
        <v>380.29100529100526</v>
      </c>
      <c r="AT87" s="98">
        <v>363.7566137566138</v>
      </c>
      <c r="AU87" s="98" t="s">
        <v>657</v>
      </c>
      <c r="AV87" s="98">
        <v>380.29100529100526</v>
      </c>
      <c r="AW87" s="98">
        <v>677.9100529100529</v>
      </c>
      <c r="AX87" s="98">
        <v>363.7566137566138</v>
      </c>
      <c r="AY87" s="98">
        <v>1405.4232804232804</v>
      </c>
      <c r="AZ87" s="98">
        <v>578.7037037037037</v>
      </c>
      <c r="BA87" s="100" t="s">
        <v>657</v>
      </c>
      <c r="BB87" s="100" t="s">
        <v>657</v>
      </c>
      <c r="BC87" s="100" t="s">
        <v>657</v>
      </c>
      <c r="BD87" s="158">
        <v>0.7595626068</v>
      </c>
      <c r="BE87" s="158">
        <v>1.081000824</v>
      </c>
      <c r="BF87" s="162">
        <v>937</v>
      </c>
      <c r="BG87" s="162">
        <v>34</v>
      </c>
      <c r="BH87" s="162">
        <v>1403</v>
      </c>
      <c r="BI87" s="162">
        <v>900</v>
      </c>
      <c r="BJ87" s="162">
        <v>400</v>
      </c>
      <c r="BK87" s="97"/>
      <c r="BL87" s="97"/>
      <c r="BM87" s="97"/>
      <c r="BN87" s="97"/>
    </row>
    <row r="88" spans="1:66" ht="12.75">
      <c r="A88" s="79" t="s">
        <v>595</v>
      </c>
      <c r="B88" s="79" t="s">
        <v>319</v>
      </c>
      <c r="C88" s="79" t="s">
        <v>218</v>
      </c>
      <c r="D88" s="99">
        <v>11000</v>
      </c>
      <c r="E88" s="99">
        <v>1883</v>
      </c>
      <c r="F88" s="99" t="s">
        <v>397</v>
      </c>
      <c r="G88" s="99">
        <v>41</v>
      </c>
      <c r="H88" s="99">
        <v>32</v>
      </c>
      <c r="I88" s="99">
        <v>227</v>
      </c>
      <c r="J88" s="99">
        <v>835</v>
      </c>
      <c r="K88" s="99">
        <v>10</v>
      </c>
      <c r="L88" s="99">
        <v>2122</v>
      </c>
      <c r="M88" s="99">
        <v>352</v>
      </c>
      <c r="N88" s="99">
        <v>295</v>
      </c>
      <c r="O88" s="99">
        <v>203</v>
      </c>
      <c r="P88" s="159">
        <v>203</v>
      </c>
      <c r="Q88" s="99">
        <v>19</v>
      </c>
      <c r="R88" s="99">
        <v>59</v>
      </c>
      <c r="S88" s="99">
        <v>36</v>
      </c>
      <c r="T88" s="99">
        <v>34</v>
      </c>
      <c r="U88" s="99">
        <v>7</v>
      </c>
      <c r="V88" s="99">
        <v>44</v>
      </c>
      <c r="W88" s="99">
        <v>85</v>
      </c>
      <c r="X88" s="99">
        <v>20</v>
      </c>
      <c r="Y88" s="99">
        <v>103</v>
      </c>
      <c r="Z88" s="99">
        <v>52</v>
      </c>
      <c r="AA88" s="99" t="s">
        <v>657</v>
      </c>
      <c r="AB88" s="99" t="s">
        <v>657</v>
      </c>
      <c r="AC88" s="99" t="s">
        <v>657</v>
      </c>
      <c r="AD88" s="98" t="s">
        <v>375</v>
      </c>
      <c r="AE88" s="100">
        <v>0.17118181818181818</v>
      </c>
      <c r="AF88" s="100">
        <v>0.14</v>
      </c>
      <c r="AG88" s="98">
        <v>372.72727272727275</v>
      </c>
      <c r="AH88" s="98">
        <v>290.90909090909093</v>
      </c>
      <c r="AI88" s="100">
        <v>0.021</v>
      </c>
      <c r="AJ88" s="100">
        <v>0.671222</v>
      </c>
      <c r="AK88" s="100">
        <v>0.285714</v>
      </c>
      <c r="AL88" s="100">
        <v>0.75516</v>
      </c>
      <c r="AM88" s="100">
        <v>0.328972</v>
      </c>
      <c r="AN88" s="100">
        <v>0.561905</v>
      </c>
      <c r="AO88" s="98">
        <v>1845.4545454545455</v>
      </c>
      <c r="AP88" s="158">
        <v>0.9777849579</v>
      </c>
      <c r="AQ88" s="100">
        <v>0.09359605911330049</v>
      </c>
      <c r="AR88" s="100">
        <v>0.3220338983050847</v>
      </c>
      <c r="AS88" s="98">
        <v>327.27272727272725</v>
      </c>
      <c r="AT88" s="98">
        <v>309.09090909090907</v>
      </c>
      <c r="AU88" s="98">
        <v>63.63636363636363</v>
      </c>
      <c r="AV88" s="98">
        <v>400</v>
      </c>
      <c r="AW88" s="98">
        <v>772.7272727272727</v>
      </c>
      <c r="AX88" s="98">
        <v>181.8181818181818</v>
      </c>
      <c r="AY88" s="98">
        <v>936.3636363636364</v>
      </c>
      <c r="AZ88" s="98">
        <v>472.72727272727275</v>
      </c>
      <c r="BA88" s="100" t="s">
        <v>657</v>
      </c>
      <c r="BB88" s="100" t="s">
        <v>657</v>
      </c>
      <c r="BC88" s="100" t="s">
        <v>657</v>
      </c>
      <c r="BD88" s="158">
        <v>0.8478969574</v>
      </c>
      <c r="BE88" s="158">
        <v>1.121941605</v>
      </c>
      <c r="BF88" s="162">
        <v>1244</v>
      </c>
      <c r="BG88" s="162">
        <v>35</v>
      </c>
      <c r="BH88" s="162">
        <v>2810</v>
      </c>
      <c r="BI88" s="162">
        <v>1070</v>
      </c>
      <c r="BJ88" s="162">
        <v>525</v>
      </c>
      <c r="BK88" s="97"/>
      <c r="BL88" s="97"/>
      <c r="BM88" s="97"/>
      <c r="BN88" s="97"/>
    </row>
    <row r="89" spans="1:66" ht="12.75">
      <c r="A89" s="79" t="s">
        <v>635</v>
      </c>
      <c r="B89" s="79" t="s">
        <v>359</v>
      </c>
      <c r="C89" s="79" t="s">
        <v>218</v>
      </c>
      <c r="D89" s="99">
        <v>7408</v>
      </c>
      <c r="E89" s="99">
        <v>808</v>
      </c>
      <c r="F89" s="99" t="s">
        <v>398</v>
      </c>
      <c r="G89" s="99">
        <v>16</v>
      </c>
      <c r="H89" s="99">
        <v>10</v>
      </c>
      <c r="I89" s="99">
        <v>114</v>
      </c>
      <c r="J89" s="99">
        <v>616</v>
      </c>
      <c r="K89" s="99">
        <v>592</v>
      </c>
      <c r="L89" s="99">
        <v>1520</v>
      </c>
      <c r="M89" s="99">
        <v>221</v>
      </c>
      <c r="N89" s="99">
        <v>223</v>
      </c>
      <c r="O89" s="99">
        <v>123</v>
      </c>
      <c r="P89" s="159">
        <v>123</v>
      </c>
      <c r="Q89" s="99">
        <v>8</v>
      </c>
      <c r="R89" s="99">
        <v>28</v>
      </c>
      <c r="S89" s="99">
        <v>40</v>
      </c>
      <c r="T89" s="99">
        <v>9</v>
      </c>
      <c r="U89" s="99" t="s">
        <v>657</v>
      </c>
      <c r="V89" s="99">
        <v>32</v>
      </c>
      <c r="W89" s="99">
        <v>43</v>
      </c>
      <c r="X89" s="99">
        <v>26</v>
      </c>
      <c r="Y89" s="99">
        <v>63</v>
      </c>
      <c r="Z89" s="99">
        <v>40</v>
      </c>
      <c r="AA89" s="99" t="s">
        <v>657</v>
      </c>
      <c r="AB89" s="99" t="s">
        <v>657</v>
      </c>
      <c r="AC89" s="99" t="s">
        <v>657</v>
      </c>
      <c r="AD89" s="98" t="s">
        <v>375</v>
      </c>
      <c r="AE89" s="100">
        <v>0.10907127429805616</v>
      </c>
      <c r="AF89" s="100">
        <v>0.06</v>
      </c>
      <c r="AG89" s="98">
        <v>215.9827213822894</v>
      </c>
      <c r="AH89" s="98">
        <v>134.98920086393088</v>
      </c>
      <c r="AI89" s="100">
        <v>0.015</v>
      </c>
      <c r="AJ89" s="100">
        <v>0.775819</v>
      </c>
      <c r="AK89" s="100">
        <v>0.795699</v>
      </c>
      <c r="AL89" s="100">
        <v>0.793319</v>
      </c>
      <c r="AM89" s="100">
        <v>0.365289</v>
      </c>
      <c r="AN89" s="100">
        <v>0.617729</v>
      </c>
      <c r="AO89" s="98">
        <v>1660.36717062635</v>
      </c>
      <c r="AP89" s="158">
        <v>1.02560051</v>
      </c>
      <c r="AQ89" s="100">
        <v>0.06504065040650407</v>
      </c>
      <c r="AR89" s="100">
        <v>0.2857142857142857</v>
      </c>
      <c r="AS89" s="98">
        <v>539.9568034557235</v>
      </c>
      <c r="AT89" s="98">
        <v>121.49028077753779</v>
      </c>
      <c r="AU89" s="98" t="s">
        <v>657</v>
      </c>
      <c r="AV89" s="98">
        <v>431.9654427645788</v>
      </c>
      <c r="AW89" s="98">
        <v>580.4535637149028</v>
      </c>
      <c r="AX89" s="98">
        <v>350.9719222462203</v>
      </c>
      <c r="AY89" s="98">
        <v>850.4319654427646</v>
      </c>
      <c r="AZ89" s="98">
        <v>539.9568034557235</v>
      </c>
      <c r="BA89" s="100" t="s">
        <v>657</v>
      </c>
      <c r="BB89" s="100" t="s">
        <v>657</v>
      </c>
      <c r="BC89" s="100" t="s">
        <v>657</v>
      </c>
      <c r="BD89" s="158">
        <v>0.8523743439</v>
      </c>
      <c r="BE89" s="158">
        <v>1.223686676</v>
      </c>
      <c r="BF89" s="162">
        <v>794</v>
      </c>
      <c r="BG89" s="162">
        <v>744</v>
      </c>
      <c r="BH89" s="162">
        <v>1916</v>
      </c>
      <c r="BI89" s="162">
        <v>605</v>
      </c>
      <c r="BJ89" s="162">
        <v>361</v>
      </c>
      <c r="BK89" s="97"/>
      <c r="BL89" s="97"/>
      <c r="BM89" s="97"/>
      <c r="BN89" s="97"/>
    </row>
    <row r="90" spans="1:66" ht="12.75">
      <c r="A90" s="79" t="s">
        <v>640</v>
      </c>
      <c r="B90" s="79" t="s">
        <v>364</v>
      </c>
      <c r="C90" s="79" t="s">
        <v>218</v>
      </c>
      <c r="D90" s="99">
        <v>6937</v>
      </c>
      <c r="E90" s="99">
        <v>1835</v>
      </c>
      <c r="F90" s="99" t="s">
        <v>397</v>
      </c>
      <c r="G90" s="99">
        <v>43</v>
      </c>
      <c r="H90" s="99">
        <v>45</v>
      </c>
      <c r="I90" s="99">
        <v>149</v>
      </c>
      <c r="J90" s="99">
        <v>626</v>
      </c>
      <c r="K90" s="99">
        <v>39</v>
      </c>
      <c r="L90" s="99">
        <v>1121</v>
      </c>
      <c r="M90" s="99">
        <v>580</v>
      </c>
      <c r="N90" s="99">
        <v>273</v>
      </c>
      <c r="O90" s="99">
        <v>148</v>
      </c>
      <c r="P90" s="159">
        <v>148</v>
      </c>
      <c r="Q90" s="99">
        <v>28</v>
      </c>
      <c r="R90" s="99">
        <v>57</v>
      </c>
      <c r="S90" s="99">
        <v>32</v>
      </c>
      <c r="T90" s="99">
        <v>25</v>
      </c>
      <c r="U90" s="99">
        <v>7</v>
      </c>
      <c r="V90" s="99">
        <v>20</v>
      </c>
      <c r="W90" s="99">
        <v>41</v>
      </c>
      <c r="X90" s="99">
        <v>37</v>
      </c>
      <c r="Y90" s="99">
        <v>100</v>
      </c>
      <c r="Z90" s="99">
        <v>90</v>
      </c>
      <c r="AA90" s="99" t="s">
        <v>657</v>
      </c>
      <c r="AB90" s="99" t="s">
        <v>657</v>
      </c>
      <c r="AC90" s="99" t="s">
        <v>657</v>
      </c>
      <c r="AD90" s="98" t="s">
        <v>375</v>
      </c>
      <c r="AE90" s="100">
        <v>0.2645235692662534</v>
      </c>
      <c r="AF90" s="100">
        <v>0.13</v>
      </c>
      <c r="AG90" s="98">
        <v>619.8644947383596</v>
      </c>
      <c r="AH90" s="98">
        <v>648.6954014703763</v>
      </c>
      <c r="AI90" s="100">
        <v>0.021</v>
      </c>
      <c r="AJ90" s="100">
        <v>0.661035</v>
      </c>
      <c r="AK90" s="100">
        <v>0.47561</v>
      </c>
      <c r="AL90" s="100">
        <v>0.743862</v>
      </c>
      <c r="AM90" s="100">
        <v>0.587639</v>
      </c>
      <c r="AN90" s="100">
        <v>0.612108</v>
      </c>
      <c r="AO90" s="98">
        <v>2133.4870981692375</v>
      </c>
      <c r="AP90" s="158">
        <v>0.9303890991</v>
      </c>
      <c r="AQ90" s="100">
        <v>0.1891891891891892</v>
      </c>
      <c r="AR90" s="100">
        <v>0.49122807017543857</v>
      </c>
      <c r="AS90" s="98">
        <v>461.29450771226755</v>
      </c>
      <c r="AT90" s="98">
        <v>360.38633415020905</v>
      </c>
      <c r="AU90" s="98">
        <v>100.90817356205852</v>
      </c>
      <c r="AV90" s="98">
        <v>288.30906732016723</v>
      </c>
      <c r="AW90" s="98">
        <v>591.0335880063428</v>
      </c>
      <c r="AX90" s="98">
        <v>533.3717745423094</v>
      </c>
      <c r="AY90" s="98">
        <v>1441.5453366008362</v>
      </c>
      <c r="AZ90" s="98">
        <v>1297.3908029407526</v>
      </c>
      <c r="BA90" s="100" t="s">
        <v>657</v>
      </c>
      <c r="BB90" s="100" t="s">
        <v>657</v>
      </c>
      <c r="BC90" s="100" t="s">
        <v>657</v>
      </c>
      <c r="BD90" s="158">
        <v>0.7865359497</v>
      </c>
      <c r="BE90" s="158">
        <v>1.092937088</v>
      </c>
      <c r="BF90" s="162">
        <v>947</v>
      </c>
      <c r="BG90" s="162">
        <v>82</v>
      </c>
      <c r="BH90" s="162">
        <v>1507</v>
      </c>
      <c r="BI90" s="162">
        <v>987</v>
      </c>
      <c r="BJ90" s="162">
        <v>446</v>
      </c>
      <c r="BK90" s="97"/>
      <c r="BL90" s="97"/>
      <c r="BM90" s="97"/>
      <c r="BN90" s="97"/>
    </row>
    <row r="91" spans="1:66" ht="12.75">
      <c r="A91" s="79" t="s">
        <v>564</v>
      </c>
      <c r="B91" s="79" t="s">
        <v>287</v>
      </c>
      <c r="C91" s="79" t="s">
        <v>218</v>
      </c>
      <c r="D91" s="99">
        <v>11621</v>
      </c>
      <c r="E91" s="99">
        <v>3421</v>
      </c>
      <c r="F91" s="99" t="s">
        <v>396</v>
      </c>
      <c r="G91" s="99">
        <v>75</v>
      </c>
      <c r="H91" s="99">
        <v>35</v>
      </c>
      <c r="I91" s="99">
        <v>223</v>
      </c>
      <c r="J91" s="99">
        <v>1376</v>
      </c>
      <c r="K91" s="99">
        <v>24</v>
      </c>
      <c r="L91" s="99">
        <v>1952</v>
      </c>
      <c r="M91" s="99">
        <v>741</v>
      </c>
      <c r="N91" s="99">
        <v>598</v>
      </c>
      <c r="O91" s="99">
        <v>243</v>
      </c>
      <c r="P91" s="159">
        <v>243</v>
      </c>
      <c r="Q91" s="99">
        <v>35</v>
      </c>
      <c r="R91" s="99">
        <v>82</v>
      </c>
      <c r="S91" s="99">
        <v>40</v>
      </c>
      <c r="T91" s="99">
        <v>47</v>
      </c>
      <c r="U91" s="99">
        <v>9</v>
      </c>
      <c r="V91" s="99">
        <v>44</v>
      </c>
      <c r="W91" s="99">
        <v>110</v>
      </c>
      <c r="X91" s="99">
        <v>38</v>
      </c>
      <c r="Y91" s="99">
        <v>180</v>
      </c>
      <c r="Z91" s="99">
        <v>71</v>
      </c>
      <c r="AA91" s="99" t="s">
        <v>657</v>
      </c>
      <c r="AB91" s="99" t="s">
        <v>657</v>
      </c>
      <c r="AC91" s="99" t="s">
        <v>657</v>
      </c>
      <c r="AD91" s="98" t="s">
        <v>375</v>
      </c>
      <c r="AE91" s="100">
        <v>0.2943808622321659</v>
      </c>
      <c r="AF91" s="100">
        <v>0.09</v>
      </c>
      <c r="AG91" s="98">
        <v>645.3833577144824</v>
      </c>
      <c r="AH91" s="98">
        <v>301.17890026675843</v>
      </c>
      <c r="AI91" s="100">
        <v>0.019</v>
      </c>
      <c r="AJ91" s="100">
        <v>0.775211</v>
      </c>
      <c r="AK91" s="100">
        <v>0.571429</v>
      </c>
      <c r="AL91" s="100">
        <v>0.751637</v>
      </c>
      <c r="AM91" s="100">
        <v>0.413274</v>
      </c>
      <c r="AN91" s="100">
        <v>0.645788</v>
      </c>
      <c r="AO91" s="98">
        <v>2091.042078994923</v>
      </c>
      <c r="AP91" s="158">
        <v>0.8360161591</v>
      </c>
      <c r="AQ91" s="100">
        <v>0.1440329218106996</v>
      </c>
      <c r="AR91" s="100">
        <v>0.4268292682926829</v>
      </c>
      <c r="AS91" s="98">
        <v>344.20445744772394</v>
      </c>
      <c r="AT91" s="98">
        <v>404.4402375010756</v>
      </c>
      <c r="AU91" s="98">
        <v>77.44600292573789</v>
      </c>
      <c r="AV91" s="98">
        <v>378.62490319249633</v>
      </c>
      <c r="AW91" s="98">
        <v>946.5622579812408</v>
      </c>
      <c r="AX91" s="98">
        <v>326.99423457533777</v>
      </c>
      <c r="AY91" s="98">
        <v>1548.9200585147578</v>
      </c>
      <c r="AZ91" s="98">
        <v>610.96291196971</v>
      </c>
      <c r="BA91" s="101" t="s">
        <v>657</v>
      </c>
      <c r="BB91" s="101" t="s">
        <v>657</v>
      </c>
      <c r="BC91" s="101" t="s">
        <v>657</v>
      </c>
      <c r="BD91" s="158">
        <v>0.7341979218</v>
      </c>
      <c r="BE91" s="158">
        <v>0.9480062103</v>
      </c>
      <c r="BF91" s="162">
        <v>1775</v>
      </c>
      <c r="BG91" s="162">
        <v>42</v>
      </c>
      <c r="BH91" s="162">
        <v>2597</v>
      </c>
      <c r="BI91" s="162">
        <v>1793</v>
      </c>
      <c r="BJ91" s="162">
        <v>926</v>
      </c>
      <c r="BK91" s="97"/>
      <c r="BL91" s="97"/>
      <c r="BM91" s="97"/>
      <c r="BN91" s="97"/>
    </row>
    <row r="92" spans="1:66" ht="12.75">
      <c r="A92" s="79" t="s">
        <v>612</v>
      </c>
      <c r="B92" s="79" t="s">
        <v>336</v>
      </c>
      <c r="C92" s="79" t="s">
        <v>218</v>
      </c>
      <c r="D92" s="99">
        <v>8572</v>
      </c>
      <c r="E92" s="99">
        <v>2553</v>
      </c>
      <c r="F92" s="99" t="s">
        <v>396</v>
      </c>
      <c r="G92" s="99">
        <v>60</v>
      </c>
      <c r="H92" s="99">
        <v>27</v>
      </c>
      <c r="I92" s="99">
        <v>214</v>
      </c>
      <c r="J92" s="99">
        <v>993</v>
      </c>
      <c r="K92" s="99">
        <v>17</v>
      </c>
      <c r="L92" s="99">
        <v>1487</v>
      </c>
      <c r="M92" s="99">
        <v>513</v>
      </c>
      <c r="N92" s="99">
        <v>400</v>
      </c>
      <c r="O92" s="99">
        <v>194</v>
      </c>
      <c r="P92" s="159">
        <v>194</v>
      </c>
      <c r="Q92" s="99">
        <v>22</v>
      </c>
      <c r="R92" s="99">
        <v>54</v>
      </c>
      <c r="S92" s="99">
        <v>31</v>
      </c>
      <c r="T92" s="99">
        <v>25</v>
      </c>
      <c r="U92" s="99" t="s">
        <v>657</v>
      </c>
      <c r="V92" s="99">
        <v>51</v>
      </c>
      <c r="W92" s="99">
        <v>88</v>
      </c>
      <c r="X92" s="99">
        <v>19</v>
      </c>
      <c r="Y92" s="99">
        <v>120</v>
      </c>
      <c r="Z92" s="99">
        <v>70</v>
      </c>
      <c r="AA92" s="99" t="s">
        <v>657</v>
      </c>
      <c r="AB92" s="99" t="s">
        <v>657</v>
      </c>
      <c r="AC92" s="99" t="s">
        <v>657</v>
      </c>
      <c r="AD92" s="98" t="s">
        <v>375</v>
      </c>
      <c r="AE92" s="100">
        <v>0.29783014465702284</v>
      </c>
      <c r="AF92" s="100">
        <v>0.1</v>
      </c>
      <c r="AG92" s="98">
        <v>699.953336444237</v>
      </c>
      <c r="AH92" s="98">
        <v>314.9790013999067</v>
      </c>
      <c r="AI92" s="100">
        <v>0.025</v>
      </c>
      <c r="AJ92" s="100">
        <v>0.769171</v>
      </c>
      <c r="AK92" s="100">
        <v>0.73913</v>
      </c>
      <c r="AL92" s="100">
        <v>0.790537</v>
      </c>
      <c r="AM92" s="100">
        <v>0.389818</v>
      </c>
      <c r="AN92" s="100">
        <v>0.595238</v>
      </c>
      <c r="AO92" s="98">
        <v>2263.182454503033</v>
      </c>
      <c r="AP92" s="158">
        <v>0.9029158783</v>
      </c>
      <c r="AQ92" s="100">
        <v>0.1134020618556701</v>
      </c>
      <c r="AR92" s="100">
        <v>0.4074074074074074</v>
      </c>
      <c r="AS92" s="98">
        <v>361.64255716285584</v>
      </c>
      <c r="AT92" s="98">
        <v>291.6472235184321</v>
      </c>
      <c r="AU92" s="98" t="s">
        <v>657</v>
      </c>
      <c r="AV92" s="98">
        <v>594.9603359776015</v>
      </c>
      <c r="AW92" s="98">
        <v>1026.598226784881</v>
      </c>
      <c r="AX92" s="98">
        <v>221.6518898740084</v>
      </c>
      <c r="AY92" s="98">
        <v>1399.906672888474</v>
      </c>
      <c r="AZ92" s="98">
        <v>816.6122258516099</v>
      </c>
      <c r="BA92" s="100" t="s">
        <v>657</v>
      </c>
      <c r="BB92" s="100" t="s">
        <v>657</v>
      </c>
      <c r="BC92" s="100" t="s">
        <v>657</v>
      </c>
      <c r="BD92" s="158">
        <v>0.7803240203999999</v>
      </c>
      <c r="BE92" s="158">
        <v>1.039302292</v>
      </c>
      <c r="BF92" s="162">
        <v>1291</v>
      </c>
      <c r="BG92" s="162">
        <v>23</v>
      </c>
      <c r="BH92" s="162">
        <v>1881</v>
      </c>
      <c r="BI92" s="162">
        <v>1316</v>
      </c>
      <c r="BJ92" s="162">
        <v>672</v>
      </c>
      <c r="BK92" s="97"/>
      <c r="BL92" s="97"/>
      <c r="BM92" s="97"/>
      <c r="BN92" s="97"/>
    </row>
    <row r="93" spans="1:66" ht="12.75">
      <c r="A93" s="79" t="s">
        <v>637</v>
      </c>
      <c r="B93" s="79" t="s">
        <v>361</v>
      </c>
      <c r="C93" s="79" t="s">
        <v>218</v>
      </c>
      <c r="D93" s="99">
        <v>9799</v>
      </c>
      <c r="E93" s="99">
        <v>3031</v>
      </c>
      <c r="F93" s="99" t="s">
        <v>396</v>
      </c>
      <c r="G93" s="99">
        <v>71</v>
      </c>
      <c r="H93" s="99">
        <v>37</v>
      </c>
      <c r="I93" s="99">
        <v>313</v>
      </c>
      <c r="J93" s="99">
        <v>1201</v>
      </c>
      <c r="K93" s="99">
        <v>1180</v>
      </c>
      <c r="L93" s="99">
        <v>1652</v>
      </c>
      <c r="M93" s="99">
        <v>1004</v>
      </c>
      <c r="N93" s="99">
        <v>480</v>
      </c>
      <c r="O93" s="99">
        <v>209</v>
      </c>
      <c r="P93" s="159">
        <v>209</v>
      </c>
      <c r="Q93" s="99">
        <v>37</v>
      </c>
      <c r="R93" s="99">
        <v>84</v>
      </c>
      <c r="S93" s="99">
        <v>31</v>
      </c>
      <c r="T93" s="99">
        <v>24</v>
      </c>
      <c r="U93" s="99">
        <v>9</v>
      </c>
      <c r="V93" s="99">
        <v>49</v>
      </c>
      <c r="W93" s="99">
        <v>53</v>
      </c>
      <c r="X93" s="99">
        <v>36</v>
      </c>
      <c r="Y93" s="99">
        <v>113</v>
      </c>
      <c r="Z93" s="99">
        <v>71</v>
      </c>
      <c r="AA93" s="99" t="s">
        <v>657</v>
      </c>
      <c r="AB93" s="99" t="s">
        <v>657</v>
      </c>
      <c r="AC93" s="99" t="s">
        <v>657</v>
      </c>
      <c r="AD93" s="98" t="s">
        <v>375</v>
      </c>
      <c r="AE93" s="100">
        <v>0.30931727727319114</v>
      </c>
      <c r="AF93" s="100">
        <v>0.1</v>
      </c>
      <c r="AG93" s="98">
        <v>724.5637309929584</v>
      </c>
      <c r="AH93" s="98">
        <v>377.589549954077</v>
      </c>
      <c r="AI93" s="100">
        <v>0.032</v>
      </c>
      <c r="AJ93" s="100">
        <v>0.775339</v>
      </c>
      <c r="AK93" s="100">
        <v>0.785096</v>
      </c>
      <c r="AL93" s="100">
        <v>0.796528</v>
      </c>
      <c r="AM93" s="100">
        <v>0.624767</v>
      </c>
      <c r="AN93" s="100">
        <v>0.644295</v>
      </c>
      <c r="AO93" s="98">
        <v>2132.8707010919484</v>
      </c>
      <c r="AP93" s="158">
        <v>0.8406705474999999</v>
      </c>
      <c r="AQ93" s="100">
        <v>0.17703349282296652</v>
      </c>
      <c r="AR93" s="100">
        <v>0.44047619047619047</v>
      </c>
      <c r="AS93" s="98">
        <v>316.3588121236861</v>
      </c>
      <c r="AT93" s="98">
        <v>244.92295132156343</v>
      </c>
      <c r="AU93" s="98">
        <v>91.84610674558628</v>
      </c>
      <c r="AV93" s="98">
        <v>500.05102561485864</v>
      </c>
      <c r="AW93" s="98">
        <v>540.8715175017859</v>
      </c>
      <c r="AX93" s="98">
        <v>367.38442698234513</v>
      </c>
      <c r="AY93" s="98">
        <v>1153.1788958056945</v>
      </c>
      <c r="AZ93" s="98">
        <v>724.5637309929584</v>
      </c>
      <c r="BA93" s="100" t="s">
        <v>657</v>
      </c>
      <c r="BB93" s="100" t="s">
        <v>657</v>
      </c>
      <c r="BC93" s="100" t="s">
        <v>657</v>
      </c>
      <c r="BD93" s="158">
        <v>0.7305541229000001</v>
      </c>
      <c r="BE93" s="158">
        <v>0.9626987457</v>
      </c>
      <c r="BF93" s="162">
        <v>1549</v>
      </c>
      <c r="BG93" s="162">
        <v>1503</v>
      </c>
      <c r="BH93" s="162">
        <v>2074</v>
      </c>
      <c r="BI93" s="162">
        <v>1607</v>
      </c>
      <c r="BJ93" s="162">
        <v>745</v>
      </c>
      <c r="BK93" s="97"/>
      <c r="BL93" s="97"/>
      <c r="BM93" s="97"/>
      <c r="BN93" s="97"/>
    </row>
    <row r="94" spans="1:66" ht="12.75">
      <c r="A94" s="79" t="s">
        <v>660</v>
      </c>
      <c r="B94" s="79" t="s">
        <v>303</v>
      </c>
      <c r="C94" s="79" t="s">
        <v>218</v>
      </c>
      <c r="D94" s="99">
        <v>15316</v>
      </c>
      <c r="E94" s="99">
        <v>2066</v>
      </c>
      <c r="F94" s="99" t="s">
        <v>396</v>
      </c>
      <c r="G94" s="99">
        <v>58</v>
      </c>
      <c r="H94" s="99">
        <v>31</v>
      </c>
      <c r="I94" s="99">
        <v>187</v>
      </c>
      <c r="J94" s="99">
        <v>1027</v>
      </c>
      <c r="K94" s="99">
        <v>6</v>
      </c>
      <c r="L94" s="99">
        <v>2995</v>
      </c>
      <c r="M94" s="99">
        <v>714</v>
      </c>
      <c r="N94" s="99">
        <v>311</v>
      </c>
      <c r="O94" s="99">
        <v>320</v>
      </c>
      <c r="P94" s="159">
        <v>320</v>
      </c>
      <c r="Q94" s="99">
        <v>46</v>
      </c>
      <c r="R94" s="99">
        <v>71</v>
      </c>
      <c r="S94" s="99">
        <v>76</v>
      </c>
      <c r="T94" s="99">
        <v>55</v>
      </c>
      <c r="U94" s="99">
        <v>11</v>
      </c>
      <c r="V94" s="99">
        <v>50</v>
      </c>
      <c r="W94" s="99">
        <v>89</v>
      </c>
      <c r="X94" s="99">
        <v>78</v>
      </c>
      <c r="Y94" s="99">
        <v>127</v>
      </c>
      <c r="Z94" s="99">
        <v>72</v>
      </c>
      <c r="AA94" s="99" t="s">
        <v>657</v>
      </c>
      <c r="AB94" s="99" t="s">
        <v>657</v>
      </c>
      <c r="AC94" s="99" t="s">
        <v>657</v>
      </c>
      <c r="AD94" s="98" t="s">
        <v>375</v>
      </c>
      <c r="AE94" s="100">
        <v>0.13489161661008095</v>
      </c>
      <c r="AF94" s="100">
        <v>0.1</v>
      </c>
      <c r="AG94" s="98">
        <v>378.6889527291721</v>
      </c>
      <c r="AH94" s="98">
        <v>202.40271611386785</v>
      </c>
      <c r="AI94" s="100">
        <v>0.012</v>
      </c>
      <c r="AJ94" s="100">
        <v>0.638285</v>
      </c>
      <c r="AK94" s="100">
        <v>0.24</v>
      </c>
      <c r="AL94" s="100">
        <v>0.796119</v>
      </c>
      <c r="AM94" s="100">
        <v>0.537651</v>
      </c>
      <c r="AN94" s="100">
        <v>0.564428</v>
      </c>
      <c r="AO94" s="98">
        <v>2089.3183598850874</v>
      </c>
      <c r="AP94" s="158">
        <v>1.212425613</v>
      </c>
      <c r="AQ94" s="100">
        <v>0.14375</v>
      </c>
      <c r="AR94" s="100">
        <v>0.647887323943662</v>
      </c>
      <c r="AS94" s="98">
        <v>496.21311047270825</v>
      </c>
      <c r="AT94" s="98">
        <v>359.10159310524944</v>
      </c>
      <c r="AU94" s="98">
        <v>71.82031862104988</v>
      </c>
      <c r="AV94" s="98">
        <v>326.45599373204493</v>
      </c>
      <c r="AW94" s="98">
        <v>581.09166884304</v>
      </c>
      <c r="AX94" s="98">
        <v>509.2713502219901</v>
      </c>
      <c r="AY94" s="98">
        <v>829.1982240793941</v>
      </c>
      <c r="AZ94" s="98">
        <v>470.09663097414466</v>
      </c>
      <c r="BA94" s="100" t="s">
        <v>657</v>
      </c>
      <c r="BB94" s="100" t="s">
        <v>657</v>
      </c>
      <c r="BC94" s="100" t="s">
        <v>657</v>
      </c>
      <c r="BD94" s="158">
        <v>1.083210068</v>
      </c>
      <c r="BE94" s="158">
        <v>1.3528131099999998</v>
      </c>
      <c r="BF94" s="162">
        <v>1609</v>
      </c>
      <c r="BG94" s="162">
        <v>25</v>
      </c>
      <c r="BH94" s="162">
        <v>3762</v>
      </c>
      <c r="BI94" s="162">
        <v>1328</v>
      </c>
      <c r="BJ94" s="162">
        <v>551</v>
      </c>
      <c r="BK94" s="97"/>
      <c r="BL94" s="97"/>
      <c r="BM94" s="97"/>
      <c r="BN94" s="97"/>
    </row>
    <row r="95" spans="1:66" ht="12.75">
      <c r="A95" s="79" t="s">
        <v>599</v>
      </c>
      <c r="B95" s="79" t="s">
        <v>323</v>
      </c>
      <c r="C95" s="79" t="s">
        <v>218</v>
      </c>
      <c r="D95" s="99">
        <v>14589</v>
      </c>
      <c r="E95" s="99">
        <v>2876</v>
      </c>
      <c r="F95" s="99" t="s">
        <v>397</v>
      </c>
      <c r="G95" s="99">
        <v>81</v>
      </c>
      <c r="H95" s="99">
        <v>59</v>
      </c>
      <c r="I95" s="99">
        <v>348</v>
      </c>
      <c r="J95" s="99">
        <v>1046</v>
      </c>
      <c r="K95" s="99">
        <v>12</v>
      </c>
      <c r="L95" s="99">
        <v>2737</v>
      </c>
      <c r="M95" s="99">
        <v>485</v>
      </c>
      <c r="N95" s="99">
        <v>382</v>
      </c>
      <c r="O95" s="99">
        <v>296</v>
      </c>
      <c r="P95" s="159">
        <v>296</v>
      </c>
      <c r="Q95" s="99">
        <v>23</v>
      </c>
      <c r="R95" s="99">
        <v>83</v>
      </c>
      <c r="S95" s="99">
        <v>51</v>
      </c>
      <c r="T95" s="99">
        <v>73</v>
      </c>
      <c r="U95" s="99">
        <v>7</v>
      </c>
      <c r="V95" s="99">
        <v>47</v>
      </c>
      <c r="W95" s="99">
        <v>110</v>
      </c>
      <c r="X95" s="99">
        <v>28</v>
      </c>
      <c r="Y95" s="99">
        <v>195</v>
      </c>
      <c r="Z95" s="99">
        <v>98</v>
      </c>
      <c r="AA95" s="99" t="s">
        <v>657</v>
      </c>
      <c r="AB95" s="99" t="s">
        <v>657</v>
      </c>
      <c r="AC95" s="99" t="s">
        <v>657</v>
      </c>
      <c r="AD95" s="98" t="s">
        <v>375</v>
      </c>
      <c r="AE95" s="100">
        <v>0.19713482760984302</v>
      </c>
      <c r="AF95" s="100">
        <v>0.14</v>
      </c>
      <c r="AG95" s="98">
        <v>555.2128315854411</v>
      </c>
      <c r="AH95" s="98">
        <v>404.4142847350744</v>
      </c>
      <c r="AI95" s="100">
        <v>0.024</v>
      </c>
      <c r="AJ95" s="100">
        <v>0.664549</v>
      </c>
      <c r="AK95" s="100">
        <v>0.255319</v>
      </c>
      <c r="AL95" s="100">
        <v>0.760489</v>
      </c>
      <c r="AM95" s="100">
        <v>0.334945</v>
      </c>
      <c r="AN95" s="100">
        <v>0.492903</v>
      </c>
      <c r="AO95" s="98">
        <v>2028.9259030776614</v>
      </c>
      <c r="AP95" s="158">
        <v>1.027670593</v>
      </c>
      <c r="AQ95" s="100">
        <v>0.0777027027027027</v>
      </c>
      <c r="AR95" s="100">
        <v>0.27710843373493976</v>
      </c>
      <c r="AS95" s="98">
        <v>349.5784495167592</v>
      </c>
      <c r="AT95" s="98">
        <v>500.3769963671259</v>
      </c>
      <c r="AU95" s="98">
        <v>47.981355816025776</v>
      </c>
      <c r="AV95" s="98">
        <v>322.16053190760164</v>
      </c>
      <c r="AW95" s="98">
        <v>753.9927342518336</v>
      </c>
      <c r="AX95" s="98">
        <v>191.9254232641031</v>
      </c>
      <c r="AY95" s="98">
        <v>1336.6234834464321</v>
      </c>
      <c r="AZ95" s="98">
        <v>671.7389814243609</v>
      </c>
      <c r="BA95" s="100" t="s">
        <v>657</v>
      </c>
      <c r="BB95" s="100" t="s">
        <v>657</v>
      </c>
      <c r="BC95" s="100" t="s">
        <v>657</v>
      </c>
      <c r="BD95" s="158">
        <v>0.9139200592000001</v>
      </c>
      <c r="BE95" s="158">
        <v>1.151665878</v>
      </c>
      <c r="BF95" s="162">
        <v>1574</v>
      </c>
      <c r="BG95" s="162">
        <v>47</v>
      </c>
      <c r="BH95" s="162">
        <v>3599</v>
      </c>
      <c r="BI95" s="162">
        <v>1448</v>
      </c>
      <c r="BJ95" s="162">
        <v>775</v>
      </c>
      <c r="BK95" s="97"/>
      <c r="BL95" s="97"/>
      <c r="BM95" s="97"/>
      <c r="BN95" s="97"/>
    </row>
    <row r="96" spans="1:66" ht="12.75">
      <c r="A96" s="79" t="s">
        <v>219</v>
      </c>
      <c r="B96" s="94" t="s">
        <v>218</v>
      </c>
      <c r="C96" s="94" t="s">
        <v>7</v>
      </c>
      <c r="D96" s="99">
        <v>825533</v>
      </c>
      <c r="E96" s="99">
        <v>167824</v>
      </c>
      <c r="F96" s="99">
        <v>78515.09999999996</v>
      </c>
      <c r="G96" s="99">
        <v>3969</v>
      </c>
      <c r="H96" s="99">
        <v>2272</v>
      </c>
      <c r="I96" s="99">
        <v>16417</v>
      </c>
      <c r="J96" s="99">
        <v>79132</v>
      </c>
      <c r="K96" s="99">
        <v>28849</v>
      </c>
      <c r="L96" s="99">
        <v>153932</v>
      </c>
      <c r="M96" s="99">
        <v>52995</v>
      </c>
      <c r="N96" s="99">
        <v>28863</v>
      </c>
      <c r="O96" s="99">
        <v>16834</v>
      </c>
      <c r="P96" s="99">
        <v>16834</v>
      </c>
      <c r="Q96" s="99">
        <v>1813</v>
      </c>
      <c r="R96" s="99">
        <v>4308</v>
      </c>
      <c r="S96" s="99">
        <v>3283</v>
      </c>
      <c r="T96" s="99">
        <v>2571</v>
      </c>
      <c r="U96" s="99">
        <v>499</v>
      </c>
      <c r="V96" s="99">
        <v>3245</v>
      </c>
      <c r="W96" s="99">
        <v>5511</v>
      </c>
      <c r="X96" s="99">
        <v>3016</v>
      </c>
      <c r="Y96" s="99">
        <v>10054</v>
      </c>
      <c r="Z96" s="99">
        <v>4634</v>
      </c>
      <c r="AA96" s="99">
        <v>0</v>
      </c>
      <c r="AB96" s="99">
        <v>0</v>
      </c>
      <c r="AC96" s="99">
        <v>0</v>
      </c>
      <c r="AD96" s="98">
        <v>0</v>
      </c>
      <c r="AE96" s="101">
        <v>0.20329169154958068</v>
      </c>
      <c r="AF96" s="101">
        <v>0.09510837240909807</v>
      </c>
      <c r="AG96" s="98">
        <v>480.7802958815698</v>
      </c>
      <c r="AH96" s="98">
        <v>275.2161330921962</v>
      </c>
      <c r="AI96" s="101">
        <v>0.019886546025416306</v>
      </c>
      <c r="AJ96" s="101">
        <v>0.7307685203996823</v>
      </c>
      <c r="AK96" s="101">
        <v>0.7810960090973087</v>
      </c>
      <c r="AL96" s="101">
        <v>0.7749802393430903</v>
      </c>
      <c r="AM96" s="101">
        <v>0.5242980668394706</v>
      </c>
      <c r="AN96" s="101">
        <v>0.6148782514219978</v>
      </c>
      <c r="AO96" s="98">
        <v>2039.1674227438516</v>
      </c>
      <c r="AP96" s="98">
        <v>0</v>
      </c>
      <c r="AQ96" s="101">
        <v>0.10769870500178211</v>
      </c>
      <c r="AR96" s="101">
        <v>0.42084493964716807</v>
      </c>
      <c r="AS96" s="98">
        <v>397.68246696376764</v>
      </c>
      <c r="AT96" s="98">
        <v>311.4351576496639</v>
      </c>
      <c r="AU96" s="98">
        <v>60.44579683671034</v>
      </c>
      <c r="AV96" s="98">
        <v>393.07938023071154</v>
      </c>
      <c r="AW96" s="98">
        <v>667.5687101545304</v>
      </c>
      <c r="AX96" s="98">
        <v>365.33972597097875</v>
      </c>
      <c r="AY96" s="98">
        <v>1217.8798424775266</v>
      </c>
      <c r="AZ96" s="98">
        <v>561.3343137100516</v>
      </c>
      <c r="BA96" s="101">
        <v>0</v>
      </c>
      <c r="BB96" s="101">
        <v>0</v>
      </c>
      <c r="BC96" s="101">
        <v>0</v>
      </c>
      <c r="BD96" s="98">
        <v>0</v>
      </c>
      <c r="BE96" s="98">
        <v>0</v>
      </c>
      <c r="BF96" s="99">
        <v>108286</v>
      </c>
      <c r="BG96" s="99">
        <v>36934</v>
      </c>
      <c r="BH96" s="99">
        <v>198627</v>
      </c>
      <c r="BI96" s="99">
        <v>101078</v>
      </c>
      <c r="BJ96" s="99">
        <v>46941</v>
      </c>
      <c r="BK96" s="97"/>
      <c r="BL96" s="97"/>
      <c r="BM96" s="97"/>
      <c r="BN96" s="97"/>
    </row>
    <row r="97" spans="1:66" ht="12.75">
      <c r="A97" s="79" t="s">
        <v>24</v>
      </c>
      <c r="B97" s="94" t="s">
        <v>7</v>
      </c>
      <c r="C97" s="94" t="s">
        <v>7</v>
      </c>
      <c r="D97" s="99">
        <v>54615830</v>
      </c>
      <c r="E97" s="99">
        <v>8737890</v>
      </c>
      <c r="F97" s="99">
        <v>8198344.169999988</v>
      </c>
      <c r="G97" s="99">
        <v>243379</v>
      </c>
      <c r="H97" s="99">
        <v>127868</v>
      </c>
      <c r="I97" s="99">
        <v>870616</v>
      </c>
      <c r="J97" s="99">
        <v>4592627</v>
      </c>
      <c r="K97" s="99">
        <v>1679592</v>
      </c>
      <c r="L97" s="99">
        <v>10150944</v>
      </c>
      <c r="M97" s="99">
        <v>2959539</v>
      </c>
      <c r="N97" s="99">
        <v>1629320</v>
      </c>
      <c r="O97" s="99">
        <v>989730</v>
      </c>
      <c r="P97" s="99">
        <v>989730</v>
      </c>
      <c r="Q97" s="99">
        <v>108072</v>
      </c>
      <c r="R97" s="99">
        <v>238330</v>
      </c>
      <c r="S97" s="99">
        <v>206300</v>
      </c>
      <c r="T97" s="99">
        <v>154264</v>
      </c>
      <c r="U97" s="99">
        <v>38486</v>
      </c>
      <c r="V97" s="99">
        <v>176535</v>
      </c>
      <c r="W97" s="99">
        <v>307276</v>
      </c>
      <c r="X97" s="99">
        <v>221506</v>
      </c>
      <c r="Y97" s="99">
        <v>578574</v>
      </c>
      <c r="Z97" s="99">
        <v>318377</v>
      </c>
      <c r="AA97" s="99">
        <v>0</v>
      </c>
      <c r="AB97" s="99">
        <v>0</v>
      </c>
      <c r="AC97" s="99">
        <v>0</v>
      </c>
      <c r="AD97" s="98">
        <v>0</v>
      </c>
      <c r="AE97" s="101">
        <v>0.1599882305185145</v>
      </c>
      <c r="AF97" s="101">
        <v>0.15010930292554353</v>
      </c>
      <c r="AG97" s="98">
        <v>445.6198871279627</v>
      </c>
      <c r="AH97" s="98">
        <v>234.12259778895606</v>
      </c>
      <c r="AI97" s="101">
        <v>0.015940726342527432</v>
      </c>
      <c r="AJ97" s="101">
        <v>0.7248631360507991</v>
      </c>
      <c r="AK97" s="101">
        <v>0.7467412166569077</v>
      </c>
      <c r="AL97" s="101">
        <v>0.7559681673907895</v>
      </c>
      <c r="AM97" s="101">
        <v>0.5147293797466616</v>
      </c>
      <c r="AN97" s="101">
        <v>0.5752927626212945</v>
      </c>
      <c r="AO97" s="98">
        <v>1812.1669120472948</v>
      </c>
      <c r="AP97" s="98">
        <v>1</v>
      </c>
      <c r="AQ97" s="101">
        <v>0.10919341638628717</v>
      </c>
      <c r="AR97" s="101">
        <v>0.4534552930810221</v>
      </c>
      <c r="AS97" s="98">
        <v>377.7293140102421</v>
      </c>
      <c r="AT97" s="98">
        <v>282.45290788403287</v>
      </c>
      <c r="AU97" s="98">
        <v>70.46674929228394</v>
      </c>
      <c r="AV97" s="98">
        <v>323.23046266988894</v>
      </c>
      <c r="AW97" s="98">
        <v>562.6134400960308</v>
      </c>
      <c r="AX97" s="98">
        <v>405.57105879375996</v>
      </c>
      <c r="AY97" s="98">
        <v>1059.3522061277838</v>
      </c>
      <c r="AZ97" s="98">
        <v>582.9390489900089</v>
      </c>
      <c r="BA97" s="101">
        <v>0</v>
      </c>
      <c r="BB97" s="101">
        <v>0</v>
      </c>
      <c r="BC97" s="101">
        <v>0</v>
      </c>
      <c r="BD97" s="98">
        <v>0</v>
      </c>
      <c r="BE97" s="98">
        <v>0</v>
      </c>
      <c r="BF97" s="99">
        <v>6335854</v>
      </c>
      <c r="BG97" s="99">
        <v>2249229</v>
      </c>
      <c r="BH97" s="99">
        <v>13427740</v>
      </c>
      <c r="BI97" s="99">
        <v>5749699</v>
      </c>
      <c r="BJ97" s="99">
        <v>2832158</v>
      </c>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424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380</v>
      </c>
      <c r="O4" s="75" t="s">
        <v>379</v>
      </c>
      <c r="P4" s="75" t="s">
        <v>506</v>
      </c>
      <c r="Q4" s="75" t="s">
        <v>507</v>
      </c>
      <c r="R4" s="75" t="s">
        <v>508</v>
      </c>
      <c r="S4" s="75" t="s">
        <v>509</v>
      </c>
      <c r="T4" s="39" t="s">
        <v>278</v>
      </c>
      <c r="U4" s="40" t="s">
        <v>279</v>
      </c>
      <c r="V4" s="41" t="s">
        <v>7</v>
      </c>
      <c r="W4" s="24" t="s">
        <v>2</v>
      </c>
      <c r="X4" s="24" t="s">
        <v>3</v>
      </c>
      <c r="Y4" s="75" t="s">
        <v>662</v>
      </c>
      <c r="Z4" s="75" t="s">
        <v>661</v>
      </c>
      <c r="AA4" s="26" t="s">
        <v>280</v>
      </c>
      <c r="AB4" s="24" t="s">
        <v>5</v>
      </c>
      <c r="AC4" s="75" t="s">
        <v>35</v>
      </c>
      <c r="AD4" s="24" t="s">
        <v>6</v>
      </c>
      <c r="AE4" s="24" t="s">
        <v>281</v>
      </c>
      <c r="AF4" s="24" t="s">
        <v>16</v>
      </c>
      <c r="AG4" s="24" t="s">
        <v>15</v>
      </c>
      <c r="AH4" s="24" t="s">
        <v>14</v>
      </c>
      <c r="AI4" s="25" t="s">
        <v>30</v>
      </c>
      <c r="AJ4" s="47" t="s">
        <v>10</v>
      </c>
      <c r="AK4" s="26" t="s">
        <v>21</v>
      </c>
      <c r="AL4" s="25" t="s">
        <v>22</v>
      </c>
      <c r="AQ4" s="102" t="s">
        <v>421</v>
      </c>
      <c r="AR4" s="102" t="s">
        <v>423</v>
      </c>
      <c r="AS4" s="102" t="s">
        <v>422</v>
      </c>
      <c r="AY4" s="102" t="s">
        <v>503</v>
      </c>
      <c r="AZ4" s="102" t="s">
        <v>504</v>
      </c>
      <c r="BA4" s="102" t="s">
        <v>505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444</v>
      </c>
      <c r="BA5" s="103" t="s">
        <v>375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429</v>
      </c>
      <c r="BA6" s="103" t="s">
        <v>375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1728</v>
      </c>
      <c r="E7" s="38">
        <f>IF(LEFT(VLOOKUP($B7,'Indicator chart'!$D$1:$J$36,5,FALSE),1)=" "," ",VLOOKUP($B7,'Indicator chart'!$D$1:$J$36,5,FALSE))</f>
        <v>0.22929936305732485</v>
      </c>
      <c r="F7" s="38">
        <f>IF(LEFT(VLOOKUP($B7,'Indicator chart'!$D$1:$J$36,6,FALSE),1)=" "," ",VLOOKUP($B7,'Indicator chart'!$D$1:$J$36,6,FALSE))</f>
        <v>0.21994731082193716</v>
      </c>
      <c r="G7" s="38">
        <f>IF(LEFT(VLOOKUP($B7,'Indicator chart'!$D$1:$J$36,7,FALSE),1)=" "," ",VLOOKUP($B7,'Indicator chart'!$D$1:$J$36,7,FALSE))</f>
        <v>0.23892726288263513</v>
      </c>
      <c r="H7" s="50">
        <f aca="true" t="shared" si="0" ref="H7:H31">IF(LEFT(F7,1)=" ",4,IF(AND(ABS(N7-E7)&gt;SQRT((E7-G7)^2+(N7-R7)^2),E7&lt;N7),1,IF(AND(ABS(N7-E7)&gt;SQRT((E7-F7)^2+(N7-S7)^2),E7&gt;N7),3,2)))</f>
        <v>3</v>
      </c>
      <c r="I7" s="38">
        <v>0.04311872273683548</v>
      </c>
      <c r="J7" s="38">
        <v>0.16836152970790863</v>
      </c>
      <c r="K7" s="38">
        <v>0.20050722360610962</v>
      </c>
      <c r="L7" s="38">
        <v>0.24775640666484833</v>
      </c>
      <c r="M7" s="38">
        <v>0.4376923143863678</v>
      </c>
      <c r="N7" s="80">
        <f>VLOOKUP('Hide - Control'!B$3,'All practice data'!A:CA,A7+29,FALSE)</f>
        <v>0.20329169154958068</v>
      </c>
      <c r="O7" s="80">
        <f>VLOOKUP('Hide - Control'!C$3,'All practice data'!A:CA,A7+29,FALSE)</f>
        <v>0.1599882305185145</v>
      </c>
      <c r="P7" s="38">
        <f>VLOOKUP('Hide - Control'!$B$4,'All practice data'!B:BC,A7+2,FALSE)</f>
        <v>167824</v>
      </c>
      <c r="Q7" s="38">
        <f>VLOOKUP('Hide - Control'!$B$4,'All practice data'!B:BC,3,FALSE)</f>
        <v>825533</v>
      </c>
      <c r="R7" s="38">
        <f>+((2*P7+1.96^2-1.96*SQRT(1.96^2+4*P7*(1-P7/Q7)))/(2*(Q7+1.96^2)))</f>
        <v>0.20242491605364688</v>
      </c>
      <c r="S7" s="38">
        <f>+((2*P7+1.96^2+1.96*SQRT(1.96^2+4*P7*(1-P7/Q7)))/(2*(Q7+1.96^2)))</f>
        <v>0.20416122848408463</v>
      </c>
      <c r="T7" s="53">
        <f>IF($C7=1,M7,I7)</f>
        <v>0.4376923143863678</v>
      </c>
      <c r="U7" s="51">
        <f aca="true" t="shared" si="1" ref="U7:U15">IF($C7=1,I7,M7)</f>
        <v>0.04311872273683548</v>
      </c>
      <c r="V7" s="7">
        <v>1</v>
      </c>
      <c r="W7" s="27">
        <f aca="true" t="shared" si="2" ref="W7:W31">IF((K7-I7)&gt;(M7-K7),I7,(K7-(M7-K7)))</f>
        <v>-0.03667786717414856</v>
      </c>
      <c r="X7" s="27">
        <f aca="true" t="shared" si="3" ref="X7:X31">IF(W7=I7,K7+(K7-I7),M7)</f>
        <v>0.4376923143863678</v>
      </c>
      <c r="Y7" s="27">
        <f aca="true" t="shared" si="4" ref="Y7:Y31">IF(C7=1,W7,X7)</f>
        <v>-0.03667786717414856</v>
      </c>
      <c r="Z7" s="27">
        <f aca="true" t="shared" si="5" ref="Z7:Z31">IF(C7=1,X7,W7)</f>
        <v>0.4376923143863678</v>
      </c>
      <c r="AA7" s="32">
        <f aca="true" t="shared" si="6" ref="AA7:AA31">IF(ISERROR(IF(C7=1,(I7-$Y7)/($Z7-$Y7),(U7-$Y7)/($Z7-$Y7))),"",IF(C7=1,(I7-$Y7)/($Z7-$Y7),(U7-$Y7)/($Z7-$Y7)))</f>
        <v>0.16821586392399376</v>
      </c>
      <c r="AB7" s="33">
        <f aca="true" t="shared" si="7" ref="AB7:AB31">IF(ISERROR(IF(C7=1,(J7-$Y7)/($Z7-$Y7),(L7-$Y7)/($Z7-$Y7))),"",IF(C7=1,(J7-$Y7)/($Z7-$Y7),(L7-$Y7)/($Z7-$Y7)))</f>
        <v>0.43223500306774637</v>
      </c>
      <c r="AC7" s="33">
        <v>0.5</v>
      </c>
      <c r="AD7" s="33">
        <f aca="true" t="shared" si="8" ref="AD7:AD31">IF(ISERROR(IF(C7=1,(L7-$Y7)/($Z7-$Y7),(J7-$Y7)/($Z7-$Y7))),"",IF(C7=1,(L7-$Y7)/($Z7-$Y7),(J7-$Y7)/($Z7-$Y7)))</f>
        <v>0.5996040326634886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0.560695508635258</v>
      </c>
      <c r="AI7" s="34">
        <f aca="true" t="shared" si="13" ref="AI7:AI31">IF(ISERROR((O7-$Y7)/($Z7-$Y7)),-999,(O7-$Y7)/($Z7-$Y7))</f>
        <v>0.41458360018688056</v>
      </c>
      <c r="AJ7" s="4">
        <v>2.7020512924389086</v>
      </c>
      <c r="AK7" s="32">
        <f aca="true" t="shared" si="14" ref="AK7:AK31">IF(H7=1,(E7-$Y7)/($Z7-$Y7),-999)</f>
        <v>-999</v>
      </c>
      <c r="AL7" s="34">
        <f aca="true" t="shared" si="15" ref="AL7:AL31">IF(H7=3,(E7-$Y7)/($Z7-$Y7),-999)</f>
        <v>0.560695508635258</v>
      </c>
      <c r="AQ7" s="103">
        <v>2</v>
      </c>
      <c r="AR7" s="103">
        <v>0.2422</v>
      </c>
      <c r="AS7" s="103">
        <v>7.2247</v>
      </c>
      <c r="AY7" s="103" t="s">
        <v>68</v>
      </c>
      <c r="AZ7" s="103" t="s">
        <v>428</v>
      </c>
      <c r="BA7" s="103" t="s">
        <v>375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0.10313328526530754</v>
      </c>
      <c r="G8" s="38">
        <f>IF(LEFT(VLOOKUP($B8,'Indicator chart'!$D$1:$J$36,7,FALSE),1)=" "," ",VLOOKUP($B8,'Indicator chart'!$D$1:$J$36,7,FALSE))</f>
        <v>0.11726412998012681</v>
      </c>
      <c r="H8" s="50">
        <f t="shared" si="0"/>
        <v>3</v>
      </c>
      <c r="I8" s="38">
        <v>0.03999999910593033</v>
      </c>
      <c r="J8" s="38">
        <v>0.07000000029802322</v>
      </c>
      <c r="K8" s="38">
        <v>0.09000000357627869</v>
      </c>
      <c r="L8" s="38">
        <v>0.11999999731779099</v>
      </c>
      <c r="M8" s="38">
        <v>0.18000000715255737</v>
      </c>
      <c r="N8" s="80">
        <f>VLOOKUP('Hide - Control'!B$3,'All practice data'!A:CA,A8+29,FALSE)</f>
        <v>0.09510837240909807</v>
      </c>
      <c r="O8" s="80">
        <f>VLOOKUP('Hide - Control'!C$3,'All practice data'!A:CA,A8+29,FALSE)</f>
        <v>0.15010930292554353</v>
      </c>
      <c r="P8" s="38">
        <f>VLOOKUP('Hide - Control'!$B$4,'All practice data'!B:BC,A8+2,FALSE)</f>
        <v>78515.09999999996</v>
      </c>
      <c r="Q8" s="38">
        <f>VLOOKUP('Hide - Control'!$B$4,'All practice data'!B:BC,3,FALSE)</f>
        <v>825533</v>
      </c>
      <c r="R8" s="38">
        <f>+((2*P8+1.96^2-1.96*SQRT(1.96^2+4*P8*(1-P8/Q8)))/(2*(Q8+1.96^2)))</f>
        <v>0.09447741144828929</v>
      </c>
      <c r="S8" s="38">
        <f>+((2*P8+1.96^2+1.96*SQRT(1.96^2+4*P8*(1-P8/Q8)))/(2*(Q8+1.96^2)))</f>
        <v>0.09574310166127359</v>
      </c>
      <c r="T8" s="53">
        <f aca="true" t="shared" si="16" ref="T8:T15">IF($C8=1,M8,I8)</f>
        <v>0.18000000715255737</v>
      </c>
      <c r="U8" s="51">
        <f t="shared" si="1"/>
        <v>0.03999999910593033</v>
      </c>
      <c r="V8" s="7"/>
      <c r="W8" s="27">
        <f t="shared" si="2"/>
        <v>0</v>
      </c>
      <c r="X8" s="27">
        <f t="shared" si="3"/>
        <v>0.18000000715255737</v>
      </c>
      <c r="Y8" s="27">
        <f t="shared" si="4"/>
        <v>0</v>
      </c>
      <c r="Z8" s="27">
        <f t="shared" si="5"/>
        <v>0.18000000715255737</v>
      </c>
      <c r="AA8" s="32">
        <f t="shared" si="6"/>
        <v>0.2222222084248513</v>
      </c>
      <c r="AB8" s="33">
        <f t="shared" si="7"/>
        <v>0.388888875091518</v>
      </c>
      <c r="AC8" s="33">
        <v>0.5</v>
      </c>
      <c r="AD8" s="33">
        <f t="shared" si="8"/>
        <v>0.6666666252745539</v>
      </c>
      <c r="AE8" s="33">
        <f t="shared" si="9"/>
        <v>1</v>
      </c>
      <c r="AF8" s="33">
        <f t="shared" si="10"/>
        <v>-999</v>
      </c>
      <c r="AG8" s="33">
        <f t="shared" si="11"/>
        <v>-999</v>
      </c>
      <c r="AH8" s="33">
        <f t="shared" si="12"/>
        <v>0.6111110868277383</v>
      </c>
      <c r="AI8" s="34">
        <f t="shared" si="13"/>
        <v>0.8339405386707555</v>
      </c>
      <c r="AJ8" s="4">
        <v>3.778046717820832</v>
      </c>
      <c r="AK8" s="32">
        <f t="shared" si="14"/>
        <v>-999</v>
      </c>
      <c r="AL8" s="34">
        <f t="shared" si="15"/>
        <v>0.6111110868277383</v>
      </c>
      <c r="AQ8" s="103">
        <v>3</v>
      </c>
      <c r="AR8" s="103">
        <v>0.6187</v>
      </c>
      <c r="AS8" s="103">
        <v>8.7673</v>
      </c>
      <c r="AY8" s="103" t="s">
        <v>118</v>
      </c>
      <c r="AZ8" s="103" t="s">
        <v>119</v>
      </c>
      <c r="BA8" s="103" t="s">
        <v>375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24</v>
      </c>
      <c r="E9" s="38">
        <f>IF(LEFT(VLOOKUP($B9,'Indicator chart'!$D$1:$J$36,5,FALSE),1)=" "," ",VLOOKUP($B9,'Indicator chart'!$D$1:$J$36,5,FALSE))</f>
        <v>318.47133757961785</v>
      </c>
      <c r="F9" s="38">
        <f>IF(LEFT(VLOOKUP($B9,'Indicator chart'!$D$1:$J$36,6,FALSE),1)=" "," ",VLOOKUP($B9,'Indicator chart'!$D$1:$J$36,6,FALSE))</f>
        <v>203.9887180833279</v>
      </c>
      <c r="G9" s="38">
        <f>IF(LEFT(VLOOKUP($B9,'Indicator chart'!$D$1:$J$36,7,FALSE),1)=" "," ",VLOOKUP($B9,'Indicator chart'!$D$1:$J$36,7,FALSE))</f>
        <v>473.8832913655969</v>
      </c>
      <c r="H9" s="50">
        <f t="shared" si="0"/>
        <v>1</v>
      </c>
      <c r="I9" s="38">
        <v>92.60600280761719</v>
      </c>
      <c r="J9" s="38">
        <v>376.63006591796875</v>
      </c>
      <c r="K9" s="38">
        <v>476.2437438964844</v>
      </c>
      <c r="L9" s="38">
        <v>615.67236328125</v>
      </c>
      <c r="M9" s="38">
        <v>1037.4212646484375</v>
      </c>
      <c r="N9" s="80">
        <f>VLOOKUP('Hide - Control'!B$3,'All practice data'!A:CA,A9+29,FALSE)</f>
        <v>480.7802958815698</v>
      </c>
      <c r="O9" s="80">
        <f>VLOOKUP('Hide - Control'!C$3,'All practice data'!A:CA,A9+29,FALSE)</f>
        <v>445.6198871279627</v>
      </c>
      <c r="P9" s="38">
        <f>VLOOKUP('Hide - Control'!$B$4,'All practice data'!B:BC,A9+2,FALSE)</f>
        <v>3969</v>
      </c>
      <c r="Q9" s="38">
        <f>VLOOKUP('Hide - Control'!$B$4,'All practice data'!B:BC,3,FALSE)</f>
        <v>825533</v>
      </c>
      <c r="R9" s="38">
        <f>100000*(P9*(1-1/(9*P9)-1.96/(3*SQRT(P9)))^3)/Q9</f>
        <v>465.9377227114838</v>
      </c>
      <c r="S9" s="38">
        <f>100000*((P9+1)*(1-1/(9*(P9+1))+1.96/(3*SQRT(P9+1)))^3)/Q9</f>
        <v>495.97535670052633</v>
      </c>
      <c r="T9" s="53">
        <f t="shared" si="16"/>
        <v>1037.4212646484375</v>
      </c>
      <c r="U9" s="51">
        <f t="shared" si="1"/>
        <v>92.60600280761719</v>
      </c>
      <c r="V9" s="7"/>
      <c r="W9" s="27">
        <f t="shared" si="2"/>
        <v>-84.93377685546875</v>
      </c>
      <c r="X9" s="27">
        <f t="shared" si="3"/>
        <v>1037.4212646484375</v>
      </c>
      <c r="Y9" s="27">
        <f t="shared" si="4"/>
        <v>-84.93377685546875</v>
      </c>
      <c r="Z9" s="27">
        <f t="shared" si="5"/>
        <v>1037.4212646484375</v>
      </c>
      <c r="AA9" s="32">
        <f t="shared" si="6"/>
        <v>0.15818504225293137</v>
      </c>
      <c r="AB9" s="33">
        <f t="shared" si="7"/>
        <v>0.4112458408481529</v>
      </c>
      <c r="AC9" s="33">
        <v>0.5</v>
      </c>
      <c r="AD9" s="33">
        <f t="shared" si="8"/>
        <v>0.6242286212729418</v>
      </c>
      <c r="AE9" s="33">
        <f t="shared" si="9"/>
        <v>1</v>
      </c>
      <c r="AF9" s="33">
        <f t="shared" si="10"/>
        <v>-999</v>
      </c>
      <c r="AG9" s="33">
        <f t="shared" si="11"/>
        <v>-999</v>
      </c>
      <c r="AH9" s="33">
        <f t="shared" si="12"/>
        <v>0.3594273643521408</v>
      </c>
      <c r="AI9" s="34">
        <f t="shared" si="13"/>
        <v>0.47271464408669917</v>
      </c>
      <c r="AJ9" s="4">
        <v>4.854042143202755</v>
      </c>
      <c r="AK9" s="32">
        <f t="shared" si="14"/>
        <v>0.3594273643521408</v>
      </c>
      <c r="AL9" s="34">
        <f t="shared" si="15"/>
        <v>-999</v>
      </c>
      <c r="AQ9" s="103">
        <v>4</v>
      </c>
      <c r="AR9" s="103">
        <v>1.0899</v>
      </c>
      <c r="AS9" s="103">
        <v>10.2416</v>
      </c>
      <c r="AY9" s="103" t="s">
        <v>90</v>
      </c>
      <c r="AZ9" s="103" t="s">
        <v>438</v>
      </c>
      <c r="BA9" s="103" t="s">
        <v>375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25</v>
      </c>
      <c r="E10" s="38">
        <f>IF(LEFT(VLOOKUP($B10,'Indicator chart'!$D$1:$J$36,5,FALSE),1)=" "," ",VLOOKUP($B10,'Indicator chart'!$D$1:$J$36,5,FALSE))</f>
        <v>331.74097664543524</v>
      </c>
      <c r="F10" s="38">
        <f>IF(LEFT(VLOOKUP($B10,'Indicator chart'!$D$1:$J$36,6,FALSE),1)=" "," ",VLOOKUP($B10,'Indicator chart'!$D$1:$J$36,6,FALSE))</f>
        <v>214.6248834601685</v>
      </c>
      <c r="G10" s="38">
        <f>IF(LEFT(VLOOKUP($B10,'Indicator chart'!$D$1:$J$36,7,FALSE),1)=" "," ",VLOOKUP($B10,'Indicator chart'!$D$1:$J$36,7,FALSE))</f>
        <v>489.7383577888226</v>
      </c>
      <c r="H10" s="50">
        <f t="shared" si="0"/>
        <v>2</v>
      </c>
      <c r="I10" s="38">
        <v>44.173431396484375</v>
      </c>
      <c r="J10" s="38">
        <v>202.62037658691406</v>
      </c>
      <c r="K10" s="38">
        <v>276.3790588378906</v>
      </c>
      <c r="L10" s="38">
        <v>334.3623046875</v>
      </c>
      <c r="M10" s="38">
        <v>691.4893798828125</v>
      </c>
      <c r="N10" s="80">
        <f>VLOOKUP('Hide - Control'!B$3,'All practice data'!A:CA,A10+29,FALSE)</f>
        <v>275.2161330921962</v>
      </c>
      <c r="O10" s="80">
        <f>VLOOKUP('Hide - Control'!C$3,'All practice data'!A:CA,A10+29,FALSE)</f>
        <v>234.12259778895606</v>
      </c>
      <c r="P10" s="38">
        <f>VLOOKUP('Hide - Control'!$B$4,'All practice data'!B:BC,A10+2,FALSE)</f>
        <v>2272</v>
      </c>
      <c r="Q10" s="38">
        <f>VLOOKUP('Hide - Control'!$B$4,'All practice data'!B:BC,3,FALSE)</f>
        <v>825533</v>
      </c>
      <c r="R10" s="38">
        <f>100000*(P10*(1-1/(9*P10)-1.96/(3*SQRT(P10)))^3)/Q10</f>
        <v>264.01440746180396</v>
      </c>
      <c r="S10" s="38">
        <f>100000*((P10+1)*(1-1/(9*(P10+1))+1.96/(3*SQRT(P10+1)))^3)/Q10</f>
        <v>286.77094766991934</v>
      </c>
      <c r="T10" s="53">
        <f t="shared" si="16"/>
        <v>691.4893798828125</v>
      </c>
      <c r="U10" s="51">
        <f t="shared" si="1"/>
        <v>44.173431396484375</v>
      </c>
      <c r="V10" s="7"/>
      <c r="W10" s="27">
        <f t="shared" si="2"/>
        <v>-138.73126220703125</v>
      </c>
      <c r="X10" s="27">
        <f t="shared" si="3"/>
        <v>691.4893798828125</v>
      </c>
      <c r="Y10" s="27">
        <f t="shared" si="4"/>
        <v>-138.73126220703125</v>
      </c>
      <c r="Z10" s="27">
        <f t="shared" si="5"/>
        <v>691.4893798828125</v>
      </c>
      <c r="AA10" s="32">
        <f t="shared" si="6"/>
        <v>0.2203085352625119</v>
      </c>
      <c r="AB10" s="33">
        <f t="shared" si="7"/>
        <v>0.4111577350506365</v>
      </c>
      <c r="AC10" s="33">
        <v>0.5</v>
      </c>
      <c r="AD10" s="33">
        <f t="shared" si="8"/>
        <v>0.5698407663096079</v>
      </c>
      <c r="AE10" s="33">
        <f t="shared" si="9"/>
        <v>1</v>
      </c>
      <c r="AF10" s="33">
        <f t="shared" si="10"/>
        <v>-999</v>
      </c>
      <c r="AG10" s="33">
        <f t="shared" si="11"/>
        <v>0.5666833790932815</v>
      </c>
      <c r="AH10" s="33">
        <f t="shared" si="12"/>
        <v>-999</v>
      </c>
      <c r="AI10" s="34">
        <f t="shared" si="13"/>
        <v>0.44910213152184947</v>
      </c>
      <c r="AJ10" s="4">
        <v>5.930037568584676</v>
      </c>
      <c r="AK10" s="32">
        <f t="shared" si="14"/>
        <v>-999</v>
      </c>
      <c r="AL10" s="34">
        <f t="shared" si="15"/>
        <v>-999</v>
      </c>
      <c r="AY10" s="103" t="s">
        <v>96</v>
      </c>
      <c r="AZ10" s="103" t="s">
        <v>97</v>
      </c>
      <c r="BA10" s="103" t="s">
        <v>555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154</v>
      </c>
      <c r="E11" s="38">
        <f>IF(LEFT(VLOOKUP($B11,'Indicator chart'!$D$1:$J$36,5,FALSE),1)=" "," ",VLOOKUP($B11,'Indicator chart'!$D$1:$J$36,5,FALSE))</f>
        <v>0.02</v>
      </c>
      <c r="F11" s="38">
        <f>IF(LEFT(VLOOKUP($B11,'Indicator chart'!$D$1:$J$36,6,FALSE),1)=" "," ",VLOOKUP($B11,'Indicator chart'!$D$1:$J$36,6,FALSE))</f>
        <v>0.017476645187360886</v>
      </c>
      <c r="G11" s="38">
        <f>IF(LEFT(VLOOKUP($B11,'Indicator chart'!$D$1:$J$36,7,FALSE),1)=" "," ",VLOOKUP($B11,'Indicator chart'!$D$1:$J$36,7,FALSE))</f>
        <v>0.02388252607162153</v>
      </c>
      <c r="H11" s="50">
        <f t="shared" si="0"/>
        <v>2</v>
      </c>
      <c r="I11" s="38">
        <v>0.006000000052154064</v>
      </c>
      <c r="J11" s="38">
        <v>0.017000000923871994</v>
      </c>
      <c r="K11" s="38">
        <v>0.019999999552965164</v>
      </c>
      <c r="L11" s="38">
        <v>0.023000000044703484</v>
      </c>
      <c r="M11" s="38">
        <v>0.04500000178813934</v>
      </c>
      <c r="N11" s="80">
        <f>VLOOKUP('Hide - Control'!B$3,'All practice data'!A:CA,A11+29,FALSE)</f>
        <v>0.019886546025416306</v>
      </c>
      <c r="O11" s="80">
        <f>VLOOKUP('Hide - Control'!C$3,'All practice data'!A:CA,A11+29,FALSE)</f>
        <v>0.015940726342527432</v>
      </c>
      <c r="P11" s="38">
        <f>VLOOKUP('Hide - Control'!$B$4,'All practice data'!B:BC,A11+2,FALSE)</f>
        <v>16417</v>
      </c>
      <c r="Q11" s="38">
        <f>VLOOKUP('Hide - Control'!$B$4,'All practice data'!B:BC,3,FALSE)</f>
        <v>825533</v>
      </c>
      <c r="R11" s="80">
        <f aca="true" t="shared" si="17" ref="R11:R16">+((2*P11+1.96^2-1.96*SQRT(1.96^2+4*P11*(1-P11/Q11)))/(2*(Q11+1.96^2)))</f>
        <v>0.01958760609480082</v>
      </c>
      <c r="S11" s="80">
        <f aca="true" t="shared" si="18" ref="S11:S16">+((2*P11+1.96^2+1.96*SQRT(1.96^2+4*P11*(1-P11/Q11)))/(2*(Q11+1.96^2)))</f>
        <v>0.02018995433043217</v>
      </c>
      <c r="T11" s="53">
        <f t="shared" si="16"/>
        <v>0.04500000178813934</v>
      </c>
      <c r="U11" s="51">
        <f t="shared" si="1"/>
        <v>0.006000000052154064</v>
      </c>
      <c r="V11" s="7"/>
      <c r="W11" s="27">
        <f t="shared" si="2"/>
        <v>-0.005000002682209015</v>
      </c>
      <c r="X11" s="27">
        <f t="shared" si="3"/>
        <v>0.04500000178813934</v>
      </c>
      <c r="Y11" s="27">
        <f t="shared" si="4"/>
        <v>-0.005000002682209015</v>
      </c>
      <c r="Z11" s="27">
        <f t="shared" si="5"/>
        <v>0.04500000178813934</v>
      </c>
      <c r="AA11" s="32">
        <f t="shared" si="6"/>
        <v>0.22000003501772566</v>
      </c>
      <c r="AB11" s="33">
        <f t="shared" si="7"/>
        <v>0.4400000327825517</v>
      </c>
      <c r="AC11" s="33">
        <v>0.5</v>
      </c>
      <c r="AD11" s="33">
        <f t="shared" si="8"/>
        <v>0.5600000044703479</v>
      </c>
      <c r="AE11" s="33">
        <f t="shared" si="9"/>
        <v>1</v>
      </c>
      <c r="AF11" s="33">
        <f t="shared" si="10"/>
        <v>-999</v>
      </c>
      <c r="AG11" s="33">
        <f t="shared" si="11"/>
        <v>0.500000008940696</v>
      </c>
      <c r="AH11" s="33">
        <f t="shared" si="12"/>
        <v>-999</v>
      </c>
      <c r="AI11" s="34">
        <f t="shared" si="13"/>
        <v>0.4188145430497908</v>
      </c>
      <c r="AJ11" s="4">
        <v>7.0060329939666</v>
      </c>
      <c r="AK11" s="32">
        <f t="shared" si="14"/>
        <v>-999</v>
      </c>
      <c r="AL11" s="34">
        <f t="shared" si="15"/>
        <v>-999</v>
      </c>
      <c r="AY11" s="103" t="s">
        <v>214</v>
      </c>
      <c r="AZ11" s="103" t="s">
        <v>215</v>
      </c>
      <c r="BA11" s="103" t="s">
        <v>555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731</v>
      </c>
      <c r="E12" s="38">
        <f>IF(LEFT(VLOOKUP($B12,'Indicator chart'!$D$1:$J$36,5,FALSE),1)=" "," ",VLOOKUP($B12,'Indicator chart'!$D$1:$J$36,5,FALSE))</f>
        <v>0.769474</v>
      </c>
      <c r="F12" s="38">
        <f>IF(LEFT(VLOOKUP($B12,'Indicator chart'!$D$1:$J$36,6,FALSE),1)=" "," ",VLOOKUP($B12,'Indicator chart'!$D$1:$J$36,6,FALSE))</f>
        <v>0.7416378223929476</v>
      </c>
      <c r="G12" s="38">
        <f>IF(LEFT(VLOOKUP($B12,'Indicator chart'!$D$1:$J$36,7,FALSE),1)=" "," ",VLOOKUP($B12,'Indicator chart'!$D$1:$J$36,7,FALSE))</f>
        <v>0.795138933831566</v>
      </c>
      <c r="H12" s="50">
        <f t="shared" si="0"/>
        <v>3</v>
      </c>
      <c r="I12" s="38">
        <v>0.47847801446914673</v>
      </c>
      <c r="J12" s="38">
        <v>0.6903079748153687</v>
      </c>
      <c r="K12" s="38">
        <v>0.7467430233955383</v>
      </c>
      <c r="L12" s="38">
        <v>0.77217698097229</v>
      </c>
      <c r="M12" s="38">
        <v>0.8286100029945374</v>
      </c>
      <c r="N12" s="80">
        <f>VLOOKUP('Hide - Control'!B$3,'All practice data'!A:CA,A12+29,FALSE)</f>
        <v>0.7307685203996823</v>
      </c>
      <c r="O12" s="80">
        <f>VLOOKUP('Hide - Control'!C$3,'All practice data'!A:CA,A12+29,FALSE)</f>
        <v>0.7248631360507991</v>
      </c>
      <c r="P12" s="38">
        <f>VLOOKUP('Hide - Control'!$B$4,'All practice data'!B:BC,A12+2,FALSE)</f>
        <v>79132</v>
      </c>
      <c r="Q12" s="38">
        <f>VLOOKUP('Hide - Control'!$B$4,'All practice data'!B:BJ,57,FALSE)</f>
        <v>108286</v>
      </c>
      <c r="R12" s="38">
        <f t="shared" si="17"/>
        <v>0.7281184292450763</v>
      </c>
      <c r="S12" s="38">
        <f t="shared" si="18"/>
        <v>0.7334022384516065</v>
      </c>
      <c r="T12" s="53">
        <f t="shared" si="16"/>
        <v>0.8286100029945374</v>
      </c>
      <c r="U12" s="51">
        <f t="shared" si="1"/>
        <v>0.47847801446914673</v>
      </c>
      <c r="V12" s="7"/>
      <c r="W12" s="27">
        <f t="shared" si="2"/>
        <v>0.47847801446914673</v>
      </c>
      <c r="X12" s="27">
        <f t="shared" si="3"/>
        <v>1.01500803232193</v>
      </c>
      <c r="Y12" s="27">
        <f t="shared" si="4"/>
        <v>0.47847801446914673</v>
      </c>
      <c r="Z12" s="27">
        <f t="shared" si="5"/>
        <v>1.01500803232193</v>
      </c>
      <c r="AA12" s="32">
        <f t="shared" si="6"/>
        <v>0</v>
      </c>
      <c r="AB12" s="33">
        <f t="shared" si="7"/>
        <v>0.39481474157582974</v>
      </c>
      <c r="AC12" s="33">
        <v>0.5</v>
      </c>
      <c r="AD12" s="33">
        <f t="shared" si="8"/>
        <v>0.5474045379204309</v>
      </c>
      <c r="AE12" s="33">
        <f t="shared" si="9"/>
        <v>0.6525860191879558</v>
      </c>
      <c r="AF12" s="33">
        <f t="shared" si="10"/>
        <v>-999</v>
      </c>
      <c r="AG12" s="33">
        <f t="shared" si="11"/>
        <v>-999</v>
      </c>
      <c r="AH12" s="33">
        <f t="shared" si="12"/>
        <v>0.5423666446388816</v>
      </c>
      <c r="AI12" s="34">
        <f t="shared" si="13"/>
        <v>0.4592196398771806</v>
      </c>
      <c r="AJ12" s="4">
        <v>8.082028419348523</v>
      </c>
      <c r="AK12" s="32">
        <f t="shared" si="14"/>
        <v>-999</v>
      </c>
      <c r="AL12" s="34">
        <f t="shared" si="15"/>
        <v>0.5423666446388816</v>
      </c>
      <c r="AY12" s="103" t="s">
        <v>261</v>
      </c>
      <c r="AZ12" s="103" t="s">
        <v>491</v>
      </c>
      <c r="BA12" s="103" t="s">
        <v>375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12</v>
      </c>
      <c r="E13" s="38">
        <f>IF(LEFT(VLOOKUP($B13,'Indicator chart'!$D$1:$J$36,5,FALSE),1)=" "," ",VLOOKUP($B13,'Indicator chart'!$D$1:$J$36,5,FALSE))</f>
        <v>0.571429</v>
      </c>
      <c r="F13" s="38">
        <f>IF(LEFT(VLOOKUP($B13,'Indicator chart'!$D$1:$J$36,6,FALSE),1)=" "," ",VLOOKUP($B13,'Indicator chart'!$D$1:$J$36,6,FALSE))</f>
        <v>0.3654621629703245</v>
      </c>
      <c r="G13" s="38">
        <f>IF(LEFT(VLOOKUP($B13,'Indicator chart'!$D$1:$J$36,7,FALSE),1)=" "," ",VLOOKUP($B13,'Indicator chart'!$D$1:$J$36,7,FALSE))</f>
        <v>0.7553030051347894</v>
      </c>
      <c r="H13" s="50">
        <f t="shared" si="0"/>
        <v>1</v>
      </c>
      <c r="I13" s="38">
        <v>0.1333329975605011</v>
      </c>
      <c r="J13" s="38">
        <v>0.3767684996128082</v>
      </c>
      <c r="K13" s="38">
        <v>0.5439140200614929</v>
      </c>
      <c r="L13" s="38">
        <v>0.7772390246391296</v>
      </c>
      <c r="M13" s="38">
        <v>0.8625540137290955</v>
      </c>
      <c r="N13" s="80">
        <f>VLOOKUP('Hide - Control'!B$3,'All practice data'!A:CA,A13+29,FALSE)</f>
        <v>0.7810960090973087</v>
      </c>
      <c r="O13" s="80">
        <f>VLOOKUP('Hide - Control'!C$3,'All practice data'!A:CA,A13+29,FALSE)</f>
        <v>0.7467412166569077</v>
      </c>
      <c r="P13" s="38">
        <f>VLOOKUP('Hide - Control'!$B$4,'All practice data'!B:BC,A13+2,FALSE)</f>
        <v>28849</v>
      </c>
      <c r="Q13" s="38">
        <f>VLOOKUP('Hide - Control'!$B$4,'All practice data'!B:BJ,58,FALSE)</f>
        <v>36934</v>
      </c>
      <c r="R13" s="38">
        <f t="shared" si="17"/>
        <v>0.7768497144367</v>
      </c>
      <c r="S13" s="38">
        <f t="shared" si="18"/>
        <v>0.7852838348067404</v>
      </c>
      <c r="T13" s="53">
        <f t="shared" si="16"/>
        <v>0.8625540137290955</v>
      </c>
      <c r="U13" s="51">
        <f t="shared" si="1"/>
        <v>0.1333329975605011</v>
      </c>
      <c r="V13" s="7"/>
      <c r="W13" s="27">
        <f t="shared" si="2"/>
        <v>0.1333329975605011</v>
      </c>
      <c r="X13" s="27">
        <f t="shared" si="3"/>
        <v>0.9544950425624847</v>
      </c>
      <c r="Y13" s="27">
        <f t="shared" si="4"/>
        <v>0.1333329975605011</v>
      </c>
      <c r="Z13" s="27">
        <f t="shared" si="5"/>
        <v>0.9544950425624847</v>
      </c>
      <c r="AA13" s="32">
        <f t="shared" si="6"/>
        <v>0</v>
      </c>
      <c r="AB13" s="33">
        <f t="shared" si="7"/>
        <v>0.2964524523922913</v>
      </c>
      <c r="AC13" s="33">
        <v>0.5</v>
      </c>
      <c r="AD13" s="33">
        <f t="shared" si="8"/>
        <v>0.7841400257084131</v>
      </c>
      <c r="AE13" s="33">
        <f t="shared" si="9"/>
        <v>0.8880354621928889</v>
      </c>
      <c r="AF13" s="33">
        <f t="shared" si="10"/>
        <v>-999</v>
      </c>
      <c r="AG13" s="33">
        <f t="shared" si="11"/>
        <v>-999</v>
      </c>
      <c r="AH13" s="33">
        <f t="shared" si="12"/>
        <v>0.5335073693505167</v>
      </c>
      <c r="AI13" s="34">
        <f t="shared" si="13"/>
        <v>0.7470002088259265</v>
      </c>
      <c r="AJ13" s="4">
        <v>9.158023844730446</v>
      </c>
      <c r="AK13" s="32">
        <f t="shared" si="14"/>
        <v>0.5335073693505167</v>
      </c>
      <c r="AL13" s="34">
        <f t="shared" si="15"/>
        <v>-999</v>
      </c>
      <c r="AY13" s="103" t="s">
        <v>260</v>
      </c>
      <c r="AZ13" s="103" t="s">
        <v>490</v>
      </c>
      <c r="BA13" s="103" t="s">
        <v>375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1386</v>
      </c>
      <c r="E14" s="38">
        <f>IF(LEFT(VLOOKUP($B14,'Indicator chart'!$D$1:$J$36,5,FALSE),1)=" "," ",VLOOKUP($B14,'Indicator chart'!$D$1:$J$36,5,FALSE))</f>
        <v>0.767867</v>
      </c>
      <c r="F14" s="38">
        <f>IF(LEFT(VLOOKUP($B14,'Indicator chart'!$D$1:$J$36,6,FALSE),1)=" "," ",VLOOKUP($B14,'Indicator chart'!$D$1:$J$36,6,FALSE))</f>
        <v>0.7478332152440919</v>
      </c>
      <c r="G14" s="38">
        <f>IF(LEFT(VLOOKUP($B14,'Indicator chart'!$D$1:$J$36,7,FALSE),1)=" "," ",VLOOKUP($B14,'Indicator chart'!$D$1:$J$36,7,FALSE))</f>
        <v>0.7867630700248892</v>
      </c>
      <c r="H14" s="50">
        <f t="shared" si="0"/>
        <v>2</v>
      </c>
      <c r="I14" s="38">
        <v>0.5884569883346558</v>
      </c>
      <c r="J14" s="38">
        <v>0.7550207376480103</v>
      </c>
      <c r="K14" s="38">
        <v>0.783066987991333</v>
      </c>
      <c r="L14" s="38">
        <v>0.7992042303085327</v>
      </c>
      <c r="M14" s="38">
        <v>0.854610025882721</v>
      </c>
      <c r="N14" s="80">
        <f>VLOOKUP('Hide - Control'!B$3,'All practice data'!A:CA,A14+29,FALSE)</f>
        <v>0.7749802393430903</v>
      </c>
      <c r="O14" s="80">
        <f>VLOOKUP('Hide - Control'!C$3,'All practice data'!A:CA,A14+29,FALSE)</f>
        <v>0.7559681673907895</v>
      </c>
      <c r="P14" s="38">
        <f>VLOOKUP('Hide - Control'!$B$4,'All practice data'!B:BC,A14+2,FALSE)</f>
        <v>153932</v>
      </c>
      <c r="Q14" s="38">
        <f>VLOOKUP('Hide - Control'!$B$4,'All practice data'!B:BJ,59,FALSE)</f>
        <v>198627</v>
      </c>
      <c r="R14" s="38">
        <f t="shared" si="17"/>
        <v>0.7731384242360856</v>
      </c>
      <c r="S14" s="38">
        <f t="shared" si="18"/>
        <v>0.7768114179942559</v>
      </c>
      <c r="T14" s="53">
        <f t="shared" si="16"/>
        <v>0.854610025882721</v>
      </c>
      <c r="U14" s="51">
        <f t="shared" si="1"/>
        <v>0.5884569883346558</v>
      </c>
      <c r="V14" s="7"/>
      <c r="W14" s="27">
        <f t="shared" si="2"/>
        <v>0.5884569883346558</v>
      </c>
      <c r="X14" s="27">
        <f t="shared" si="3"/>
        <v>0.9776769876480103</v>
      </c>
      <c r="Y14" s="27">
        <f t="shared" si="4"/>
        <v>0.5884569883346558</v>
      </c>
      <c r="Z14" s="27">
        <f t="shared" si="5"/>
        <v>0.9776769876480103</v>
      </c>
      <c r="AA14" s="32">
        <f t="shared" si="6"/>
        <v>0</v>
      </c>
      <c r="AB14" s="33">
        <f t="shared" si="7"/>
        <v>0.4279424222989549</v>
      </c>
      <c r="AC14" s="33">
        <v>0.5</v>
      </c>
      <c r="AD14" s="33">
        <f t="shared" si="8"/>
        <v>0.5414604654068864</v>
      </c>
      <c r="AE14" s="33">
        <f t="shared" si="9"/>
        <v>0.6838113098443069</v>
      </c>
      <c r="AF14" s="33">
        <f t="shared" si="10"/>
        <v>-999</v>
      </c>
      <c r="AG14" s="33">
        <f t="shared" si="11"/>
        <v>0.4609475668821021</v>
      </c>
      <c r="AH14" s="33">
        <f t="shared" si="12"/>
        <v>-999</v>
      </c>
      <c r="AI14" s="34">
        <f t="shared" si="13"/>
        <v>0.43037659768678366</v>
      </c>
      <c r="AJ14" s="4">
        <v>10.234019270112368</v>
      </c>
      <c r="AK14" s="32">
        <f t="shared" si="14"/>
        <v>-999</v>
      </c>
      <c r="AL14" s="34">
        <f t="shared" si="15"/>
        <v>-999</v>
      </c>
      <c r="AY14" s="103" t="s">
        <v>53</v>
      </c>
      <c r="AZ14" s="103" t="s">
        <v>498</v>
      </c>
      <c r="BA14" s="103" t="s">
        <v>555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580</v>
      </c>
      <c r="E15" s="38">
        <f>IF(LEFT(VLOOKUP($B15,'Indicator chart'!$D$1:$J$36,5,FALSE),1)=" "," ",VLOOKUP($B15,'Indicator chart'!$D$1:$J$36,5,FALSE))</f>
        <v>0.602911</v>
      </c>
      <c r="F15" s="38">
        <f>IF(LEFT(VLOOKUP($B15,'Indicator chart'!$D$1:$J$36,6,FALSE),1)=" "," ",VLOOKUP($B15,'Indicator chart'!$D$1:$J$36,6,FALSE))</f>
        <v>0.5716401423669933</v>
      </c>
      <c r="G15" s="38">
        <f>IF(LEFT(VLOOKUP($B15,'Indicator chart'!$D$1:$J$36,7,FALSE),1)=" "," ",VLOOKUP($B15,'Indicator chart'!$D$1:$J$36,7,FALSE))</f>
        <v>0.6333624170589002</v>
      </c>
      <c r="H15" s="50">
        <f t="shared" si="0"/>
        <v>3</v>
      </c>
      <c r="I15" s="38">
        <v>0.3093020021915436</v>
      </c>
      <c r="J15" s="38">
        <v>0.40032926201820374</v>
      </c>
      <c r="K15" s="38">
        <v>0.5681045055389404</v>
      </c>
      <c r="L15" s="38">
        <v>0.6019472479820251</v>
      </c>
      <c r="M15" s="38">
        <v>0.6586380004882812</v>
      </c>
      <c r="N15" s="80">
        <f>VLOOKUP('Hide - Control'!B$3,'All practice data'!A:CA,A15+29,FALSE)</f>
        <v>0.5242980668394706</v>
      </c>
      <c r="O15" s="80">
        <f>VLOOKUP('Hide - Control'!C$3,'All practice data'!A:CA,A15+29,FALSE)</f>
        <v>0.5147293797466616</v>
      </c>
      <c r="P15" s="38">
        <f>VLOOKUP('Hide - Control'!$B$4,'All practice data'!B:BC,A15+2,FALSE)</f>
        <v>52995</v>
      </c>
      <c r="Q15" s="38">
        <f>VLOOKUP('Hide - Control'!$B$4,'All practice data'!B:BJ,60,FALSE)</f>
        <v>101078</v>
      </c>
      <c r="R15" s="38">
        <f t="shared" si="17"/>
        <v>0.5212183814885544</v>
      </c>
      <c r="S15" s="38">
        <f t="shared" si="18"/>
        <v>0.5273759053017251</v>
      </c>
      <c r="T15" s="53">
        <f t="shared" si="16"/>
        <v>0.6586380004882812</v>
      </c>
      <c r="U15" s="51">
        <f t="shared" si="1"/>
        <v>0.3093020021915436</v>
      </c>
      <c r="V15" s="7"/>
      <c r="W15" s="27">
        <f t="shared" si="2"/>
        <v>0.3093020021915436</v>
      </c>
      <c r="X15" s="27">
        <f t="shared" si="3"/>
        <v>0.8269070088863373</v>
      </c>
      <c r="Y15" s="27">
        <f t="shared" si="4"/>
        <v>0.3093020021915436</v>
      </c>
      <c r="Z15" s="27">
        <f t="shared" si="5"/>
        <v>0.8269070088863373</v>
      </c>
      <c r="AA15" s="32">
        <f t="shared" si="6"/>
        <v>0</v>
      </c>
      <c r="AB15" s="33">
        <f t="shared" si="7"/>
        <v>0.1758624021199518</v>
      </c>
      <c r="AC15" s="33">
        <v>0.5</v>
      </c>
      <c r="AD15" s="33">
        <f t="shared" si="8"/>
        <v>0.565383336724639</v>
      </c>
      <c r="AE15" s="33">
        <f t="shared" si="9"/>
        <v>0.6749084606569966</v>
      </c>
      <c r="AF15" s="33">
        <f t="shared" si="10"/>
        <v>-999</v>
      </c>
      <c r="AG15" s="33">
        <f t="shared" si="11"/>
        <v>-999</v>
      </c>
      <c r="AH15" s="33">
        <f t="shared" si="12"/>
        <v>0.5672452816546716</v>
      </c>
      <c r="AI15" s="34">
        <f t="shared" si="13"/>
        <v>0.3968805844187833</v>
      </c>
      <c r="AJ15" s="4">
        <v>11.310014695494289</v>
      </c>
      <c r="AK15" s="32">
        <f t="shared" si="14"/>
        <v>-999</v>
      </c>
      <c r="AL15" s="34">
        <f t="shared" si="15"/>
        <v>0.5672452816546716</v>
      </c>
      <c r="AY15" s="103" t="s">
        <v>229</v>
      </c>
      <c r="AZ15" s="103" t="s">
        <v>230</v>
      </c>
      <c r="BA15" s="103" t="s">
        <v>375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274</v>
      </c>
      <c r="E16" s="38">
        <f>IF(LEFT(VLOOKUP($B16,'Indicator chart'!$D$1:$J$36,5,FALSE),1)=" "," ",VLOOKUP($B16,'Indicator chart'!$D$1:$J$36,5,FALSE))</f>
        <v>0.629885</v>
      </c>
      <c r="F16" s="38">
        <f>IF(LEFT(VLOOKUP($B16,'Indicator chart'!$D$1:$J$36,6,FALSE),1)=" "," ",VLOOKUP($B16,'Indicator chart'!$D$1:$J$36,6,FALSE))</f>
        <v>0.5835584333763418</v>
      </c>
      <c r="G16" s="38">
        <f>IF(LEFT(VLOOKUP($B16,'Indicator chart'!$D$1:$J$36,7,FALSE),1)=" "," ",VLOOKUP($B16,'Indicator chart'!$D$1:$J$36,7,FALSE))</f>
        <v>0.6739376654438247</v>
      </c>
      <c r="H16" s="50">
        <f t="shared" si="0"/>
        <v>2</v>
      </c>
      <c r="I16" s="38">
        <v>0.3986009955406189</v>
      </c>
      <c r="J16" s="38">
        <v>0.5899927616119385</v>
      </c>
      <c r="K16" s="38">
        <v>0.6184484958648682</v>
      </c>
      <c r="L16" s="38">
        <v>0.6372575163841248</v>
      </c>
      <c r="M16" s="38">
        <v>0.7142860293388367</v>
      </c>
      <c r="N16" s="80">
        <f>VLOOKUP('Hide - Control'!B$3,'All practice data'!A:CA,A16+29,FALSE)</f>
        <v>0.6148782514219978</v>
      </c>
      <c r="O16" s="80">
        <f>VLOOKUP('Hide - Control'!C$3,'All practice data'!A:CA,A16+29,FALSE)</f>
        <v>0.5752927626212945</v>
      </c>
      <c r="P16" s="38">
        <f>VLOOKUP('Hide - Control'!$B$4,'All practice data'!B:BC,A16+2,FALSE)</f>
        <v>28863</v>
      </c>
      <c r="Q16" s="38">
        <f>VLOOKUP('Hide - Control'!$B$4,'All practice data'!B:BJ,61,FALSE)</f>
        <v>46941</v>
      </c>
      <c r="R16" s="38">
        <f t="shared" si="17"/>
        <v>0.610466783044647</v>
      </c>
      <c r="S16" s="38">
        <f t="shared" si="18"/>
        <v>0.6192709183176258</v>
      </c>
      <c r="T16" s="53">
        <f aca="true" t="shared" si="19" ref="T16:T31">IF($C16=1,M16,I16)</f>
        <v>0.7142860293388367</v>
      </c>
      <c r="U16" s="51">
        <f aca="true" t="shared" si="20" ref="U16:U31">IF($C16=1,I16,M16)</f>
        <v>0.3986009955406189</v>
      </c>
      <c r="V16" s="7"/>
      <c r="W16" s="27">
        <f t="shared" si="2"/>
        <v>0.3986009955406189</v>
      </c>
      <c r="X16" s="27">
        <f t="shared" si="3"/>
        <v>0.8382959961891174</v>
      </c>
      <c r="Y16" s="27">
        <f t="shared" si="4"/>
        <v>0.3986009955406189</v>
      </c>
      <c r="Z16" s="27">
        <f t="shared" si="5"/>
        <v>0.8382959961891174</v>
      </c>
      <c r="AA16" s="32">
        <f t="shared" si="6"/>
        <v>0</v>
      </c>
      <c r="AB16" s="33">
        <f t="shared" si="7"/>
        <v>0.43528301615674314</v>
      </c>
      <c r="AC16" s="33">
        <v>0.5</v>
      </c>
      <c r="AD16" s="33">
        <f t="shared" si="8"/>
        <v>0.5427774263785476</v>
      </c>
      <c r="AE16" s="33">
        <f t="shared" si="9"/>
        <v>0.7179636642050043</v>
      </c>
      <c r="AF16" s="33">
        <f t="shared" si="10"/>
        <v>-999</v>
      </c>
      <c r="AG16" s="33">
        <f t="shared" si="11"/>
        <v>0.5260100845319241</v>
      </c>
      <c r="AH16" s="33">
        <f t="shared" si="12"/>
        <v>-999</v>
      </c>
      <c r="AI16" s="34">
        <f t="shared" si="13"/>
        <v>0.40185075295392475</v>
      </c>
      <c r="AJ16" s="4">
        <v>12.386010120876215</v>
      </c>
      <c r="AK16" s="32">
        <f t="shared" si="14"/>
        <v>-999</v>
      </c>
      <c r="AL16" s="34">
        <f t="shared" si="15"/>
        <v>-999</v>
      </c>
      <c r="AY16" s="103" t="s">
        <v>373</v>
      </c>
      <c r="AZ16" s="103" t="s">
        <v>394</v>
      </c>
      <c r="BA16" s="103" t="s">
        <v>555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245</v>
      </c>
      <c r="E17" s="38">
        <f>IF(LEFT(VLOOKUP($B17,'Indicator chart'!$D$1:$J$36,5,FALSE),1)=" "," ",VLOOKUP($B17,'Indicator chart'!$D$1:$J$36,5,FALSE))</f>
        <v>3251.0615711252653</v>
      </c>
      <c r="F17" s="38">
        <f>IF(LEFT(VLOOKUP($B17,'Indicator chart'!$D$1:$J$36,6,FALSE),1)=" "," ",VLOOKUP($B17,'Indicator chart'!$D$1:$J$36,6,FALSE))</f>
        <v>2856.660318616019</v>
      </c>
      <c r="G17" s="38">
        <f>IF(LEFT(VLOOKUP($B17,'Indicator chart'!$D$1:$J$36,7,FALSE),1)=" "," ",VLOOKUP($B17,'Indicator chart'!$D$1:$J$36,7,FALSE))</f>
        <v>3684.6893235851953</v>
      </c>
      <c r="H17" s="50">
        <f t="shared" si="0"/>
        <v>3</v>
      </c>
      <c r="I17" s="38">
        <v>653.8461303710938</v>
      </c>
      <c r="J17" s="38">
        <v>1507.3486328125</v>
      </c>
      <c r="K17" s="38">
        <v>2019.53271484375</v>
      </c>
      <c r="L17" s="38">
        <v>2325.388916015625</v>
      </c>
      <c r="M17" s="38">
        <v>6794.87158203125</v>
      </c>
      <c r="N17" s="80">
        <f>VLOOKUP('Hide - Control'!B$3,'All practice data'!A:CA,A17+29,FALSE)</f>
        <v>2039.1674227438516</v>
      </c>
      <c r="O17" s="80">
        <f>VLOOKUP('Hide - Control'!C$3,'All practice data'!A:CA,A17+29,FALSE)</f>
        <v>1812.1669120472948</v>
      </c>
      <c r="P17" s="38">
        <f>VLOOKUP('Hide - Control'!$B$4,'All practice data'!B:BC,A17+2,FALSE)</f>
        <v>16834</v>
      </c>
      <c r="Q17" s="38">
        <f>VLOOKUP('Hide - Control'!$B$4,'All practice data'!B:BC,3,FALSE)</f>
        <v>825533</v>
      </c>
      <c r="R17" s="38">
        <f>100000*(P17*(1-1/(9*P17)-1.96/(3*SQRT(P17)))^3)/Q17</f>
        <v>2008.4777260912156</v>
      </c>
      <c r="S17" s="38">
        <f>100000*((P17+1)*(1-1/(9*(P17+1))+1.96/(3*SQRT(P17+1)))^3)/Q17</f>
        <v>2070.2086426723745</v>
      </c>
      <c r="T17" s="53">
        <f t="shared" si="19"/>
        <v>6794.87158203125</v>
      </c>
      <c r="U17" s="51">
        <f t="shared" si="20"/>
        <v>653.8461303710938</v>
      </c>
      <c r="V17" s="7"/>
      <c r="W17" s="27">
        <f t="shared" si="2"/>
        <v>-2755.80615234375</v>
      </c>
      <c r="X17" s="27">
        <f t="shared" si="3"/>
        <v>6794.87158203125</v>
      </c>
      <c r="Y17" s="27">
        <f t="shared" si="4"/>
        <v>-2755.80615234375</v>
      </c>
      <c r="Z17" s="27">
        <f t="shared" si="5"/>
        <v>6794.87158203125</v>
      </c>
      <c r="AA17" s="32">
        <f t="shared" si="6"/>
        <v>0.35700631699075674</v>
      </c>
      <c r="AB17" s="33">
        <f t="shared" si="7"/>
        <v>0.4463719647677163</v>
      </c>
      <c r="AC17" s="33">
        <v>0.5</v>
      </c>
      <c r="AD17" s="33">
        <f t="shared" si="8"/>
        <v>0.5320245546628624</v>
      </c>
      <c r="AE17" s="33">
        <f t="shared" si="9"/>
        <v>1</v>
      </c>
      <c r="AF17" s="33">
        <f t="shared" si="10"/>
        <v>-999</v>
      </c>
      <c r="AG17" s="33">
        <f t="shared" si="11"/>
        <v>-999</v>
      </c>
      <c r="AH17" s="33">
        <f t="shared" si="12"/>
        <v>0.628946750223701</v>
      </c>
      <c r="AI17" s="34">
        <f t="shared" si="13"/>
        <v>0.47828784421757836</v>
      </c>
      <c r="AJ17" s="4">
        <v>13.462005546258133</v>
      </c>
      <c r="AK17" s="32">
        <f t="shared" si="14"/>
        <v>-999</v>
      </c>
      <c r="AL17" s="34">
        <f t="shared" si="15"/>
        <v>0.628946750223701</v>
      </c>
      <c r="AY17" s="103" t="s">
        <v>103</v>
      </c>
      <c r="AZ17" s="103" t="s">
        <v>104</v>
      </c>
      <c r="BA17" s="103" t="s">
        <v>375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245</v>
      </c>
      <c r="E18" s="80">
        <f>IF(LEFT(VLOOKUP($B18,'Indicator chart'!$D$1:$J$36,5,FALSE),1)=" "," ",VLOOKUP($B18,'Indicator chart'!$D$1:$J$36,5,FALSE))</f>
        <v>1.51709259</v>
      </c>
      <c r="F18" s="81">
        <f>IF(LEFT(VLOOKUP($B18,'Indicator chart'!$D$1:$J$36,6,FALSE),1)=" "," ",VLOOKUP($B18,'Indicator chart'!$D$1:$J$36,6,FALSE))</f>
        <v>1.3330572509999998</v>
      </c>
      <c r="G18" s="38">
        <f>IF(LEFT(VLOOKUP($B18,'Indicator chart'!$D$1:$J$36,7,FALSE),1)=" "," ",VLOOKUP($B18,'Indicator chart'!$D$1:$J$36,7,FALSE))</f>
        <v>1.719434052</v>
      </c>
      <c r="H18" s="50">
        <f>IF(LEFT(F18,1)=" ",4,IF(AND(ABS(N18-E18)&gt;SQRT((E18-G18)^2+(N18-R18)^2),E18&lt;N18),1,IF(AND(ABS(N18-E18)&gt;SQRT((E18-F18)^2+(N18-S18)^2),E18&gt;N18),3,2)))</f>
        <v>3</v>
      </c>
      <c r="I18" s="38">
        <v>0.32280299067497253</v>
      </c>
      <c r="J18" s="38"/>
      <c r="K18" s="38">
        <v>1</v>
      </c>
      <c r="L18" s="38"/>
      <c r="M18" s="38">
        <v>2.165602684020996</v>
      </c>
      <c r="N18" s="80">
        <v>1</v>
      </c>
      <c r="O18" s="80">
        <f>VLOOKUP('Hide - Control'!C$3,'All practice data'!A:CA,A18+29,FALSE)</f>
        <v>1</v>
      </c>
      <c r="P18" s="38">
        <f>VLOOKUP('Hide - Control'!$B$4,'All practice data'!B:BC,A18+2,FALSE)</f>
        <v>16834</v>
      </c>
      <c r="Q18" s="38">
        <f>VLOOKUP('Hide - Control'!$B$4,'All practice data'!B:BC,14,FALSE)</f>
        <v>16834</v>
      </c>
      <c r="R18" s="81">
        <v>1</v>
      </c>
      <c r="S18" s="38">
        <v>1</v>
      </c>
      <c r="T18" s="53">
        <f t="shared" si="19"/>
        <v>2.165602684020996</v>
      </c>
      <c r="U18" s="51">
        <f t="shared" si="20"/>
        <v>0.32280299067497253</v>
      </c>
      <c r="V18" s="7"/>
      <c r="W18" s="27">
        <f>IF((K18-I18)&gt;(M18-K18),I18,(K18-(M18-K18)))</f>
        <v>-0.1656026840209961</v>
      </c>
      <c r="X18" s="27">
        <f t="shared" si="3"/>
        <v>2.165602684020996</v>
      </c>
      <c r="Y18" s="27">
        <f t="shared" si="4"/>
        <v>-0.1656026840209961</v>
      </c>
      <c r="Z18" s="27">
        <f t="shared" si="5"/>
        <v>2.165602684020996</v>
      </c>
      <c r="AA18" s="32" t="s">
        <v>375</v>
      </c>
      <c r="AB18" s="33" t="s">
        <v>375</v>
      </c>
      <c r="AC18" s="33">
        <v>0.5</v>
      </c>
      <c r="AD18" s="33" t="s">
        <v>375</v>
      </c>
      <c r="AE18" s="33" t="s">
        <v>375</v>
      </c>
      <c r="AF18" s="33">
        <f t="shared" si="10"/>
        <v>-999</v>
      </c>
      <c r="AG18" s="33">
        <f t="shared" si="11"/>
        <v>-999</v>
      </c>
      <c r="AH18" s="33">
        <f t="shared" si="12"/>
        <v>0.7218134005217706</v>
      </c>
      <c r="AI18" s="34">
        <v>0.5</v>
      </c>
      <c r="AJ18" s="4">
        <v>14.538000971640056</v>
      </c>
      <c r="AK18" s="32">
        <f t="shared" si="14"/>
        <v>-999</v>
      </c>
      <c r="AL18" s="34">
        <f t="shared" si="15"/>
        <v>0.7218134005217706</v>
      </c>
      <c r="AY18" s="103" t="s">
        <v>105</v>
      </c>
      <c r="AZ18" s="103" t="s">
        <v>106</v>
      </c>
      <c r="BA18" s="103" t="s">
        <v>375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0.061224489795918366</v>
      </c>
      <c r="F19" s="38">
        <f>IF(LEFT(VLOOKUP($B19,'Indicator chart'!$D$1:$J$36,6,FALSE),1)=" "," ",VLOOKUP($B19,'Indicator chart'!$D$1:$J$36,6,FALSE))</f>
        <v>0.03745002585236647</v>
      </c>
      <c r="G19" s="38">
        <f>IF(LEFT(VLOOKUP($B19,'Indicator chart'!$D$1:$J$36,7,FALSE),1)=" "," ",VLOOKUP($B19,'Indicator chart'!$D$1:$J$36,7,FALSE))</f>
        <v>0.09854652777853769</v>
      </c>
      <c r="H19" s="50">
        <f t="shared" si="0"/>
        <v>1</v>
      </c>
      <c r="I19" s="38">
        <v>0.02070442959666252</v>
      </c>
      <c r="J19" s="38">
        <v>0.07824920862913132</v>
      </c>
      <c r="K19" s="38">
        <v>0.10682586580514908</v>
      </c>
      <c r="L19" s="38">
        <v>0.14407120645046234</v>
      </c>
      <c r="M19" s="38">
        <v>0.32786884903907776</v>
      </c>
      <c r="N19" s="80">
        <f>VLOOKUP('Hide - Control'!B$3,'All practice data'!A:CA,A19+29,FALSE)</f>
        <v>0.10769870500178211</v>
      </c>
      <c r="O19" s="80">
        <f>VLOOKUP('Hide - Control'!C$3,'All practice data'!A:CA,A19+29,FALSE)</f>
        <v>0.10919341638628717</v>
      </c>
      <c r="P19" s="38">
        <f>VLOOKUP('Hide - Control'!$B$4,'All practice data'!B:BC,A19+2,FALSE)</f>
        <v>1813</v>
      </c>
      <c r="Q19" s="38">
        <f>VLOOKUP('Hide - Control'!$B$4,'All practice data'!B:BC,15,FALSE)</f>
        <v>16834</v>
      </c>
      <c r="R19" s="38">
        <f>+((2*P19+1.96^2-1.96*SQRT(1.96^2+4*P19*(1-P19/Q19)))/(2*(Q19+1.96^2)))</f>
        <v>0.10310489655603398</v>
      </c>
      <c r="S19" s="38">
        <f>+((2*P19+1.96^2+1.96*SQRT(1.96^2+4*P19*(1-P19/Q19)))/(2*(Q19+1.96^2)))</f>
        <v>0.11247152269238085</v>
      </c>
      <c r="T19" s="53">
        <f t="shared" si="19"/>
        <v>0.32786884903907776</v>
      </c>
      <c r="U19" s="51">
        <f t="shared" si="20"/>
        <v>0.02070442959666252</v>
      </c>
      <c r="V19" s="7"/>
      <c r="W19" s="27">
        <f t="shared" si="2"/>
        <v>-0.1142171174287796</v>
      </c>
      <c r="X19" s="27">
        <f t="shared" si="3"/>
        <v>0.32786884903907776</v>
      </c>
      <c r="Y19" s="27">
        <f t="shared" si="4"/>
        <v>-0.1142171174287796</v>
      </c>
      <c r="Z19" s="27">
        <f t="shared" si="5"/>
        <v>0.32786884903907776</v>
      </c>
      <c r="AA19" s="32">
        <f t="shared" si="6"/>
        <v>0.30519301054368986</v>
      </c>
      <c r="AB19" s="33">
        <f t="shared" si="7"/>
        <v>0.43535950167263343</v>
      </c>
      <c r="AC19" s="33">
        <v>0.5</v>
      </c>
      <c r="AD19" s="33">
        <f t="shared" si="8"/>
        <v>0.5842490906076324</v>
      </c>
      <c r="AE19" s="33">
        <f t="shared" si="9"/>
        <v>1</v>
      </c>
      <c r="AF19" s="33">
        <f t="shared" si="10"/>
        <v>-999</v>
      </c>
      <c r="AG19" s="33">
        <f t="shared" si="11"/>
        <v>-999</v>
      </c>
      <c r="AH19" s="33">
        <f t="shared" si="12"/>
        <v>0.39684952821829456</v>
      </c>
      <c r="AI19" s="34">
        <f t="shared" si="13"/>
        <v>0.5053554076824789</v>
      </c>
      <c r="AJ19" s="4">
        <v>15.61399639702198</v>
      </c>
      <c r="AK19" s="32">
        <f t="shared" si="14"/>
        <v>0.39684952821829456</v>
      </c>
      <c r="AL19" s="34">
        <f t="shared" si="15"/>
        <v>-999</v>
      </c>
      <c r="AY19" s="103" t="s">
        <v>270</v>
      </c>
      <c r="AZ19" s="103" t="s">
        <v>494</v>
      </c>
      <c r="BA19" s="103" t="s">
        <v>375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31</v>
      </c>
      <c r="E20" s="38">
        <f>IF(LEFT(VLOOKUP($B20,'Indicator chart'!$D$1:$J$36,5,FALSE),1)=" "," ",VLOOKUP($B20,'Indicator chart'!$D$1:$J$36,5,FALSE))</f>
        <v>0.4838709677419355</v>
      </c>
      <c r="F20" s="38">
        <f>IF(LEFT(VLOOKUP($B20,'Indicator chart'!$D$1:$J$36,6,FALSE),1)=" "," ",VLOOKUP($B20,'Indicator chart'!$D$1:$J$36,6,FALSE))</f>
        <v>0.3196998603127883</v>
      </c>
      <c r="G20" s="38">
        <f>IF(LEFT(VLOOKUP($B20,'Indicator chart'!$D$1:$J$36,7,FALSE),1)=" "," ",VLOOKUP($B20,'Indicator chart'!$D$1:$J$36,7,FALSE))</f>
        <v>0.6515988171302682</v>
      </c>
      <c r="H20" s="50">
        <f t="shared" si="0"/>
        <v>2</v>
      </c>
      <c r="I20" s="38">
        <v>0.09238772839307785</v>
      </c>
      <c r="J20" s="38">
        <v>0.3482142984867096</v>
      </c>
      <c r="K20" s="38">
        <v>0.42462122440338135</v>
      </c>
      <c r="L20" s="38">
        <v>0.490153968334198</v>
      </c>
      <c r="M20" s="38">
        <v>0.7142857313156128</v>
      </c>
      <c r="N20" s="80">
        <f>VLOOKUP('Hide - Control'!B$3,'All practice data'!A:CA,A20+29,FALSE)</f>
        <v>0.42084493964716807</v>
      </c>
      <c r="O20" s="80">
        <f>VLOOKUP('Hide - Control'!C$3,'All practice data'!A:CA,A20+29,FALSE)</f>
        <v>0.4534552930810221</v>
      </c>
      <c r="P20" s="38">
        <f>VLOOKUP('Hide - Control'!$B$4,'All practice data'!B:BC,A20+1,FALSE)</f>
        <v>1813</v>
      </c>
      <c r="Q20" s="38">
        <f>VLOOKUP('Hide - Control'!$B$4,'All practice data'!B:BC,A20+2,FALSE)</f>
        <v>4308</v>
      </c>
      <c r="R20" s="38">
        <f>+((2*P20+1.96^2-1.96*SQRT(1.96^2+4*P20*(1-P20/Q20)))/(2*(Q20+1.96^2)))</f>
        <v>0.4061791732750343</v>
      </c>
      <c r="S20" s="38">
        <f>+((2*P20+1.96^2+1.96*SQRT(1.96^2+4*P20*(1-P20/Q20)))/(2*(Q20+1.96^2)))</f>
        <v>0.43565175112627036</v>
      </c>
      <c r="T20" s="53">
        <f t="shared" si="19"/>
        <v>0.7142857313156128</v>
      </c>
      <c r="U20" s="51">
        <f t="shared" si="20"/>
        <v>0.09238772839307785</v>
      </c>
      <c r="V20" s="7"/>
      <c r="W20" s="27">
        <f t="shared" si="2"/>
        <v>0.09238772839307785</v>
      </c>
      <c r="X20" s="27">
        <f t="shared" si="3"/>
        <v>0.7568547204136848</v>
      </c>
      <c r="Y20" s="27">
        <f t="shared" si="4"/>
        <v>0.09238772839307785</v>
      </c>
      <c r="Z20" s="27">
        <f t="shared" si="5"/>
        <v>0.7568547204136848</v>
      </c>
      <c r="AA20" s="32">
        <f t="shared" si="6"/>
        <v>0</v>
      </c>
      <c r="AB20" s="33">
        <f t="shared" si="7"/>
        <v>0.38501020090656035</v>
      </c>
      <c r="AC20" s="33">
        <v>0.5</v>
      </c>
      <c r="AD20" s="33">
        <f t="shared" si="8"/>
        <v>0.5986245287091466</v>
      </c>
      <c r="AE20" s="33">
        <f t="shared" si="9"/>
        <v>0.9359351335592726</v>
      </c>
      <c r="AF20" s="33">
        <f t="shared" si="10"/>
        <v>-999</v>
      </c>
      <c r="AG20" s="33">
        <f t="shared" si="11"/>
        <v>0.5891688286251496</v>
      </c>
      <c r="AH20" s="33">
        <f t="shared" si="12"/>
        <v>-999</v>
      </c>
      <c r="AI20" s="34">
        <f t="shared" si="13"/>
        <v>0.543394282972519</v>
      </c>
      <c r="AJ20" s="4">
        <v>16.689991822403904</v>
      </c>
      <c r="AK20" s="32">
        <f t="shared" si="14"/>
        <v>-999</v>
      </c>
      <c r="AL20" s="34">
        <f t="shared" si="15"/>
        <v>-999</v>
      </c>
      <c r="AY20" s="103" t="s">
        <v>211</v>
      </c>
      <c r="AZ20" s="103" t="s">
        <v>475</v>
      </c>
      <c r="BA20" s="103" t="s">
        <v>375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54</v>
      </c>
      <c r="E21" s="38">
        <f>IF(LEFT(VLOOKUP($B21,'Indicator chart'!$D$1:$J$36,5,FALSE),1)=" "," ",VLOOKUP($B21,'Indicator chart'!$D$1:$J$36,5,FALSE))</f>
        <v>716.5605095541401</v>
      </c>
      <c r="F21" s="38">
        <f>IF(LEFT(VLOOKUP($B21,'Indicator chart'!$D$1:$J$36,6,FALSE),1)=" "," ",VLOOKUP($B21,'Indicator chart'!$D$1:$J$36,6,FALSE))</f>
        <v>538.2631616687927</v>
      </c>
      <c r="G21" s="38">
        <f>IF(LEFT(VLOOKUP($B21,'Indicator chart'!$D$1:$J$36,7,FALSE),1)=" "," ",VLOOKUP($B21,'Indicator chart'!$D$1:$J$36,7,FALSE))</f>
        <v>934.9783323135115</v>
      </c>
      <c r="H21" s="50">
        <f t="shared" si="0"/>
        <v>3</v>
      </c>
      <c r="I21" s="38">
        <v>61.46357345581055</v>
      </c>
      <c r="J21" s="38">
        <v>312.4896240234375</v>
      </c>
      <c r="K21" s="38">
        <v>377.7947692871094</v>
      </c>
      <c r="L21" s="38">
        <v>474.0499572753906</v>
      </c>
      <c r="M21" s="38">
        <v>825.4815063476562</v>
      </c>
      <c r="N21" s="80">
        <f>VLOOKUP('Hide - Control'!B$3,'All practice data'!A:CA,A21+29,FALSE)</f>
        <v>397.68246696376764</v>
      </c>
      <c r="O21" s="80">
        <f>VLOOKUP('Hide - Control'!C$3,'All practice data'!A:CA,A21+29,FALSE)</f>
        <v>377.7293140102421</v>
      </c>
      <c r="P21" s="38">
        <f>VLOOKUP('Hide - Control'!$B$4,'All practice data'!B:BC,A21+2,FALSE)</f>
        <v>3283</v>
      </c>
      <c r="Q21" s="38">
        <f>VLOOKUP('Hide - Control'!$B$4,'All practice data'!B:BC,3,FALSE)</f>
        <v>825533</v>
      </c>
      <c r="R21" s="38">
        <f aca="true" t="shared" si="21" ref="R21:R27">100000*(P21*(1-1/(9*P21)-1.96/(3*SQRT(P21)))^3)/Q21</f>
        <v>384.1938314219045</v>
      </c>
      <c r="S21" s="38">
        <f aca="true" t="shared" si="22" ref="S21:S27">100000*((P21+1)*(1-1/(9*(P21+1))+1.96/(3*SQRT(P21+1)))^3)/Q21</f>
        <v>411.523776321334</v>
      </c>
      <c r="T21" s="53">
        <f t="shared" si="19"/>
        <v>825.4815063476562</v>
      </c>
      <c r="U21" s="51">
        <f t="shared" si="20"/>
        <v>61.46357345581055</v>
      </c>
      <c r="V21" s="7"/>
      <c r="W21" s="27">
        <f t="shared" si="2"/>
        <v>-69.8919677734375</v>
      </c>
      <c r="X21" s="27">
        <f t="shared" si="3"/>
        <v>825.4815063476562</v>
      </c>
      <c r="Y21" s="27">
        <f t="shared" si="4"/>
        <v>-69.8919677734375</v>
      </c>
      <c r="Z21" s="27">
        <f t="shared" si="5"/>
        <v>825.4815063476562</v>
      </c>
      <c r="AA21" s="32">
        <f t="shared" si="6"/>
        <v>0.14670474949929443</v>
      </c>
      <c r="AB21" s="33">
        <f t="shared" si="7"/>
        <v>0.42706379276225936</v>
      </c>
      <c r="AC21" s="33">
        <v>0.5</v>
      </c>
      <c r="AD21" s="33">
        <f t="shared" si="8"/>
        <v>0.6075028362692632</v>
      </c>
      <c r="AE21" s="33">
        <f t="shared" si="9"/>
        <v>1</v>
      </c>
      <c r="AF21" s="33">
        <f t="shared" si="10"/>
        <v>-999</v>
      </c>
      <c r="AG21" s="33">
        <f t="shared" si="11"/>
        <v>-999</v>
      </c>
      <c r="AH21" s="33">
        <f t="shared" si="12"/>
        <v>0.8783513249591921</v>
      </c>
      <c r="AI21" s="34">
        <f t="shared" si="13"/>
        <v>0.49992689611792274</v>
      </c>
      <c r="AJ21" s="4">
        <v>17.765987247785823</v>
      </c>
      <c r="AK21" s="32">
        <f t="shared" si="14"/>
        <v>-999</v>
      </c>
      <c r="AL21" s="34">
        <f t="shared" si="15"/>
        <v>0.8783513249591921</v>
      </c>
      <c r="AY21" s="103" t="s">
        <v>123</v>
      </c>
      <c r="AZ21" s="103" t="s">
        <v>449</v>
      </c>
      <c r="BA21" s="103" t="s">
        <v>375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55</v>
      </c>
      <c r="E22" s="38">
        <f>IF(LEFT(VLOOKUP($B22,'Indicator chart'!$D$1:$J$36,5,FALSE),1)=" "," ",VLOOKUP($B22,'Indicator chart'!$D$1:$J$36,5,FALSE))</f>
        <v>729.8301486199575</v>
      </c>
      <c r="F22" s="38">
        <f>IF(LEFT(VLOOKUP($B22,'Indicator chart'!$D$1:$J$36,6,FALSE),1)=" "," ",VLOOKUP($B22,'Indicator chart'!$D$1:$J$36,6,FALSE))</f>
        <v>549.7691732910002</v>
      </c>
      <c r="G22" s="38">
        <f>IF(LEFT(VLOOKUP($B22,'Indicator chart'!$D$1:$J$36,7,FALSE),1)=" "," ",VLOOKUP($B22,'Indicator chart'!$D$1:$J$36,7,FALSE))</f>
        <v>949.9965118745529</v>
      </c>
      <c r="H22" s="50">
        <f t="shared" si="0"/>
        <v>3</v>
      </c>
      <c r="I22" s="38">
        <v>18.07059669494629</v>
      </c>
      <c r="J22" s="38">
        <v>195.1082000732422</v>
      </c>
      <c r="K22" s="38">
        <v>286.4712829589844</v>
      </c>
      <c r="L22" s="38">
        <v>392.96826171875</v>
      </c>
      <c r="M22" s="38">
        <v>2256.41015625</v>
      </c>
      <c r="N22" s="80">
        <f>VLOOKUP('Hide - Control'!B$3,'All practice data'!A:CA,A22+29,FALSE)</f>
        <v>311.4351576496639</v>
      </c>
      <c r="O22" s="80">
        <f>VLOOKUP('Hide - Control'!C$3,'All practice data'!A:CA,A22+29,FALSE)</f>
        <v>282.45290788403287</v>
      </c>
      <c r="P22" s="38">
        <f>VLOOKUP('Hide - Control'!$B$4,'All practice data'!B:BC,A22+2,FALSE)</f>
        <v>2571</v>
      </c>
      <c r="Q22" s="38">
        <f>VLOOKUP('Hide - Control'!$B$4,'All practice data'!B:BC,3,FALSE)</f>
        <v>825533</v>
      </c>
      <c r="R22" s="38">
        <f t="shared" si="21"/>
        <v>299.5117568267362</v>
      </c>
      <c r="S22" s="38">
        <f t="shared" si="22"/>
        <v>323.71149946199387</v>
      </c>
      <c r="T22" s="53">
        <f t="shared" si="19"/>
        <v>2256.41015625</v>
      </c>
      <c r="U22" s="51">
        <f t="shared" si="20"/>
        <v>18.07059669494629</v>
      </c>
      <c r="V22" s="7"/>
      <c r="W22" s="27">
        <f t="shared" si="2"/>
        <v>-1683.4675903320312</v>
      </c>
      <c r="X22" s="27">
        <f t="shared" si="3"/>
        <v>2256.41015625</v>
      </c>
      <c r="Y22" s="27">
        <f t="shared" si="4"/>
        <v>-1683.4675903320312</v>
      </c>
      <c r="Z22" s="27">
        <f t="shared" si="5"/>
        <v>2256.41015625</v>
      </c>
      <c r="AA22" s="32">
        <f t="shared" si="6"/>
        <v>0.431875884601525</v>
      </c>
      <c r="AB22" s="33">
        <f t="shared" si="7"/>
        <v>0.4768106807463753</v>
      </c>
      <c r="AC22" s="33">
        <v>0.5</v>
      </c>
      <c r="AD22" s="33">
        <f t="shared" si="8"/>
        <v>0.52703052876505</v>
      </c>
      <c r="AE22" s="33">
        <f t="shared" si="9"/>
        <v>1</v>
      </c>
      <c r="AF22" s="33">
        <f t="shared" si="10"/>
        <v>-999</v>
      </c>
      <c r="AG22" s="33">
        <f t="shared" si="11"/>
        <v>-999</v>
      </c>
      <c r="AH22" s="33">
        <f t="shared" si="12"/>
        <v>0.6125311225825728</v>
      </c>
      <c r="AI22" s="34">
        <f t="shared" si="13"/>
        <v>0.4989800762019995</v>
      </c>
      <c r="AJ22" s="4">
        <v>18.841982673167745</v>
      </c>
      <c r="AK22" s="32">
        <f t="shared" si="14"/>
        <v>-999</v>
      </c>
      <c r="AL22" s="34">
        <f t="shared" si="15"/>
        <v>0.6125311225825728</v>
      </c>
      <c r="AY22" s="103" t="s">
        <v>149</v>
      </c>
      <c r="AZ22" s="103" t="s">
        <v>459</v>
      </c>
      <c r="BA22" s="103" t="s">
        <v>375</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92.88747346072186</v>
      </c>
      <c r="F23" s="38">
        <f>IF(LEFT(VLOOKUP($B23,'Indicator chart'!$D$1:$J$36,6,FALSE),1)=" "," ",VLOOKUP($B23,'Indicator chart'!$D$1:$J$36,6,FALSE))</f>
        <v>37.21309581446946</v>
      </c>
      <c r="G23" s="38">
        <f>IF(LEFT(VLOOKUP($B23,'Indicator chart'!$D$1:$J$36,7,FALSE),1)=" "," ",VLOOKUP($B23,'Indicator chart'!$D$1:$J$36,7,FALSE))</f>
        <v>191.39349068853716</v>
      </c>
      <c r="H23" s="50">
        <f t="shared" si="0"/>
        <v>2</v>
      </c>
      <c r="I23" s="38">
        <v>3.248678207397461</v>
      </c>
      <c r="J23" s="38">
        <v>40.41620635986328</v>
      </c>
      <c r="K23" s="38">
        <v>57.073150634765625</v>
      </c>
      <c r="L23" s="38">
        <v>75.61266326904297</v>
      </c>
      <c r="M23" s="38">
        <v>152.5054473876953</v>
      </c>
      <c r="N23" s="80">
        <f>VLOOKUP('Hide - Control'!B$3,'All practice data'!A:CA,A23+29,FALSE)</f>
        <v>60.44579683671034</v>
      </c>
      <c r="O23" s="80">
        <f>VLOOKUP('Hide - Control'!C$3,'All practice data'!A:CA,A23+29,FALSE)</f>
        <v>70.46674929228394</v>
      </c>
      <c r="P23" s="38">
        <f>VLOOKUP('Hide - Control'!$B$4,'All practice data'!B:BC,A23+2,FALSE)</f>
        <v>499</v>
      </c>
      <c r="Q23" s="38">
        <f>VLOOKUP('Hide - Control'!$B$4,'All practice data'!B:BC,3,FALSE)</f>
        <v>825533</v>
      </c>
      <c r="R23" s="38">
        <f t="shared" si="21"/>
        <v>55.25774470000185</v>
      </c>
      <c r="S23" s="38">
        <f t="shared" si="22"/>
        <v>65.98972020670752</v>
      </c>
      <c r="T23" s="53">
        <f t="shared" si="19"/>
        <v>152.5054473876953</v>
      </c>
      <c r="U23" s="51">
        <f t="shared" si="20"/>
        <v>3.248678207397461</v>
      </c>
      <c r="V23" s="7"/>
      <c r="W23" s="27">
        <f t="shared" si="2"/>
        <v>-38.35914611816406</v>
      </c>
      <c r="X23" s="27">
        <f t="shared" si="3"/>
        <v>152.5054473876953</v>
      </c>
      <c r="Y23" s="27">
        <f t="shared" si="4"/>
        <v>-38.35914611816406</v>
      </c>
      <c r="Z23" s="27">
        <f t="shared" si="5"/>
        <v>152.5054473876953</v>
      </c>
      <c r="AA23" s="32">
        <f t="shared" si="6"/>
        <v>0.217996557461477</v>
      </c>
      <c r="AB23" s="33">
        <f t="shared" si="7"/>
        <v>0.412728998244554</v>
      </c>
      <c r="AC23" s="33">
        <v>0.5</v>
      </c>
      <c r="AD23" s="33">
        <f t="shared" si="8"/>
        <v>0.5971343730848027</v>
      </c>
      <c r="AE23" s="33">
        <f t="shared" si="9"/>
        <v>1</v>
      </c>
      <c r="AF23" s="33">
        <f t="shared" si="10"/>
        <v>-999</v>
      </c>
      <c r="AG23" s="33">
        <f t="shared" si="11"/>
        <v>0.6876425698874149</v>
      </c>
      <c r="AH23" s="33">
        <f t="shared" si="12"/>
        <v>-999</v>
      </c>
      <c r="AI23" s="34">
        <f t="shared" si="13"/>
        <v>0.5701733014568108</v>
      </c>
      <c r="AJ23" s="4">
        <v>19.917978098549675</v>
      </c>
      <c r="AK23" s="32">
        <f t="shared" si="14"/>
        <v>-999</v>
      </c>
      <c r="AL23" s="34">
        <f t="shared" si="15"/>
        <v>-999</v>
      </c>
      <c r="AY23" s="103" t="s">
        <v>264</v>
      </c>
      <c r="AZ23" s="103" t="s">
        <v>265</v>
      </c>
      <c r="BA23" s="103" t="s">
        <v>375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39</v>
      </c>
      <c r="E24" s="38">
        <f>IF(LEFT(VLOOKUP($B24,'Indicator chart'!$D$1:$J$36,5,FALSE),1)=" "," ",VLOOKUP($B24,'Indicator chart'!$D$1:$J$36,5,FALSE))</f>
        <v>517.515923566879</v>
      </c>
      <c r="F24" s="38">
        <f>IF(LEFT(VLOOKUP($B24,'Indicator chart'!$D$1:$J$36,6,FALSE),1)=" "," ",VLOOKUP($B24,'Indicator chart'!$D$1:$J$36,6,FALSE))</f>
        <v>367.9577307625482</v>
      </c>
      <c r="G24" s="38">
        <f>IF(LEFT(VLOOKUP($B24,'Indicator chart'!$D$1:$J$36,7,FALSE),1)=" "," ",VLOOKUP($B24,'Indicator chart'!$D$1:$J$36,7,FALSE))</f>
        <v>707.4843181572213</v>
      </c>
      <c r="H24" s="50">
        <f t="shared" si="0"/>
        <v>2</v>
      </c>
      <c r="I24" s="38">
        <v>27.3076171875</v>
      </c>
      <c r="J24" s="38">
        <v>269.1813049316406</v>
      </c>
      <c r="K24" s="38">
        <v>359.6500244140625</v>
      </c>
      <c r="L24" s="38">
        <v>454.44940185546875</v>
      </c>
      <c r="M24" s="38">
        <v>1435.8974609375</v>
      </c>
      <c r="N24" s="80">
        <f>VLOOKUP('Hide - Control'!B$3,'All practice data'!A:CA,A24+29,FALSE)</f>
        <v>393.07938023071154</v>
      </c>
      <c r="O24" s="80">
        <f>VLOOKUP('Hide - Control'!C$3,'All practice data'!A:CA,A24+29,FALSE)</f>
        <v>323.23046266988894</v>
      </c>
      <c r="P24" s="38">
        <f>VLOOKUP('Hide - Control'!$B$4,'All practice data'!B:BC,A24+2,FALSE)</f>
        <v>3245</v>
      </c>
      <c r="Q24" s="38">
        <f>VLOOKUP('Hide - Control'!$B$4,'All practice data'!B:BC,3,FALSE)</f>
        <v>825533</v>
      </c>
      <c r="R24" s="38">
        <f t="shared" si="21"/>
        <v>379.6697056422118</v>
      </c>
      <c r="S24" s="38">
        <f t="shared" si="22"/>
        <v>406.8417406377534</v>
      </c>
      <c r="T24" s="53">
        <f t="shared" si="19"/>
        <v>1435.8974609375</v>
      </c>
      <c r="U24" s="51">
        <f t="shared" si="20"/>
        <v>27.3076171875</v>
      </c>
      <c r="V24" s="7"/>
      <c r="W24" s="27">
        <f t="shared" si="2"/>
        <v>-716.597412109375</v>
      </c>
      <c r="X24" s="27">
        <f t="shared" si="3"/>
        <v>1435.8974609375</v>
      </c>
      <c r="Y24" s="27">
        <f t="shared" si="4"/>
        <v>-716.597412109375</v>
      </c>
      <c r="Z24" s="27">
        <f t="shared" si="5"/>
        <v>1435.8974609375</v>
      </c>
      <c r="AA24" s="32">
        <f t="shared" si="6"/>
        <v>0.34560130136053285</v>
      </c>
      <c r="AB24" s="33">
        <f t="shared" si="7"/>
        <v>0.45797029734414063</v>
      </c>
      <c r="AC24" s="33">
        <v>0.5</v>
      </c>
      <c r="AD24" s="33">
        <f t="shared" si="8"/>
        <v>0.5440416275218426</v>
      </c>
      <c r="AE24" s="33">
        <f t="shared" si="9"/>
        <v>1</v>
      </c>
      <c r="AF24" s="33">
        <f t="shared" si="10"/>
        <v>-999</v>
      </c>
      <c r="AG24" s="33">
        <f t="shared" si="11"/>
        <v>0.5733408943870588</v>
      </c>
      <c r="AH24" s="33">
        <f t="shared" si="12"/>
        <v>-999</v>
      </c>
      <c r="AI24" s="34">
        <f t="shared" si="13"/>
        <v>0.4830803026756476</v>
      </c>
      <c r="AJ24" s="4">
        <v>20.99397352393159</v>
      </c>
      <c r="AK24" s="32">
        <f t="shared" si="14"/>
        <v>-999</v>
      </c>
      <c r="AL24" s="34">
        <f t="shared" si="15"/>
        <v>-999</v>
      </c>
      <c r="AY24" s="103" t="s">
        <v>65</v>
      </c>
      <c r="AZ24" s="103" t="s">
        <v>66</v>
      </c>
      <c r="BA24" s="103" t="s">
        <v>555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74</v>
      </c>
      <c r="E25" s="38">
        <f>IF(LEFT(VLOOKUP($B25,'Indicator chart'!$D$1:$J$36,5,FALSE),1)=" "," ",VLOOKUP($B25,'Indicator chart'!$D$1:$J$36,5,FALSE))</f>
        <v>981.9532908704883</v>
      </c>
      <c r="F25" s="38">
        <f>IF(LEFT(VLOOKUP($B25,'Indicator chart'!$D$1:$J$36,6,FALSE),1)=" "," ",VLOOKUP($B25,'Indicator chart'!$D$1:$J$36,6,FALSE))</f>
        <v>771.01109500318</v>
      </c>
      <c r="G25" s="38">
        <f>IF(LEFT(VLOOKUP($B25,'Indicator chart'!$D$1:$J$36,7,FALSE),1)=" "," ",VLOOKUP($B25,'Indicator chart'!$D$1:$J$36,7,FALSE))</f>
        <v>1232.773877027302</v>
      </c>
      <c r="H25" s="50">
        <f t="shared" si="0"/>
        <v>3</v>
      </c>
      <c r="I25" s="38">
        <v>259.2441101074219</v>
      </c>
      <c r="J25" s="38">
        <v>491.1802978515625</v>
      </c>
      <c r="K25" s="38">
        <v>590.061767578125</v>
      </c>
      <c r="L25" s="38">
        <v>849.1967163085938</v>
      </c>
      <c r="M25" s="38">
        <v>2256.41015625</v>
      </c>
      <c r="N25" s="80">
        <f>VLOOKUP('Hide - Control'!B$3,'All practice data'!A:CA,A25+29,FALSE)</f>
        <v>667.5687101545304</v>
      </c>
      <c r="O25" s="80">
        <f>VLOOKUP('Hide - Control'!C$3,'All practice data'!A:CA,A25+29,FALSE)</f>
        <v>562.6134400960308</v>
      </c>
      <c r="P25" s="38">
        <f>VLOOKUP('Hide - Control'!$B$4,'All practice data'!B:BC,A25+2,FALSE)</f>
        <v>5511</v>
      </c>
      <c r="Q25" s="38">
        <f>VLOOKUP('Hide - Control'!$B$4,'All practice data'!B:BC,3,FALSE)</f>
        <v>825533</v>
      </c>
      <c r="R25" s="38">
        <f t="shared" si="21"/>
        <v>650.0583884868868</v>
      </c>
      <c r="S25" s="38">
        <f t="shared" si="22"/>
        <v>685.4312360980152</v>
      </c>
      <c r="T25" s="53">
        <f t="shared" si="19"/>
        <v>2256.41015625</v>
      </c>
      <c r="U25" s="51">
        <f t="shared" si="20"/>
        <v>259.2441101074219</v>
      </c>
      <c r="V25" s="7"/>
      <c r="W25" s="27">
        <f t="shared" si="2"/>
        <v>-1076.28662109375</v>
      </c>
      <c r="X25" s="27">
        <f t="shared" si="3"/>
        <v>2256.41015625</v>
      </c>
      <c r="Y25" s="27">
        <f t="shared" si="4"/>
        <v>-1076.28662109375</v>
      </c>
      <c r="Z25" s="27">
        <f t="shared" si="5"/>
        <v>2256.41015625</v>
      </c>
      <c r="AA25" s="32">
        <f t="shared" si="6"/>
        <v>0.4007357465822697</v>
      </c>
      <c r="AB25" s="33">
        <f t="shared" si="7"/>
        <v>0.47032989307674916</v>
      </c>
      <c r="AC25" s="33">
        <v>0.5</v>
      </c>
      <c r="AD25" s="33">
        <f t="shared" si="8"/>
        <v>0.5777553333060821</v>
      </c>
      <c r="AE25" s="33">
        <f t="shared" si="9"/>
        <v>1</v>
      </c>
      <c r="AF25" s="33">
        <f t="shared" si="10"/>
        <v>-999</v>
      </c>
      <c r="AG25" s="33">
        <f t="shared" si="11"/>
        <v>-999</v>
      </c>
      <c r="AH25" s="33">
        <f t="shared" si="12"/>
        <v>0.617589912756693</v>
      </c>
      <c r="AI25" s="34">
        <f t="shared" si="13"/>
        <v>0.49176392893926246</v>
      </c>
      <c r="AJ25" s="4">
        <v>22.06996894931352</v>
      </c>
      <c r="AK25" s="32">
        <f t="shared" si="14"/>
        <v>-999</v>
      </c>
      <c r="AL25" s="34">
        <f t="shared" si="15"/>
        <v>0.617589912756693</v>
      </c>
      <c r="AY25" s="103" t="s">
        <v>257</v>
      </c>
      <c r="AZ25" s="103" t="s">
        <v>258</v>
      </c>
      <c r="BA25" s="103" t="s">
        <v>555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384.8195329087049</v>
      </c>
      <c r="F26" s="38">
        <f>IF(LEFT(VLOOKUP($B26,'Indicator chart'!$D$1:$J$36,6,FALSE),1)=" "," ",VLOOKUP($B26,'Indicator chart'!$D$1:$J$36,6,FALSE))</f>
        <v>257.664367638892</v>
      </c>
      <c r="G26" s="38">
        <f>IF(LEFT(VLOOKUP($B26,'Indicator chart'!$D$1:$J$36,7,FALSE),1)=" "," ",VLOOKUP($B26,'Indicator chart'!$D$1:$J$36,7,FALSE))</f>
        <v>552.6883398300569</v>
      </c>
      <c r="H26" s="50">
        <f t="shared" si="0"/>
        <v>2</v>
      </c>
      <c r="I26" s="38">
        <v>112.1823501586914</v>
      </c>
      <c r="J26" s="38">
        <v>283.6391296386719</v>
      </c>
      <c r="K26" s="38">
        <v>354.53436279296875</v>
      </c>
      <c r="L26" s="38">
        <v>427.2536315917969</v>
      </c>
      <c r="M26" s="38">
        <v>730.460205078125</v>
      </c>
      <c r="N26" s="80">
        <f>VLOOKUP('Hide - Control'!B$3,'All practice data'!A:CA,A26+29,FALSE)</f>
        <v>365.33972597097875</v>
      </c>
      <c r="O26" s="80">
        <f>VLOOKUP('Hide - Control'!C$3,'All practice data'!A:CA,A26+29,FALSE)</f>
        <v>405.57105879375996</v>
      </c>
      <c r="P26" s="38">
        <f>VLOOKUP('Hide - Control'!$B$4,'All practice data'!B:BC,A26+2,FALSE)</f>
        <v>3016</v>
      </c>
      <c r="Q26" s="38">
        <f>VLOOKUP('Hide - Control'!$B$4,'All practice data'!B:BC,3,FALSE)</f>
        <v>825533</v>
      </c>
      <c r="R26" s="38">
        <f t="shared" si="21"/>
        <v>352.41601499830085</v>
      </c>
      <c r="S26" s="38">
        <f t="shared" si="22"/>
        <v>378.6161998207171</v>
      </c>
      <c r="T26" s="53">
        <f t="shared" si="19"/>
        <v>730.460205078125</v>
      </c>
      <c r="U26" s="51">
        <f t="shared" si="20"/>
        <v>112.1823501586914</v>
      </c>
      <c r="V26" s="7"/>
      <c r="W26" s="27">
        <f t="shared" si="2"/>
        <v>-21.3914794921875</v>
      </c>
      <c r="X26" s="27">
        <f t="shared" si="3"/>
        <v>730.460205078125</v>
      </c>
      <c r="Y26" s="27">
        <f t="shared" si="4"/>
        <v>-21.3914794921875</v>
      </c>
      <c r="Z26" s="27">
        <f t="shared" si="5"/>
        <v>730.460205078125</v>
      </c>
      <c r="AA26" s="32">
        <f t="shared" si="6"/>
        <v>0.17765981295528666</v>
      </c>
      <c r="AB26" s="33">
        <f t="shared" si="7"/>
        <v>0.4057058265490036</v>
      </c>
      <c r="AC26" s="33">
        <v>0.5</v>
      </c>
      <c r="AD26" s="33">
        <f t="shared" si="8"/>
        <v>0.5967202312519757</v>
      </c>
      <c r="AE26" s="33">
        <f t="shared" si="9"/>
        <v>1</v>
      </c>
      <c r="AF26" s="33">
        <f t="shared" si="10"/>
        <v>-999</v>
      </c>
      <c r="AG26" s="33">
        <f t="shared" si="11"/>
        <v>0.5402807770964088</v>
      </c>
      <c r="AH26" s="33">
        <f t="shared" si="12"/>
        <v>-999</v>
      </c>
      <c r="AI26" s="34">
        <f t="shared" si="13"/>
        <v>0.5678813349071087</v>
      </c>
      <c r="AJ26" s="4">
        <v>23.145964374695435</v>
      </c>
      <c r="AK26" s="32">
        <f t="shared" si="14"/>
        <v>-999</v>
      </c>
      <c r="AL26" s="34">
        <f t="shared" si="15"/>
        <v>-999</v>
      </c>
      <c r="AY26" s="103" t="s">
        <v>120</v>
      </c>
      <c r="AZ26" s="103" t="s">
        <v>448</v>
      </c>
      <c r="BA26" s="103" t="s">
        <v>375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112</v>
      </c>
      <c r="E27" s="38">
        <f>IF(LEFT(VLOOKUP($B27,'Indicator chart'!$D$1:$J$36,5,FALSE),1)=" "," ",VLOOKUP($B27,'Indicator chart'!$D$1:$J$36,5,FALSE))</f>
        <v>1486.1995753715498</v>
      </c>
      <c r="F27" s="38">
        <f>IF(LEFT(VLOOKUP($B27,'Indicator chart'!$D$1:$J$36,6,FALSE),1)=" "," ",VLOOKUP($B27,'Indicator chart'!$D$1:$J$36,6,FALSE))</f>
        <v>1223.7042827360044</v>
      </c>
      <c r="G27" s="38">
        <f>IF(LEFT(VLOOKUP($B27,'Indicator chart'!$D$1:$J$36,7,FALSE),1)=" "," ",VLOOKUP($B27,'Indicator chart'!$D$1:$J$36,7,FALSE))</f>
        <v>1788.3046030547478</v>
      </c>
      <c r="H27" s="50">
        <f t="shared" si="0"/>
        <v>3</v>
      </c>
      <c r="I27" s="38">
        <v>502.06732177734375</v>
      </c>
      <c r="J27" s="38">
        <v>942.42578125</v>
      </c>
      <c r="K27" s="38">
        <v>1211.879638671875</v>
      </c>
      <c r="L27" s="38">
        <v>1487.8414306640625</v>
      </c>
      <c r="M27" s="38">
        <v>2615.384521484375</v>
      </c>
      <c r="N27" s="80">
        <f>VLOOKUP('Hide - Control'!B$3,'All practice data'!A:CA,A27+29,FALSE)</f>
        <v>1217.8798424775266</v>
      </c>
      <c r="O27" s="80">
        <f>VLOOKUP('Hide - Control'!C$3,'All practice data'!A:CA,A27+29,FALSE)</f>
        <v>1059.3522061277838</v>
      </c>
      <c r="P27" s="38">
        <f>VLOOKUP('Hide - Control'!$B$4,'All practice data'!B:BC,A27+2,FALSE)</f>
        <v>10054</v>
      </c>
      <c r="Q27" s="38">
        <f>VLOOKUP('Hide - Control'!$B$4,'All practice data'!B:BC,3,FALSE)</f>
        <v>825533</v>
      </c>
      <c r="R27" s="38">
        <f t="shared" si="21"/>
        <v>1194.188513921397</v>
      </c>
      <c r="S27" s="38">
        <f t="shared" si="22"/>
        <v>1241.9229622457028</v>
      </c>
      <c r="T27" s="53">
        <f t="shared" si="19"/>
        <v>2615.384521484375</v>
      </c>
      <c r="U27" s="51">
        <f t="shared" si="20"/>
        <v>502.06732177734375</v>
      </c>
      <c r="V27" s="7"/>
      <c r="W27" s="27">
        <f t="shared" si="2"/>
        <v>-191.625244140625</v>
      </c>
      <c r="X27" s="27">
        <f t="shared" si="3"/>
        <v>2615.384521484375</v>
      </c>
      <c r="Y27" s="27">
        <f t="shared" si="4"/>
        <v>-191.625244140625</v>
      </c>
      <c r="Z27" s="27">
        <f t="shared" si="5"/>
        <v>2615.384521484375</v>
      </c>
      <c r="AA27" s="32">
        <f t="shared" si="6"/>
        <v>0.24712866140083176</v>
      </c>
      <c r="AB27" s="33">
        <f t="shared" si="7"/>
        <v>0.40400679729666733</v>
      </c>
      <c r="AC27" s="33">
        <v>0.5</v>
      </c>
      <c r="AD27" s="33">
        <f t="shared" si="8"/>
        <v>0.5983116608184449</v>
      </c>
      <c r="AE27" s="33">
        <f t="shared" si="9"/>
        <v>1</v>
      </c>
      <c r="AF27" s="33">
        <f t="shared" si="10"/>
        <v>-999</v>
      </c>
      <c r="AG27" s="33">
        <f t="shared" si="11"/>
        <v>-999</v>
      </c>
      <c r="AH27" s="33">
        <f t="shared" si="12"/>
        <v>0.5977267482496968</v>
      </c>
      <c r="AI27" s="34">
        <f t="shared" si="13"/>
        <v>0.4456619515856476</v>
      </c>
      <c r="AJ27" s="4">
        <v>24.221959800077364</v>
      </c>
      <c r="AK27" s="32">
        <f t="shared" si="14"/>
        <v>-999</v>
      </c>
      <c r="AL27" s="34">
        <f t="shared" si="15"/>
        <v>0.5977267482496968</v>
      </c>
      <c r="AY27" s="103" t="s">
        <v>115</v>
      </c>
      <c r="AZ27" s="103" t="s">
        <v>447</v>
      </c>
      <c r="BA27" s="103" t="s">
        <v>555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59</v>
      </c>
      <c r="E28" s="38">
        <f>IF(LEFT(VLOOKUP($B28,'Indicator chart'!$D$1:$J$36,5,FALSE),1)=" "," ",VLOOKUP($B28,'Indicator chart'!$D$1:$J$36,5,FALSE))</f>
        <v>782.9087048832272</v>
      </c>
      <c r="F28" s="38">
        <f>IF(LEFT(VLOOKUP($B28,'Indicator chart'!$D$1:$J$36,6,FALSE),1)=" "," ",VLOOKUP($B28,'Indicator chart'!$D$1:$J$36,6,FALSE))</f>
        <v>595.9489814482312</v>
      </c>
      <c r="G28" s="38">
        <f>IF(LEFT(VLOOKUP($B28,'Indicator chart'!$D$1:$J$36,7,FALSE),1)=" "," ",VLOOKUP($B28,'Indicator chart'!$D$1:$J$36,7,FALSE))</f>
        <v>1009.9172575440749</v>
      </c>
      <c r="H28" s="50">
        <f t="shared" si="0"/>
        <v>3</v>
      </c>
      <c r="I28" s="38">
        <v>191.9669189453125</v>
      </c>
      <c r="J28" s="38">
        <v>463.7099304199219</v>
      </c>
      <c r="K28" s="38">
        <v>531.5501098632812</v>
      </c>
      <c r="L28" s="38">
        <v>680.084716796875</v>
      </c>
      <c r="M28" s="38">
        <v>1387.8743896484375</v>
      </c>
      <c r="N28" s="80">
        <f>VLOOKUP('Hide - Control'!B$3,'All practice data'!A:CA,A28+29,FALSE)</f>
        <v>561.3343137100516</v>
      </c>
      <c r="O28" s="80">
        <f>VLOOKUP('Hide - Control'!C$3,'All practice data'!A:CA,A28+29,FALSE)</f>
        <v>582.9390489900089</v>
      </c>
      <c r="P28" s="38">
        <f>VLOOKUP('Hide - Control'!$B$4,'All practice data'!B:BC,A28+2,FALSE)</f>
        <v>4634</v>
      </c>
      <c r="Q28" s="38">
        <f>VLOOKUP('Hide - Control'!$B$4,'All practice data'!B:BC,3,FALSE)</f>
        <v>825533</v>
      </c>
      <c r="R28" s="38">
        <f>100000*(P28*(1-1/(9*P28)-1.96/(3*SQRT(P28)))^3)/Q28</f>
        <v>545.2871586097388</v>
      </c>
      <c r="S28" s="38">
        <f>100000*((P28+1)*(1-1/(9*(P28+1))+1.96/(3*SQRT(P28+1)))^3)/Q28</f>
        <v>577.7338169611998</v>
      </c>
      <c r="T28" s="53">
        <f t="shared" si="19"/>
        <v>1387.8743896484375</v>
      </c>
      <c r="U28" s="51">
        <f t="shared" si="20"/>
        <v>191.9669189453125</v>
      </c>
      <c r="V28" s="7"/>
      <c r="W28" s="27">
        <f t="shared" si="2"/>
        <v>-324.774169921875</v>
      </c>
      <c r="X28" s="27">
        <f t="shared" si="3"/>
        <v>1387.8743896484375</v>
      </c>
      <c r="Y28" s="27">
        <f t="shared" si="4"/>
        <v>-324.774169921875</v>
      </c>
      <c r="Z28" s="27">
        <f t="shared" si="5"/>
        <v>1387.8743896484375</v>
      </c>
      <c r="AA28" s="32">
        <f t="shared" si="6"/>
        <v>0.30172044695312916</v>
      </c>
      <c r="AB28" s="33">
        <f t="shared" si="7"/>
        <v>0.4603887329573442</v>
      </c>
      <c r="AC28" s="33">
        <v>0.5</v>
      </c>
      <c r="AD28" s="33">
        <f t="shared" si="8"/>
        <v>0.5867280132304901</v>
      </c>
      <c r="AE28" s="33">
        <f t="shared" si="9"/>
        <v>1</v>
      </c>
      <c r="AF28" s="33">
        <f t="shared" si="10"/>
        <v>-999</v>
      </c>
      <c r="AG28" s="33">
        <f t="shared" si="11"/>
        <v>-999</v>
      </c>
      <c r="AH28" s="33">
        <f t="shared" si="12"/>
        <v>0.6467660096494107</v>
      </c>
      <c r="AI28" s="34">
        <f t="shared" si="13"/>
        <v>0.5300055366523186</v>
      </c>
      <c r="AJ28" s="4">
        <v>25.297955225459287</v>
      </c>
      <c r="AK28" s="32">
        <f t="shared" si="14"/>
        <v>-999</v>
      </c>
      <c r="AL28" s="34">
        <f t="shared" si="15"/>
        <v>0.6467660096494107</v>
      </c>
      <c r="AY28" s="103" t="s">
        <v>241</v>
      </c>
      <c r="AZ28" s="103" t="s">
        <v>242</v>
      </c>
      <c r="BA28" s="103" t="s">
        <v>555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450</v>
      </c>
      <c r="BA29" s="103" t="s">
        <v>375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375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471</v>
      </c>
      <c r="BA31" s="103" t="s">
        <v>375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430</v>
      </c>
      <c r="BA32" s="103" t="s">
        <v>375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495</v>
      </c>
      <c r="BA33" s="103" t="s">
        <v>555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375</v>
      </c>
      <c r="BB34" s="10">
        <v>532801</v>
      </c>
      <c r="BE34" s="77"/>
      <c r="BF34" s="253"/>
    </row>
    <row r="35" spans="2:58" ht="12.75">
      <c r="B35" s="17" t="s">
        <v>41</v>
      </c>
      <c r="C35" s="18"/>
      <c r="H35" s="290" t="s">
        <v>659</v>
      </c>
      <c r="I35" s="291"/>
      <c r="Y35" s="43"/>
      <c r="Z35" s="44"/>
      <c r="AA35" s="44"/>
      <c r="AB35" s="43"/>
      <c r="AC35" s="43"/>
      <c r="AY35" s="103" t="s">
        <v>159</v>
      </c>
      <c r="AZ35" s="103" t="s">
        <v>463</v>
      </c>
      <c r="BA35" s="103" t="s">
        <v>375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452</v>
      </c>
      <c r="BA36" s="103" t="s">
        <v>375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469</v>
      </c>
      <c r="BA37" s="103" t="s">
        <v>375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375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375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375</v>
      </c>
      <c r="BB40" s="10">
        <v>714731</v>
      </c>
      <c r="BF40" s="252"/>
    </row>
    <row r="41" spans="1:58" ht="12.75">
      <c r="A41" s="3"/>
      <c r="B41" s="71"/>
      <c r="C41" s="3"/>
      <c r="T41" s="13"/>
      <c r="U41" s="2"/>
      <c r="W41" s="2"/>
      <c r="X41" s="10"/>
      <c r="Y41" s="44"/>
      <c r="Z41" s="44"/>
      <c r="AA41" s="44"/>
      <c r="AB41" s="44"/>
      <c r="AC41" s="44"/>
      <c r="AD41" s="2"/>
      <c r="AE41" s="2"/>
      <c r="AY41" s="103" t="s">
        <v>272</v>
      </c>
      <c r="AZ41" s="103" t="s">
        <v>496</v>
      </c>
      <c r="BA41" s="103" t="s">
        <v>555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375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493</v>
      </c>
      <c r="BA43" s="103" t="s">
        <v>375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481</v>
      </c>
      <c r="BA44" s="103" t="s">
        <v>375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375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472</v>
      </c>
      <c r="BA46" s="103" t="s">
        <v>555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375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476</v>
      </c>
      <c r="BA48" s="103" t="s">
        <v>555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487</v>
      </c>
      <c r="BA49" s="103" t="s">
        <v>555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375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453</v>
      </c>
      <c r="BA51" s="103" t="s">
        <v>375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375</v>
      </c>
      <c r="BB52" s="10">
        <v>611636</v>
      </c>
      <c r="BF52" s="252"/>
    </row>
    <row r="53" spans="1:58" ht="12.75">
      <c r="A53" s="3"/>
      <c r="B53" s="12"/>
      <c r="C53" s="3"/>
      <c r="I53" s="11"/>
      <c r="J53" s="11"/>
      <c r="K53" s="11"/>
      <c r="L53" s="11"/>
      <c r="S53" s="11"/>
      <c r="U53" s="2"/>
      <c r="X53" s="2"/>
      <c r="Y53" s="2"/>
      <c r="Z53" s="2"/>
      <c r="AA53" s="2"/>
      <c r="AB53" s="2"/>
      <c r="AY53" s="103" t="s">
        <v>244</v>
      </c>
      <c r="AZ53" s="103" t="s">
        <v>486</v>
      </c>
      <c r="BA53" s="103" t="s">
        <v>375</v>
      </c>
      <c r="BB53" s="10">
        <v>230998</v>
      </c>
      <c r="BF53" s="252"/>
    </row>
    <row r="54" spans="1:58" ht="12.75">
      <c r="A54" s="3"/>
      <c r="B54" s="12"/>
      <c r="C54" s="3"/>
      <c r="I54" s="11"/>
      <c r="J54" s="11"/>
      <c r="K54" s="11"/>
      <c r="L54" s="11"/>
      <c r="S54" s="11"/>
      <c r="U54" s="2"/>
      <c r="X54" s="2"/>
      <c r="Y54" s="2"/>
      <c r="Z54" s="2"/>
      <c r="AA54" s="2"/>
      <c r="AB54" s="2"/>
      <c r="AY54" s="103" t="s">
        <v>67</v>
      </c>
      <c r="AZ54" s="103" t="s">
        <v>427</v>
      </c>
      <c r="BA54" s="103" t="s">
        <v>375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473</v>
      </c>
      <c r="BA55" s="103" t="s">
        <v>375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443</v>
      </c>
      <c r="BA56" s="103" t="s">
        <v>375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488</v>
      </c>
      <c r="BA57" s="103" t="s">
        <v>375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433</v>
      </c>
      <c r="BA58" s="103" t="s">
        <v>375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375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375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477</v>
      </c>
      <c r="BA61" s="103" t="s">
        <v>555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555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466</v>
      </c>
      <c r="BA63" s="103" t="s">
        <v>375</v>
      </c>
      <c r="BB63" s="10">
        <v>318405</v>
      </c>
      <c r="BE63" s="70"/>
      <c r="BF63" s="239"/>
    </row>
    <row r="64" spans="1:58" ht="12.75">
      <c r="A64" s="3"/>
      <c r="B64" s="12"/>
      <c r="C64" s="3"/>
      <c r="I64" s="11"/>
      <c r="V64" s="3"/>
      <c r="AY64" s="103" t="s">
        <v>78</v>
      </c>
      <c r="AZ64" s="103" t="s">
        <v>434</v>
      </c>
      <c r="BA64" s="103" t="s">
        <v>555</v>
      </c>
      <c r="BB64" s="10">
        <v>181285</v>
      </c>
      <c r="BE64" s="70"/>
      <c r="BF64" s="241"/>
    </row>
    <row r="65" spans="1:58" ht="12.75">
      <c r="A65" s="3"/>
      <c r="B65" s="12"/>
      <c r="C65" s="3"/>
      <c r="AY65" s="103" t="s">
        <v>544</v>
      </c>
      <c r="AZ65" s="103" t="s">
        <v>545</v>
      </c>
      <c r="BA65" s="103" t="s">
        <v>375</v>
      </c>
      <c r="BB65" s="10">
        <v>1169302</v>
      </c>
      <c r="BE65" s="70"/>
      <c r="BF65" s="241"/>
    </row>
    <row r="66" spans="1:58" ht="12.75">
      <c r="A66" s="3"/>
      <c r="B66" s="12"/>
      <c r="C66" s="3"/>
      <c r="E66" s="2"/>
      <c r="F66" s="2"/>
      <c r="G66" s="2"/>
      <c r="V66" s="2"/>
      <c r="AY66" s="103" t="s">
        <v>200</v>
      </c>
      <c r="AZ66" s="103" t="s">
        <v>474</v>
      </c>
      <c r="BA66" s="103" t="s">
        <v>375</v>
      </c>
      <c r="BB66" s="10">
        <v>217916</v>
      </c>
      <c r="BE66" s="70"/>
      <c r="BF66" s="239"/>
    </row>
    <row r="67" spans="1:58" ht="12.75">
      <c r="A67" s="3"/>
      <c r="B67" s="12"/>
      <c r="C67" s="3"/>
      <c r="AY67" s="103" t="s">
        <v>69</v>
      </c>
      <c r="AZ67" s="103" t="s">
        <v>70</v>
      </c>
      <c r="BA67" s="103" t="s">
        <v>375</v>
      </c>
      <c r="BB67" s="10">
        <v>270842</v>
      </c>
      <c r="BE67" s="70"/>
      <c r="BF67" s="239"/>
    </row>
    <row r="68" spans="1:58" ht="12.75">
      <c r="A68" s="3"/>
      <c r="B68" s="12"/>
      <c r="C68" s="3"/>
      <c r="AY68" s="103" t="s">
        <v>109</v>
      </c>
      <c r="AZ68" s="103" t="s">
        <v>110</v>
      </c>
      <c r="BA68" s="103" t="s">
        <v>375</v>
      </c>
      <c r="BB68" s="10">
        <v>251613</v>
      </c>
      <c r="BF68" s="252"/>
    </row>
    <row r="69" spans="1:58" ht="12.75">
      <c r="A69" s="3"/>
      <c r="B69" s="12"/>
      <c r="C69" s="3"/>
      <c r="AY69" s="103" t="s">
        <v>209</v>
      </c>
      <c r="AZ69" s="103" t="s">
        <v>210</v>
      </c>
      <c r="BA69" s="103" t="s">
        <v>375</v>
      </c>
      <c r="BB69" s="10">
        <v>283547</v>
      </c>
      <c r="BE69" s="70"/>
      <c r="BF69" s="241"/>
    </row>
    <row r="70" spans="1:58" ht="12.75">
      <c r="A70" s="3"/>
      <c r="B70" s="12"/>
      <c r="C70" s="3"/>
      <c r="AY70" s="103" t="s">
        <v>275</v>
      </c>
      <c r="AZ70" s="103" t="s">
        <v>497</v>
      </c>
      <c r="BA70" s="103" t="s">
        <v>554</v>
      </c>
      <c r="BB70" s="10">
        <v>141474</v>
      </c>
      <c r="BE70" s="70"/>
      <c r="BF70" s="239"/>
    </row>
    <row r="71" spans="1:58" ht="12.75">
      <c r="A71" s="3"/>
      <c r="B71" s="12"/>
      <c r="C71" s="3"/>
      <c r="AY71" s="103" t="s">
        <v>127</v>
      </c>
      <c r="AZ71" s="103" t="s">
        <v>451</v>
      </c>
      <c r="BA71" s="103" t="s">
        <v>375</v>
      </c>
      <c r="BB71" s="10">
        <v>213326</v>
      </c>
      <c r="BE71" s="70"/>
      <c r="BF71" s="239"/>
    </row>
    <row r="72" spans="1:58" ht="12.75">
      <c r="A72" s="3"/>
      <c r="B72" s="12"/>
      <c r="C72" s="3"/>
      <c r="AY72" s="103" t="s">
        <v>136</v>
      </c>
      <c r="AZ72" s="103" t="s">
        <v>137</v>
      </c>
      <c r="BA72" s="103" t="s">
        <v>375</v>
      </c>
      <c r="BB72" s="10">
        <v>183220</v>
      </c>
      <c r="BE72" s="250"/>
      <c r="BF72" s="239"/>
    </row>
    <row r="73" spans="1:58" ht="12.75">
      <c r="A73" s="3"/>
      <c r="B73" s="12"/>
      <c r="C73" s="3"/>
      <c r="AY73" s="103" t="s">
        <v>64</v>
      </c>
      <c r="AZ73" s="103" t="s">
        <v>426</v>
      </c>
      <c r="BA73" s="103" t="s">
        <v>375</v>
      </c>
      <c r="BB73" s="10">
        <v>190143</v>
      </c>
      <c r="BE73" s="70"/>
      <c r="BF73" s="239"/>
    </row>
    <row r="74" spans="1:58" ht="12.75">
      <c r="A74" s="3"/>
      <c r="B74" s="12"/>
      <c r="C74" s="3"/>
      <c r="AY74" s="103" t="s">
        <v>165</v>
      </c>
      <c r="AZ74" s="103" t="s">
        <v>166</v>
      </c>
      <c r="BA74" s="103" t="s">
        <v>555</v>
      </c>
      <c r="BB74" s="10">
        <v>419928</v>
      </c>
      <c r="BE74" s="70"/>
      <c r="BF74" s="241"/>
    </row>
    <row r="75" spans="1:58" ht="12.75">
      <c r="A75" s="3"/>
      <c r="B75" s="12"/>
      <c r="C75" s="3"/>
      <c r="AY75" s="103" t="s">
        <v>113</v>
      </c>
      <c r="AZ75" s="103" t="s">
        <v>445</v>
      </c>
      <c r="BA75" s="103" t="s">
        <v>375</v>
      </c>
      <c r="BB75" s="10">
        <v>158106</v>
      </c>
      <c r="BE75" s="70"/>
      <c r="BF75" s="241"/>
    </row>
    <row r="76" spans="1:58" ht="12.75">
      <c r="A76" s="3"/>
      <c r="B76" s="12"/>
      <c r="C76" s="3"/>
      <c r="AY76" s="103" t="s">
        <v>140</v>
      </c>
      <c r="AZ76" s="103" t="s">
        <v>141</v>
      </c>
      <c r="BA76" s="103" t="s">
        <v>375</v>
      </c>
      <c r="BB76" s="10">
        <v>377807</v>
      </c>
      <c r="BE76" s="70"/>
      <c r="BF76" s="241"/>
    </row>
    <row r="77" spans="1:58" ht="12.75">
      <c r="A77" s="3"/>
      <c r="B77" s="12"/>
      <c r="C77" s="3"/>
      <c r="AY77" s="103" t="s">
        <v>163</v>
      </c>
      <c r="AZ77" s="103" t="s">
        <v>164</v>
      </c>
      <c r="BA77" s="103" t="s">
        <v>555</v>
      </c>
      <c r="BB77" s="10">
        <v>799634</v>
      </c>
      <c r="BE77" s="70"/>
      <c r="BF77" s="249"/>
    </row>
    <row r="78" spans="1:58" ht="12.75">
      <c r="A78" s="3"/>
      <c r="B78" s="12"/>
      <c r="C78" s="3"/>
      <c r="AY78" s="103" t="s">
        <v>224</v>
      </c>
      <c r="AZ78" s="103" t="s">
        <v>225</v>
      </c>
      <c r="BA78" s="103" t="s">
        <v>375</v>
      </c>
      <c r="BB78" s="10">
        <v>362638</v>
      </c>
      <c r="BE78" s="70"/>
      <c r="BF78" s="239"/>
    </row>
    <row r="79" spans="1:58" ht="12.75">
      <c r="A79" s="3"/>
      <c r="B79" s="12"/>
      <c r="C79" s="3"/>
      <c r="AY79" s="103" t="s">
        <v>223</v>
      </c>
      <c r="AZ79" s="103" t="s">
        <v>479</v>
      </c>
      <c r="BA79" s="103" t="s">
        <v>375</v>
      </c>
      <c r="BB79" s="10">
        <v>678998</v>
      </c>
      <c r="BF79" s="239"/>
    </row>
    <row r="80" spans="1:58" ht="12.75">
      <c r="A80" s="3"/>
      <c r="B80" s="12"/>
      <c r="C80" s="3"/>
      <c r="AY80" s="103" t="s">
        <v>144</v>
      </c>
      <c r="AZ80" s="103" t="s">
        <v>145</v>
      </c>
      <c r="BA80" s="103" t="s">
        <v>375</v>
      </c>
      <c r="BB80" s="10">
        <v>290986</v>
      </c>
      <c r="BF80" s="252"/>
    </row>
    <row r="81" spans="1:58" ht="12.75">
      <c r="A81" s="3"/>
      <c r="B81" s="12"/>
      <c r="C81" s="3"/>
      <c r="AY81" s="103" t="s">
        <v>178</v>
      </c>
      <c r="AZ81" s="103" t="s">
        <v>468</v>
      </c>
      <c r="BA81" s="103" t="s">
        <v>555</v>
      </c>
      <c r="BB81" s="10">
        <v>747976</v>
      </c>
      <c r="BF81" s="252"/>
    </row>
    <row r="82" spans="1:58" ht="12.75">
      <c r="A82" s="3"/>
      <c r="B82" s="12"/>
      <c r="C82" s="3"/>
      <c r="AY82" s="103" t="s">
        <v>193</v>
      </c>
      <c r="AZ82" s="103" t="s">
        <v>194</v>
      </c>
      <c r="BA82" s="103" t="s">
        <v>375</v>
      </c>
      <c r="BB82" s="10">
        <v>489140</v>
      </c>
      <c r="BF82" s="252"/>
    </row>
    <row r="83" spans="1:58" ht="12.75">
      <c r="A83" s="3"/>
      <c r="B83" s="12"/>
      <c r="C83" s="3"/>
      <c r="AY83" s="103" t="s">
        <v>98</v>
      </c>
      <c r="AZ83" s="103" t="s">
        <v>442</v>
      </c>
      <c r="BA83" s="103" t="s">
        <v>555</v>
      </c>
      <c r="BB83" s="10">
        <v>208442</v>
      </c>
      <c r="BE83" s="70"/>
      <c r="BF83" s="241"/>
    </row>
    <row r="84" spans="1:58" ht="12.75">
      <c r="A84" s="3"/>
      <c r="B84" s="12"/>
      <c r="C84" s="3"/>
      <c r="AY84" s="103" t="s">
        <v>203</v>
      </c>
      <c r="AZ84" s="103" t="s">
        <v>204</v>
      </c>
      <c r="BA84" s="103" t="s">
        <v>555</v>
      </c>
      <c r="BB84" s="10">
        <v>545543</v>
      </c>
      <c r="BE84" s="70"/>
      <c r="BF84" s="241"/>
    </row>
    <row r="85" spans="1:58" ht="12.75">
      <c r="A85" s="3"/>
      <c r="B85" s="12"/>
      <c r="C85" s="3"/>
      <c r="AY85" s="103" t="s">
        <v>135</v>
      </c>
      <c r="AZ85" s="103" t="s">
        <v>457</v>
      </c>
      <c r="BA85" s="103" t="s">
        <v>555</v>
      </c>
      <c r="BB85" s="10">
        <v>274067</v>
      </c>
      <c r="BE85" s="70"/>
      <c r="BF85" s="241"/>
    </row>
    <row r="86" spans="1:58" ht="12.75">
      <c r="A86" s="3"/>
      <c r="B86" s="12"/>
      <c r="C86" s="3"/>
      <c r="AY86" s="103" t="s">
        <v>251</v>
      </c>
      <c r="AZ86" s="103" t="s">
        <v>252</v>
      </c>
      <c r="BA86" s="103" t="s">
        <v>555</v>
      </c>
      <c r="BB86" s="10">
        <v>374861</v>
      </c>
      <c r="BE86" s="70"/>
      <c r="BF86" s="249"/>
    </row>
    <row r="87" spans="1:58" ht="12.75">
      <c r="A87" s="3"/>
      <c r="B87" s="12"/>
      <c r="C87" s="3"/>
      <c r="AY87" s="103" t="s">
        <v>132</v>
      </c>
      <c r="AZ87" s="103" t="s">
        <v>133</v>
      </c>
      <c r="BA87" s="103" t="s">
        <v>375</v>
      </c>
      <c r="BB87" s="10">
        <v>153833</v>
      </c>
      <c r="BE87" s="70"/>
      <c r="BF87" s="249"/>
    </row>
    <row r="88" spans="1:58" ht="12.75">
      <c r="A88" s="3"/>
      <c r="B88" s="12"/>
      <c r="C88" s="3"/>
      <c r="AY88" s="103" t="s">
        <v>79</v>
      </c>
      <c r="AZ88" s="103" t="s">
        <v>80</v>
      </c>
      <c r="BA88" s="103" t="s">
        <v>555</v>
      </c>
      <c r="BB88" s="10">
        <v>258492</v>
      </c>
      <c r="BE88" s="70"/>
      <c r="BF88" s="241"/>
    </row>
    <row r="89" spans="1:58" ht="12.75">
      <c r="A89" s="3"/>
      <c r="B89" s="12"/>
      <c r="C89" s="3"/>
      <c r="AY89" s="103" t="s">
        <v>81</v>
      </c>
      <c r="AZ89" s="103" t="s">
        <v>435</v>
      </c>
      <c r="BA89" s="103" t="s">
        <v>375</v>
      </c>
      <c r="BB89" s="10">
        <v>283085</v>
      </c>
      <c r="BE89" s="70"/>
      <c r="BF89" s="241"/>
    </row>
    <row r="90" spans="1:58" ht="12.75">
      <c r="A90" s="3"/>
      <c r="B90" s="12"/>
      <c r="C90" s="3"/>
      <c r="AY90" s="103" t="s">
        <v>76</v>
      </c>
      <c r="AZ90" s="103" t="s">
        <v>432</v>
      </c>
      <c r="BA90" s="103" t="s">
        <v>375</v>
      </c>
      <c r="BB90" s="10">
        <v>357346</v>
      </c>
      <c r="BE90" s="70"/>
      <c r="BF90" s="241"/>
    </row>
    <row r="91" spans="1:58" ht="12.75">
      <c r="A91" s="3"/>
      <c r="B91" s="12"/>
      <c r="C91" s="3"/>
      <c r="AY91" s="103" t="s">
        <v>243</v>
      </c>
      <c r="AZ91" s="103" t="s">
        <v>485</v>
      </c>
      <c r="BA91" s="103" t="s">
        <v>555</v>
      </c>
      <c r="BB91" s="10">
        <v>748575</v>
      </c>
      <c r="BE91" s="247"/>
      <c r="BF91" s="249"/>
    </row>
    <row r="92" spans="1:58" ht="12.75">
      <c r="A92" s="3"/>
      <c r="B92" s="12"/>
      <c r="C92" s="3"/>
      <c r="AY92" s="103" t="s">
        <v>249</v>
      </c>
      <c r="AZ92" s="103" t="s">
        <v>250</v>
      </c>
      <c r="BA92" s="103" t="s">
        <v>555</v>
      </c>
      <c r="BB92" s="10">
        <v>322673</v>
      </c>
      <c r="BE92" s="247"/>
      <c r="BF92" s="249"/>
    </row>
    <row r="93" spans="1:58" ht="12.75">
      <c r="A93" s="3"/>
      <c r="B93" s="12"/>
      <c r="C93" s="3"/>
      <c r="AY93" s="103" t="s">
        <v>58</v>
      </c>
      <c r="AZ93" s="103" t="s">
        <v>59</v>
      </c>
      <c r="BA93" s="103" t="s">
        <v>375</v>
      </c>
      <c r="BB93" s="10">
        <v>165284</v>
      </c>
      <c r="BF93" s="252"/>
    </row>
    <row r="94" spans="1:58" ht="12.75">
      <c r="A94" s="3"/>
      <c r="B94" s="12"/>
      <c r="C94" s="3"/>
      <c r="AY94" s="103" t="s">
        <v>186</v>
      </c>
      <c r="AZ94" s="103" t="s">
        <v>470</v>
      </c>
      <c r="BA94" s="103" t="s">
        <v>375</v>
      </c>
      <c r="BB94" s="10">
        <v>339272</v>
      </c>
      <c r="BE94" s="70"/>
      <c r="BF94" s="241"/>
    </row>
    <row r="95" spans="1:58" ht="12.75">
      <c r="A95" s="3"/>
      <c r="B95" s="12"/>
      <c r="C95" s="3"/>
      <c r="AY95" s="103" t="s">
        <v>86</v>
      </c>
      <c r="AZ95" s="103" t="s">
        <v>87</v>
      </c>
      <c r="BA95" s="103" t="s">
        <v>375</v>
      </c>
      <c r="BB95" s="10">
        <v>165642</v>
      </c>
      <c r="BE95" s="247"/>
      <c r="BF95" s="249"/>
    </row>
    <row r="96" spans="1:58" ht="12.75">
      <c r="A96" s="3"/>
      <c r="B96" s="12"/>
      <c r="C96" s="3"/>
      <c r="AY96" s="103" t="s">
        <v>157</v>
      </c>
      <c r="AZ96" s="103" t="s">
        <v>158</v>
      </c>
      <c r="BA96" s="103" t="s">
        <v>375</v>
      </c>
      <c r="BB96" s="10">
        <v>208351</v>
      </c>
      <c r="BE96" s="243"/>
      <c r="BF96" s="238"/>
    </row>
    <row r="97" spans="1:58" ht="12.75">
      <c r="A97" s="3"/>
      <c r="B97" s="12"/>
      <c r="C97" s="3"/>
      <c r="AY97" s="103" t="s">
        <v>231</v>
      </c>
      <c r="AZ97" s="103" t="s">
        <v>232</v>
      </c>
      <c r="BA97" s="103" t="s">
        <v>375</v>
      </c>
      <c r="BB97" s="10">
        <v>203178</v>
      </c>
      <c r="BE97" s="243"/>
      <c r="BF97" s="238"/>
    </row>
    <row r="98" spans="1:58" ht="12.75">
      <c r="A98" s="3"/>
      <c r="B98" s="12"/>
      <c r="C98" s="3"/>
      <c r="AY98" s="103" t="s">
        <v>82</v>
      </c>
      <c r="AZ98" s="103" t="s">
        <v>436</v>
      </c>
      <c r="BA98" s="103" t="s">
        <v>375</v>
      </c>
      <c r="BB98" s="10">
        <v>214052</v>
      </c>
      <c r="BE98" s="248"/>
      <c r="BF98" s="241"/>
    </row>
    <row r="99" spans="1:58" ht="12.75">
      <c r="A99" s="3"/>
      <c r="B99" s="12"/>
      <c r="C99" s="3"/>
      <c r="AY99" s="103" t="s">
        <v>205</v>
      </c>
      <c r="AZ99" s="103" t="s">
        <v>206</v>
      </c>
      <c r="BA99" s="103" t="s">
        <v>555</v>
      </c>
      <c r="BB99" s="10">
        <v>795503</v>
      </c>
      <c r="BE99" s="70"/>
      <c r="BF99" s="249"/>
    </row>
    <row r="100" spans="1:58" ht="12.75">
      <c r="A100" s="3"/>
      <c r="B100" s="12"/>
      <c r="C100" s="3"/>
      <c r="AY100" s="103" t="s">
        <v>226</v>
      </c>
      <c r="AZ100" s="103" t="s">
        <v>480</v>
      </c>
      <c r="BA100" s="103" t="s">
        <v>375</v>
      </c>
      <c r="BB100" s="10">
        <v>648340</v>
      </c>
      <c r="BE100" s="70"/>
      <c r="BF100" s="249"/>
    </row>
    <row r="101" spans="51:58" ht="12.75">
      <c r="AY101" s="103" t="s">
        <v>51</v>
      </c>
      <c r="AZ101" s="103" t="s">
        <v>52</v>
      </c>
      <c r="BA101" s="103" t="s">
        <v>375</v>
      </c>
      <c r="BB101" s="10">
        <v>320818</v>
      </c>
      <c r="BE101" s="237"/>
      <c r="BF101" s="238"/>
    </row>
    <row r="102" spans="51:58" ht="12.75">
      <c r="AY102" s="103" t="s">
        <v>88</v>
      </c>
      <c r="AZ102" s="103" t="s">
        <v>89</v>
      </c>
      <c r="BA102" s="103" t="s">
        <v>375</v>
      </c>
      <c r="BB102" s="10">
        <v>339920</v>
      </c>
      <c r="BE102" s="237"/>
      <c r="BF102" s="238"/>
    </row>
    <row r="103" spans="51:58" ht="12.75">
      <c r="AY103" s="103" t="s">
        <v>177</v>
      </c>
      <c r="AZ103" s="103" t="s">
        <v>467</v>
      </c>
      <c r="BA103" s="103" t="s">
        <v>375</v>
      </c>
      <c r="BB103" s="10">
        <v>656875</v>
      </c>
      <c r="BE103" s="70"/>
      <c r="BF103" s="239"/>
    </row>
    <row r="104" spans="51:58" ht="12.75">
      <c r="AY104" s="103" t="s">
        <v>114</v>
      </c>
      <c r="AZ104" s="103" t="s">
        <v>446</v>
      </c>
      <c r="BA104" s="103" t="s">
        <v>375</v>
      </c>
      <c r="BB104" s="10">
        <v>236592</v>
      </c>
      <c r="BF104" s="252"/>
    </row>
    <row r="105" spans="51:58" ht="12.75">
      <c r="AY105" s="103" t="s">
        <v>259</v>
      </c>
      <c r="AZ105" s="103" t="s">
        <v>489</v>
      </c>
      <c r="BA105" s="103" t="s">
        <v>555</v>
      </c>
      <c r="BB105" s="10">
        <v>671572</v>
      </c>
      <c r="BE105" s="237"/>
      <c r="BF105" s="238"/>
    </row>
    <row r="106" spans="51:58" ht="12.75">
      <c r="AY106" s="103" t="s">
        <v>239</v>
      </c>
      <c r="AZ106" s="103" t="s">
        <v>240</v>
      </c>
      <c r="BA106" s="103" t="s">
        <v>555</v>
      </c>
      <c r="BB106" s="10">
        <v>177882</v>
      </c>
      <c r="BF106" s="252"/>
    </row>
    <row r="107" spans="51:58" ht="12.75">
      <c r="AY107" s="103" t="s">
        <v>91</v>
      </c>
      <c r="AZ107" s="103" t="s">
        <v>439</v>
      </c>
      <c r="BA107" s="103" t="s">
        <v>375</v>
      </c>
      <c r="BB107" s="10">
        <v>274443</v>
      </c>
      <c r="BF107" s="252"/>
    </row>
    <row r="108" spans="51:58" ht="12.75">
      <c r="AY108" s="103" t="s">
        <v>95</v>
      </c>
      <c r="AZ108" s="103" t="s">
        <v>441</v>
      </c>
      <c r="BA108" s="103" t="s">
        <v>375</v>
      </c>
      <c r="BB108" s="10">
        <v>213174</v>
      </c>
      <c r="BE108" s="70"/>
      <c r="BF108" s="239"/>
    </row>
    <row r="109" spans="51:58" ht="12.75">
      <c r="AY109" s="103" t="s">
        <v>179</v>
      </c>
      <c r="AZ109" s="103" t="s">
        <v>180</v>
      </c>
      <c r="BA109" s="103" t="s">
        <v>375</v>
      </c>
      <c r="BB109" s="10">
        <v>278950</v>
      </c>
      <c r="BE109" s="237"/>
      <c r="BF109" s="238"/>
    </row>
    <row r="110" spans="51:58" ht="12.75">
      <c r="AY110" s="103" t="s">
        <v>273</v>
      </c>
      <c r="AZ110" s="103" t="s">
        <v>274</v>
      </c>
      <c r="BA110" s="103" t="s">
        <v>375</v>
      </c>
      <c r="BB110" s="10">
        <v>133304</v>
      </c>
      <c r="BE110" s="70"/>
      <c r="BF110" s="249"/>
    </row>
    <row r="111" spans="51:58" ht="12.75">
      <c r="AY111" s="103" t="s">
        <v>155</v>
      </c>
      <c r="AZ111" s="103" t="s">
        <v>461</v>
      </c>
      <c r="BA111" s="103" t="s">
        <v>375</v>
      </c>
      <c r="BB111" s="10">
        <v>197060</v>
      </c>
      <c r="BE111" s="70"/>
      <c r="BF111" s="239"/>
    </row>
    <row r="112" spans="51:58" ht="12.75">
      <c r="AY112" s="103" t="s">
        <v>100</v>
      </c>
      <c r="AZ112" s="103" t="s">
        <v>101</v>
      </c>
      <c r="BA112" s="103" t="s">
        <v>375</v>
      </c>
      <c r="BB112" s="10">
        <v>253140</v>
      </c>
      <c r="BE112" s="250"/>
      <c r="BF112" s="249"/>
    </row>
    <row r="113" spans="51:58" ht="12.75">
      <c r="AY113" s="103" t="s">
        <v>92</v>
      </c>
      <c r="AZ113" s="103" t="s">
        <v>93</v>
      </c>
      <c r="BA113" s="103" t="s">
        <v>375</v>
      </c>
      <c r="BB113" s="10">
        <v>240983</v>
      </c>
      <c r="BE113" s="70"/>
      <c r="BF113" s="241"/>
    </row>
    <row r="114" spans="51:58" ht="12.75">
      <c r="AY114" s="103" t="s">
        <v>228</v>
      </c>
      <c r="AZ114" s="103" t="s">
        <v>482</v>
      </c>
      <c r="BA114" s="103" t="s">
        <v>375</v>
      </c>
      <c r="BB114" s="10">
        <v>340451</v>
      </c>
      <c r="BF114" s="241"/>
    </row>
    <row r="115" spans="51:58" ht="12.75">
      <c r="AY115" s="103" t="s">
        <v>189</v>
      </c>
      <c r="AZ115" s="103" t="s">
        <v>190</v>
      </c>
      <c r="BA115" s="103" t="s">
        <v>375</v>
      </c>
      <c r="BB115" s="10">
        <v>280673</v>
      </c>
      <c r="BE115" s="248"/>
      <c r="BF115" s="241"/>
    </row>
    <row r="116" spans="51:58" ht="12.75">
      <c r="AY116" s="103" t="s">
        <v>169</v>
      </c>
      <c r="AZ116" s="103" t="s">
        <v>170</v>
      </c>
      <c r="BA116" s="103" t="s">
        <v>375</v>
      </c>
      <c r="BB116" s="10">
        <v>565874</v>
      </c>
      <c r="BE116" s="70"/>
      <c r="BF116" s="239"/>
    </row>
    <row r="117" spans="51:58" ht="12.75">
      <c r="AY117" s="103" t="s">
        <v>152</v>
      </c>
      <c r="AZ117" s="103" t="s">
        <v>460</v>
      </c>
      <c r="BA117" s="103" t="s">
        <v>555</v>
      </c>
      <c r="BB117" s="10">
        <v>295379</v>
      </c>
      <c r="BE117" s="237"/>
      <c r="BF117" s="238"/>
    </row>
    <row r="118" spans="51:58" ht="12.75">
      <c r="AY118" s="103" t="s">
        <v>56</v>
      </c>
      <c r="AZ118" s="103" t="s">
        <v>57</v>
      </c>
      <c r="BA118" s="103" t="s">
        <v>375</v>
      </c>
      <c r="BB118" s="10">
        <v>217094</v>
      </c>
      <c r="BE118" s="70"/>
      <c r="BF118" s="239"/>
    </row>
    <row r="119" spans="51:58" ht="12.75">
      <c r="AY119" s="103" t="s">
        <v>268</v>
      </c>
      <c r="AZ119" s="103" t="s">
        <v>492</v>
      </c>
      <c r="BA119" s="103" t="s">
        <v>375</v>
      </c>
      <c r="BB119" s="10">
        <v>538131</v>
      </c>
      <c r="BE119" s="70"/>
      <c r="BF119" s="239"/>
    </row>
    <row r="120" spans="51:58" ht="12.75">
      <c r="AY120" s="103" t="s">
        <v>150</v>
      </c>
      <c r="AZ120" s="103" t="s">
        <v>151</v>
      </c>
      <c r="BA120" s="103" t="s">
        <v>555</v>
      </c>
      <c r="BB120" s="10">
        <v>389725</v>
      </c>
      <c r="BE120" s="70"/>
      <c r="BF120" s="239"/>
    </row>
    <row r="121" spans="51:58" ht="12.75">
      <c r="AY121" s="103" t="s">
        <v>212</v>
      </c>
      <c r="AZ121" s="103" t="s">
        <v>213</v>
      </c>
      <c r="BA121" s="103" t="s">
        <v>555</v>
      </c>
      <c r="BB121" s="10">
        <v>356812</v>
      </c>
      <c r="BE121" s="237"/>
      <c r="BF121" s="238"/>
    </row>
    <row r="122" spans="51:58" ht="12.75">
      <c r="AY122" s="103" t="s">
        <v>60</v>
      </c>
      <c r="AZ122" s="103" t="s">
        <v>61</v>
      </c>
      <c r="BA122" s="103" t="s">
        <v>375</v>
      </c>
      <c r="BB122" s="10">
        <v>256321</v>
      </c>
      <c r="BE122" s="70"/>
      <c r="BF122" s="249"/>
    </row>
    <row r="123" spans="51:58" ht="12.75">
      <c r="AY123" s="103" t="s">
        <v>234</v>
      </c>
      <c r="AZ123" s="103" t="s">
        <v>484</v>
      </c>
      <c r="BA123" s="103" t="s">
        <v>555</v>
      </c>
      <c r="BB123" s="10">
        <v>615835</v>
      </c>
      <c r="BF123" s="252"/>
    </row>
    <row r="124" spans="51:58" ht="12.75">
      <c r="AY124" s="103" t="s">
        <v>130</v>
      </c>
      <c r="AZ124" s="103" t="s">
        <v>454</v>
      </c>
      <c r="BA124" s="103" t="s">
        <v>375</v>
      </c>
      <c r="BB124" s="10">
        <v>150179</v>
      </c>
      <c r="BF124" s="252"/>
    </row>
    <row r="125" spans="51:58" ht="12.75">
      <c r="AY125" s="103" t="s">
        <v>253</v>
      </c>
      <c r="AZ125" s="103" t="s">
        <v>254</v>
      </c>
      <c r="BA125" s="103" t="s">
        <v>375</v>
      </c>
      <c r="BB125" s="10">
        <v>420503</v>
      </c>
      <c r="BE125" s="70"/>
      <c r="BF125" s="249"/>
    </row>
    <row r="126" spans="51:58" ht="12.75">
      <c r="AY126" s="103" t="s">
        <v>134</v>
      </c>
      <c r="AZ126" s="103" t="s">
        <v>456</v>
      </c>
      <c r="BA126" s="103" t="s">
        <v>375</v>
      </c>
      <c r="BB126" s="10">
        <v>263936</v>
      </c>
      <c r="BE126" s="70"/>
      <c r="BF126" s="239"/>
    </row>
    <row r="127" spans="51:58" ht="12.75">
      <c r="AY127" s="103" t="s">
        <v>142</v>
      </c>
      <c r="AZ127" s="103" t="s">
        <v>143</v>
      </c>
      <c r="BA127" s="103" t="s">
        <v>375</v>
      </c>
      <c r="BB127" s="10">
        <v>308593</v>
      </c>
      <c r="BF127" s="252"/>
    </row>
    <row r="128" spans="51:58" ht="12.75">
      <c r="AY128" s="103" t="s">
        <v>94</v>
      </c>
      <c r="AZ128" s="103" t="s">
        <v>440</v>
      </c>
      <c r="BA128" s="103" t="s">
        <v>555</v>
      </c>
      <c r="BB128" s="10">
        <v>298190</v>
      </c>
      <c r="BE128" s="250"/>
      <c r="BF128" s="249"/>
    </row>
    <row r="129" spans="51:58" ht="12.75">
      <c r="AY129" s="103" t="s">
        <v>85</v>
      </c>
      <c r="AZ129" s="103" t="s">
        <v>437</v>
      </c>
      <c r="BA129" s="103" t="s">
        <v>375</v>
      </c>
      <c r="BB129" s="10">
        <v>191885</v>
      </c>
      <c r="BE129" s="70"/>
      <c r="BF129" s="249"/>
    </row>
    <row r="130" spans="51:58" ht="12.75">
      <c r="AY130" s="103" t="s">
        <v>233</v>
      </c>
      <c r="AZ130" s="103" t="s">
        <v>483</v>
      </c>
      <c r="BA130" s="103" t="s">
        <v>375</v>
      </c>
      <c r="BB130" s="10">
        <v>268223</v>
      </c>
      <c r="BE130" s="70"/>
      <c r="BF130" s="249"/>
    </row>
    <row r="131" spans="51:58" ht="12.75">
      <c r="AY131" s="103" t="s">
        <v>245</v>
      </c>
      <c r="AZ131" s="103" t="s">
        <v>246</v>
      </c>
      <c r="BA131" s="103" t="s">
        <v>555</v>
      </c>
      <c r="BB131" s="10">
        <v>616983</v>
      </c>
      <c r="BE131" s="247"/>
      <c r="BF131" s="249"/>
    </row>
    <row r="132" spans="51:58" ht="12.75">
      <c r="AY132" s="103" t="s">
        <v>131</v>
      </c>
      <c r="AZ132" s="103" t="s">
        <v>455</v>
      </c>
      <c r="BA132" s="103" t="s">
        <v>375</v>
      </c>
      <c r="BB132" s="10">
        <v>283991</v>
      </c>
      <c r="BE132" s="247"/>
      <c r="BF132" s="249"/>
    </row>
    <row r="133" spans="51:58" ht="12.75">
      <c r="AY133" s="103" t="s">
        <v>216</v>
      </c>
      <c r="AZ133" s="103" t="s">
        <v>217</v>
      </c>
      <c r="BA133" s="103" t="s">
        <v>375</v>
      </c>
      <c r="BB133" s="10">
        <v>1156805</v>
      </c>
      <c r="BE133" s="247"/>
      <c r="BF133" s="251"/>
    </row>
    <row r="134" spans="51:58" ht="12.75">
      <c r="AY134" s="103" t="s">
        <v>156</v>
      </c>
      <c r="AZ134" s="103" t="s">
        <v>462</v>
      </c>
      <c r="BA134" s="103" t="s">
        <v>375</v>
      </c>
      <c r="BB134" s="10">
        <v>390971</v>
      </c>
      <c r="BE134" s="243"/>
      <c r="BF134" s="238"/>
    </row>
    <row r="135" spans="51:58" ht="12.75">
      <c r="AY135" s="103" t="s">
        <v>121</v>
      </c>
      <c r="AZ135" s="103" t="s">
        <v>122</v>
      </c>
      <c r="BA135" s="103" t="s">
        <v>554</v>
      </c>
      <c r="BB135" s="10">
        <v>218182</v>
      </c>
      <c r="BE135" s="250"/>
      <c r="BF135" s="249"/>
    </row>
    <row r="136" spans="51:58" ht="12.75">
      <c r="AY136" s="103" t="s">
        <v>148</v>
      </c>
      <c r="AZ136" s="103" t="s">
        <v>458</v>
      </c>
      <c r="BA136" s="103" t="s">
        <v>555</v>
      </c>
      <c r="BB136" s="10">
        <v>236598</v>
      </c>
      <c r="BE136" s="237"/>
      <c r="BF136" s="238"/>
    </row>
    <row r="137" spans="51:58" ht="12.75">
      <c r="AY137" s="103" t="s">
        <v>160</v>
      </c>
      <c r="AZ137" s="103" t="s">
        <v>464</v>
      </c>
      <c r="BA137" s="103" t="s">
        <v>555</v>
      </c>
      <c r="BB137" s="10">
        <v>165993</v>
      </c>
      <c r="BF137" s="252"/>
    </row>
    <row r="138" spans="51:58" ht="12.75">
      <c r="AY138" s="103" t="s">
        <v>54</v>
      </c>
      <c r="AZ138" s="103" t="s">
        <v>55</v>
      </c>
      <c r="BA138" s="103" t="s">
        <v>375</v>
      </c>
      <c r="BB138" s="10">
        <v>145889</v>
      </c>
      <c r="BE138" s="70"/>
      <c r="BF138" s="239"/>
    </row>
    <row r="139" spans="51:58" ht="12.75">
      <c r="AY139" s="103" t="s">
        <v>75</v>
      </c>
      <c r="AZ139" s="103" t="s">
        <v>431</v>
      </c>
      <c r="BA139" s="103" t="s">
        <v>375</v>
      </c>
      <c r="BB139" s="10">
        <v>267393</v>
      </c>
      <c r="BE139" s="237"/>
      <c r="BF139" s="238"/>
    </row>
    <row r="140" spans="51:58" ht="12.75">
      <c r="AY140" s="103" t="s">
        <v>201</v>
      </c>
      <c r="AZ140" s="103" t="s">
        <v>202</v>
      </c>
      <c r="BA140" s="103" t="s">
        <v>555</v>
      </c>
      <c r="BB140" s="10">
        <v>232551</v>
      </c>
      <c r="BE140" s="70"/>
      <c r="BF140" s="239"/>
    </row>
    <row r="141" spans="51:58" ht="12.75">
      <c r="AY141" s="103" t="s">
        <v>167</v>
      </c>
      <c r="AZ141" s="103" t="s">
        <v>168</v>
      </c>
      <c r="BA141" s="103" t="s">
        <v>555</v>
      </c>
      <c r="BB141" s="10">
        <v>350958</v>
      </c>
      <c r="BE141" s="70"/>
      <c r="BF141" s="239"/>
    </row>
    <row r="142" spans="51:58" ht="12.75">
      <c r="AY142" s="103" t="s">
        <v>153</v>
      </c>
      <c r="AZ142" s="103" t="s">
        <v>154</v>
      </c>
      <c r="BA142" s="103" t="s">
        <v>375</v>
      </c>
      <c r="BB142" s="10">
        <v>265654</v>
      </c>
      <c r="BE142" s="70"/>
      <c r="BF142" s="241"/>
    </row>
    <row r="143" spans="51:58" ht="12.75">
      <c r="AY143" s="103" t="s">
        <v>181</v>
      </c>
      <c r="AZ143" s="103" t="s">
        <v>182</v>
      </c>
      <c r="BA143" s="103" t="s">
        <v>375</v>
      </c>
      <c r="BB143" s="10">
        <v>284466</v>
      </c>
      <c r="BE143" s="70"/>
      <c r="BF143" s="249"/>
    </row>
    <row r="144" spans="51:58" ht="12.75">
      <c r="AY144" s="103" t="s">
        <v>146</v>
      </c>
      <c r="AZ144" s="103" t="s">
        <v>147</v>
      </c>
      <c r="BA144" s="103" t="s">
        <v>375</v>
      </c>
      <c r="BB144" s="10">
        <v>319933</v>
      </c>
      <c r="BE144" s="70"/>
      <c r="BF144" s="241"/>
    </row>
    <row r="145" spans="51:58" ht="12.75">
      <c r="AY145" s="103" t="s">
        <v>111</v>
      </c>
      <c r="AZ145" s="103" t="s">
        <v>112</v>
      </c>
      <c r="BA145" s="103" t="s">
        <v>375</v>
      </c>
      <c r="BB145" s="10">
        <v>192336</v>
      </c>
      <c r="BE145" s="248"/>
      <c r="BF145" s="249"/>
    </row>
    <row r="146" spans="51:58" ht="12.75">
      <c r="AY146" s="103" t="s">
        <v>237</v>
      </c>
      <c r="AZ146" s="103" t="s">
        <v>238</v>
      </c>
      <c r="BA146" s="103" t="s">
        <v>375</v>
      </c>
      <c r="BB146" s="10">
        <v>548313</v>
      </c>
      <c r="BF146" s="252"/>
    </row>
    <row r="147" spans="51:58" ht="12.75">
      <c r="AY147" s="103" t="s">
        <v>247</v>
      </c>
      <c r="AZ147" s="103" t="s">
        <v>248</v>
      </c>
      <c r="BA147" s="103" t="s">
        <v>375</v>
      </c>
      <c r="BB147" s="10">
        <v>287229</v>
      </c>
      <c r="BF147" s="252"/>
    </row>
    <row r="148" spans="51:58" ht="12.75">
      <c r="AY148" s="103" t="s">
        <v>222</v>
      </c>
      <c r="AZ148" s="103" t="s">
        <v>478</v>
      </c>
      <c r="BA148" s="103" t="s">
        <v>555</v>
      </c>
      <c r="BB148" s="10">
        <v>707573</v>
      </c>
      <c r="BF148" s="252"/>
    </row>
    <row r="149" spans="51:58" ht="12.75">
      <c r="AY149" s="103" t="s">
        <v>218</v>
      </c>
      <c r="AZ149" s="103" t="s">
        <v>219</v>
      </c>
      <c r="BA149" s="103" t="s">
        <v>555</v>
      </c>
      <c r="BB149" s="10">
        <v>825533</v>
      </c>
      <c r="BE149" s="248"/>
      <c r="BF149" s="249"/>
    </row>
    <row r="150" spans="51:58" ht="12.75">
      <c r="AY150" s="103" t="s">
        <v>196</v>
      </c>
      <c r="AZ150" s="103" t="s">
        <v>197</v>
      </c>
      <c r="BA150" s="103" t="s">
        <v>375</v>
      </c>
      <c r="BB150" s="10">
        <v>259945</v>
      </c>
      <c r="BF150" s="252"/>
    </row>
    <row r="151" spans="51:58" ht="12.75">
      <c r="AY151" s="103" t="s">
        <v>138</v>
      </c>
      <c r="AZ151" s="103" t="s">
        <v>139</v>
      </c>
      <c r="BA151" s="103" t="s">
        <v>375</v>
      </c>
      <c r="BB151" s="10">
        <v>246573</v>
      </c>
      <c r="BF151" s="252"/>
    </row>
    <row r="152" spans="51:58" ht="12.75">
      <c r="AY152" s="103" t="s">
        <v>266</v>
      </c>
      <c r="AZ152" s="103" t="s">
        <v>267</v>
      </c>
      <c r="BA152" s="103" t="s">
        <v>555</v>
      </c>
      <c r="BB152" s="10">
        <v>462395</v>
      </c>
      <c r="BE152" s="250"/>
      <c r="BF152" s="239"/>
    </row>
    <row r="153" spans="51:58" ht="12.75">
      <c r="AY153" s="103" t="s">
        <v>191</v>
      </c>
      <c r="AZ153" s="103" t="s">
        <v>192</v>
      </c>
      <c r="BA153" s="103" t="s">
        <v>375</v>
      </c>
      <c r="BB153" s="10">
        <v>332176</v>
      </c>
      <c r="BF153" s="252"/>
    </row>
    <row r="154" spans="51:58" ht="12.75">
      <c r="AY154" s="103" t="s">
        <v>161</v>
      </c>
      <c r="AZ154" s="103" t="s">
        <v>465</v>
      </c>
      <c r="BA154" s="103" t="s">
        <v>375</v>
      </c>
      <c r="BB154" s="10">
        <v>246213</v>
      </c>
      <c r="BE154" s="237"/>
      <c r="BF154" s="238"/>
    </row>
    <row r="155" spans="51:58" ht="12.75">
      <c r="AY155" s="103" t="s">
        <v>235</v>
      </c>
      <c r="AZ155" s="103" t="s">
        <v>236</v>
      </c>
      <c r="BA155" s="103" t="s">
        <v>555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578</v>
      </c>
      <c r="B3" s="56" t="s">
        <v>219</v>
      </c>
      <c r="C3" s="56" t="s">
        <v>24</v>
      </c>
    </row>
    <row r="4" spans="1:2" ht="12.75">
      <c r="A4" s="76">
        <v>1</v>
      </c>
      <c r="B4" s="78" t="s">
        <v>218</v>
      </c>
    </row>
    <row r="5" ht="12.75">
      <c r="A5" s="280" t="s">
        <v>578</v>
      </c>
    </row>
    <row r="6" ht="12.75">
      <c r="A6" s="280" t="s">
        <v>621</v>
      </c>
    </row>
    <row r="7" ht="12.75">
      <c r="A7" s="280" t="s">
        <v>576</v>
      </c>
    </row>
    <row r="8" ht="12.75">
      <c r="A8" s="280" t="s">
        <v>602</v>
      </c>
    </row>
    <row r="9" ht="12.75">
      <c r="A9" s="280" t="s">
        <v>617</v>
      </c>
    </row>
    <row r="10" ht="12.75">
      <c r="A10" s="280" t="s">
        <v>631</v>
      </c>
    </row>
    <row r="11" ht="12.75">
      <c r="A11" s="280" t="s">
        <v>573</v>
      </c>
    </row>
    <row r="12" ht="12.75">
      <c r="A12" s="280" t="s">
        <v>632</v>
      </c>
    </row>
    <row r="13" ht="12.75">
      <c r="A13" s="280" t="s">
        <v>608</v>
      </c>
    </row>
    <row r="14" ht="12.75">
      <c r="A14" s="280" t="s">
        <v>575</v>
      </c>
    </row>
    <row r="15" ht="12.75">
      <c r="A15" s="280" t="s">
        <v>601</v>
      </c>
    </row>
    <row r="16" ht="12.75">
      <c r="A16" s="280" t="s">
        <v>600</v>
      </c>
    </row>
    <row r="17" ht="12.75">
      <c r="A17" s="280" t="s">
        <v>629</v>
      </c>
    </row>
    <row r="18" ht="12.75">
      <c r="A18" s="280" t="s">
        <v>596</v>
      </c>
    </row>
    <row r="19" ht="12.75">
      <c r="A19" s="280" t="s">
        <v>639</v>
      </c>
    </row>
    <row r="20" ht="12.75">
      <c r="A20" s="280" t="s">
        <v>571</v>
      </c>
    </row>
    <row r="21" ht="12.75">
      <c r="A21" s="280" t="s">
        <v>624</v>
      </c>
    </row>
    <row r="22" ht="12.75">
      <c r="A22" s="280" t="s">
        <v>561</v>
      </c>
    </row>
    <row r="23" ht="12.75">
      <c r="A23" s="280" t="s">
        <v>594</v>
      </c>
    </row>
    <row r="24" ht="12.75">
      <c r="A24" s="280" t="s">
        <v>562</v>
      </c>
    </row>
    <row r="25" ht="12.75">
      <c r="A25" s="280" t="s">
        <v>598</v>
      </c>
    </row>
    <row r="26" ht="12.75">
      <c r="A26" s="280" t="s">
        <v>618</v>
      </c>
    </row>
    <row r="27" ht="12.75">
      <c r="A27" s="280" t="s">
        <v>592</v>
      </c>
    </row>
    <row r="28" ht="12.75">
      <c r="A28" s="280" t="s">
        <v>607</v>
      </c>
    </row>
    <row r="29" ht="12.75">
      <c r="A29" s="280" t="s">
        <v>622</v>
      </c>
    </row>
    <row r="30" ht="12.75">
      <c r="A30" s="280" t="s">
        <v>587</v>
      </c>
    </row>
    <row r="31" ht="12.75">
      <c r="A31" s="280" t="s">
        <v>597</v>
      </c>
    </row>
    <row r="32" ht="12.75">
      <c r="A32" s="280" t="s">
        <v>642</v>
      </c>
    </row>
    <row r="33" ht="12.75">
      <c r="A33" s="280" t="s">
        <v>613</v>
      </c>
    </row>
    <row r="34" ht="12.75">
      <c r="A34" s="280" t="s">
        <v>630</v>
      </c>
    </row>
    <row r="35" ht="12.75">
      <c r="A35" s="280" t="s">
        <v>646</v>
      </c>
    </row>
    <row r="36" ht="12.75">
      <c r="A36" s="280" t="s">
        <v>604</v>
      </c>
    </row>
    <row r="37" ht="12.75">
      <c r="A37" s="280" t="s">
        <v>567</v>
      </c>
    </row>
    <row r="38" ht="12.75">
      <c r="A38" s="280" t="s">
        <v>636</v>
      </c>
    </row>
    <row r="39" ht="12.75">
      <c r="A39" s="280" t="s">
        <v>649</v>
      </c>
    </row>
    <row r="40" ht="12.75">
      <c r="A40" s="280" t="s">
        <v>570</v>
      </c>
    </row>
    <row r="41" ht="12.75">
      <c r="A41" s="280" t="s">
        <v>605</v>
      </c>
    </row>
    <row r="42" ht="12.75">
      <c r="A42" s="280" t="s">
        <v>569</v>
      </c>
    </row>
    <row r="43" ht="12.75">
      <c r="A43" s="280" t="s">
        <v>588</v>
      </c>
    </row>
    <row r="44" ht="12.75">
      <c r="A44" s="280" t="s">
        <v>589</v>
      </c>
    </row>
    <row r="45" ht="12.75">
      <c r="A45" s="280" t="s">
        <v>585</v>
      </c>
    </row>
    <row r="46" ht="12.75">
      <c r="A46" s="280" t="s">
        <v>583</v>
      </c>
    </row>
    <row r="47" ht="12.75">
      <c r="A47" s="280" t="s">
        <v>611</v>
      </c>
    </row>
    <row r="48" ht="12.75">
      <c r="A48" s="280" t="s">
        <v>560</v>
      </c>
    </row>
    <row r="49" ht="12.75">
      <c r="A49" s="280" t="s">
        <v>610</v>
      </c>
    </row>
    <row r="50" ht="12.75">
      <c r="A50" s="280" t="s">
        <v>620</v>
      </c>
    </row>
    <row r="51" ht="12.75">
      <c r="A51" s="280" t="s">
        <v>615</v>
      </c>
    </row>
    <row r="52" ht="12.75">
      <c r="A52" s="280" t="s">
        <v>634</v>
      </c>
    </row>
    <row r="53" ht="12.75">
      <c r="A53" s="280" t="s">
        <v>609</v>
      </c>
    </row>
    <row r="54" ht="12.75">
      <c r="A54" s="280" t="s">
        <v>627</v>
      </c>
    </row>
    <row r="55" ht="12.75">
      <c r="A55" s="280" t="s">
        <v>628</v>
      </c>
    </row>
    <row r="56" ht="12.75">
      <c r="A56" s="280" t="s">
        <v>641</v>
      </c>
    </row>
    <row r="57" ht="12.75">
      <c r="A57" s="280" t="s">
        <v>645</v>
      </c>
    </row>
    <row r="58" ht="12.75">
      <c r="A58" s="280" t="s">
        <v>590</v>
      </c>
    </row>
    <row r="59" ht="12.75">
      <c r="A59" s="280" t="s">
        <v>638</v>
      </c>
    </row>
    <row r="60" ht="12.75">
      <c r="A60" s="280" t="s">
        <v>643</v>
      </c>
    </row>
    <row r="61" ht="12.75">
      <c r="A61" s="280" t="s">
        <v>574</v>
      </c>
    </row>
    <row r="62" ht="12.75">
      <c r="A62" s="280" t="s">
        <v>593</v>
      </c>
    </row>
    <row r="63" ht="12.75">
      <c r="A63" s="280" t="s">
        <v>644</v>
      </c>
    </row>
    <row r="64" ht="12.75">
      <c r="A64" s="280" t="s">
        <v>603</v>
      </c>
    </row>
    <row r="65" ht="12.75">
      <c r="A65" s="280" t="s">
        <v>572</v>
      </c>
    </row>
    <row r="66" ht="12.75">
      <c r="A66" s="280" t="s">
        <v>606</v>
      </c>
    </row>
    <row r="67" ht="12.75">
      <c r="A67" s="280" t="s">
        <v>584</v>
      </c>
    </row>
    <row r="68" ht="12.75">
      <c r="A68" s="280" t="s">
        <v>586</v>
      </c>
    </row>
    <row r="69" ht="12.75">
      <c r="A69" s="280" t="s">
        <v>633</v>
      </c>
    </row>
    <row r="70" ht="12.75">
      <c r="A70" s="280" t="s">
        <v>581</v>
      </c>
    </row>
    <row r="71" ht="12.75">
      <c r="A71" s="280" t="s">
        <v>580</v>
      </c>
    </row>
    <row r="72" ht="12.75">
      <c r="A72" s="280" t="s">
        <v>579</v>
      </c>
    </row>
    <row r="73" ht="12.75">
      <c r="A73" s="280" t="s">
        <v>614</v>
      </c>
    </row>
    <row r="74" ht="12.75">
      <c r="A74" s="280" t="s">
        <v>591</v>
      </c>
    </row>
    <row r="75" ht="12.75">
      <c r="A75" s="280" t="s">
        <v>565</v>
      </c>
    </row>
    <row r="76" ht="12.75">
      <c r="A76" s="280" t="s">
        <v>623</v>
      </c>
    </row>
    <row r="77" ht="12.75">
      <c r="A77" s="280" t="s">
        <v>626</v>
      </c>
    </row>
    <row r="78" ht="12.75">
      <c r="A78" s="280" t="s">
        <v>616</v>
      </c>
    </row>
    <row r="79" ht="12.75">
      <c r="A79" s="280" t="s">
        <v>566</v>
      </c>
    </row>
    <row r="80" ht="12.75">
      <c r="A80" s="280" t="s">
        <v>577</v>
      </c>
    </row>
    <row r="81" ht="12.75">
      <c r="A81" s="280" t="s">
        <v>568</v>
      </c>
    </row>
    <row r="82" ht="12.75">
      <c r="A82" s="280" t="s">
        <v>619</v>
      </c>
    </row>
    <row r="83" ht="12.75">
      <c r="A83" s="280" t="s">
        <v>582</v>
      </c>
    </row>
    <row r="84" ht="12.75">
      <c r="A84" s="280" t="s">
        <v>625</v>
      </c>
    </row>
    <row r="85" ht="12.75">
      <c r="A85" s="280" t="s">
        <v>647</v>
      </c>
    </row>
    <row r="86" ht="12.75">
      <c r="A86" s="280" t="s">
        <v>559</v>
      </c>
    </row>
    <row r="87" ht="12.75">
      <c r="A87" s="280" t="s">
        <v>648</v>
      </c>
    </row>
    <row r="88" ht="12.75">
      <c r="A88" s="280" t="s">
        <v>563</v>
      </c>
    </row>
    <row r="89" ht="12.75">
      <c r="A89" s="280" t="s">
        <v>595</v>
      </c>
    </row>
    <row r="90" ht="12.75">
      <c r="A90" s="280" t="s">
        <v>635</v>
      </c>
    </row>
    <row r="91" ht="12.75">
      <c r="A91" s="280" t="s">
        <v>640</v>
      </c>
    </row>
    <row r="92" ht="12.75">
      <c r="A92" s="280" t="s">
        <v>564</v>
      </c>
    </row>
    <row r="93" ht="12.75">
      <c r="A93" s="280" t="s">
        <v>612</v>
      </c>
    </row>
    <row r="94" ht="12.75">
      <c r="A94" s="280" t="s">
        <v>637</v>
      </c>
    </row>
    <row r="95" ht="12.75">
      <c r="A95" s="280" t="s">
        <v>660</v>
      </c>
    </row>
    <row r="96" ht="12.75">
      <c r="A96" s="280" t="s">
        <v>599</v>
      </c>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