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<sst xmlns="http://schemas.openxmlformats.org/spreadsheetml/2006/main" count="2331" uniqueCount="632">
  <si>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</si>
  <si>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</si>
  <si>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</si>
  <si>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</si>
  <si>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</si>
  <si>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</si>
  <si>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</si>
  <si>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</si>
  <si>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</si>
  <si>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</si>
  <si>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</si>
  <si>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</si>
  <si>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</si>
  <si>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</si>
  <si>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</si>
  <si>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</si>
  <si>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</si>
  <si>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</si>
  <si>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</si>
  <si>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</si>
  <si>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</si>
  <si>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</si>
  <si>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</si>
  <si>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</si>
  <si>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</si>
  <si>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</si>
  <si>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</si>
  <si>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</si>
  <si>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</si>
  <si>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</si>
  <si>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</si>
  <si>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</si>
  <si>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</si>
  <si>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</si>
  <si>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</si>
  <si>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</si>
  <si>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</si>
  <si>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</si>
  <si>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</si>
  <si>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</si>
  <si>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</si>
  <si>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</si>
  <si>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</si>
  <si>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</si>
  <si>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</si>
  <si>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</si>
  <si>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</si>
  <si>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</si>
  <si>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</si>
  <si>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</si>
  <si>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</si>
  <si>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</si>
  <si>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</si>
  <si>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</si>
  <si>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</si>
  <si>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</si>
  <si>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</si>
  <si>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</si>
  <si>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</si>
  <si>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</si>
  <si>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</si>
  <si>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</si>
  <si>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</si>
  <si>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</si>
  <si>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</si>
  <si>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</si>
  <si>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</si>
  <si>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</si>
  <si>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</si>
  <si>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</si>
  <si>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</si>
  <si>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</si>
  <si>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</si>
  <si>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</si>
  <si>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</si>
  <si>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</si>
  <si>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</si>
  <si>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</si>
  <si>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</si>
  <si>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</si>
  <si>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</si>
  <si>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</si>
  <si>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</si>
  <si>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</si>
  <si>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</si>
  <si>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</si>
  <si>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</si>
  <si>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</si>
  <si>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</si>
  <si>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</si>
  <si>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</si>
  <si>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</si>
  <si>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</si>
  <si>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</si>
  <si>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</si>
  <si>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</si>
  <si>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</si>
  <si>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</si>
  <si>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</si>
  <si>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</si>
  <si>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</si>
  <si>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</si>
  <si>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</si>
  <si>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</si>
  <si>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</si>
  <si>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</si>
  <si>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</si>
  <si>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</si>
  <si>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</si>
  <si>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</si>
  <si>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</si>
  <si>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</si>
  <si>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</si>
  <si>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</si>
  <si>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</si>
  <si>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</si>
  <si>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</si>
  <si>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</si>
  <si>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</si>
  <si>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</si>
  <si>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</si>
  <si>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</si>
  <si>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</si>
  <si>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</si>
  <si>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</si>
  <si>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</si>
  <si>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</si>
  <si>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</si>
  <si>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</si>
  <si>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</si>
  <si>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</si>
  <si>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</si>
  <si>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</si>
  <si>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</si>
  <si>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</si>
  <si>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</si>
  <si>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</si>
  <si>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</si>
  <si>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</si>
  <si>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</si>
  <si>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</si>
  <si>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</si>
  <si>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</si>
  <si>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</si>
  <si>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</si>
  <si>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</si>
  <si>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</si>
  <si>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</si>
  <si>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</si>
  <si>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</si>
  <si>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</si>
  <si>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</si>
  <si>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</si>
  <si>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</si>
  <si>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</si>
  <si>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</si>
  <si>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</si>
  <si>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</si>
  <si>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</si>
  <si>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</si>
  <si>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</si>
  <si>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</si>
  <si>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</si>
  <si>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</si>
  <si>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</si>
  <si>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</si>
  <si>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</si>
  <si>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</si>
  <si>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</si>
  <si>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</si>
  <si>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</si>
  <si>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</si>
  <si>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</si>
  <si>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</si>
  <si>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</si>
  <si>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</si>
  <si>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</si>
  <si>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</si>
  <si>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</si>
  <si>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</si>
  <si>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</si>
  <si>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</si>
  <si>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</si>
  <si>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</si>
  <si>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</si>
  <si>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</si>
  <si>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</si>
  <si>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</si>
  <si>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</si>
  <si>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</si>
  <si>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</si>
  <si>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</si>
  <si>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</si>
  <si>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</si>
  <si>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</si>
  <si>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</si>
  <si>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</si>
  <si>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</si>
  <si>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</si>
  <si>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</si>
  <si>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</si>
  <si>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</si>
  <si>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</si>
  <si>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</si>
  <si>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</si>
  <si>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</si>
  <si>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</si>
  <si>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</si>
  <si>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</si>
  <si>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</si>
  <si>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</si>
  <si>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</si>
  <si>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</si>
  <si>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</si>
  <si>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</si>
  <si>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</si>
  <si>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</si>
  <si>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</si>
  <si>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</si>
  <si>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</si>
  <si>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</si>
  <si>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</si>
  <si>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</si>
  <si>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</si>
  <si>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</si>
  <si>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</si>
  <si>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</si>
  <si>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</si>
  <si>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</si>
  <si>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</si>
  <si>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</si>
  <si>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</si>
  <si>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</si>
  <si>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</si>
  <si>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</si>
  <si>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</si>
  <si>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</si>
  <si>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</si>
  <si>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</si>
  <si>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</si>
  <si>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</si>
  <si>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</si>
  <si>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</si>
  <si>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</si>
  <si>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</si>
  <si>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</si>
  <si>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</si>
  <si>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</si>
  <si>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</si>
  <si>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</si>
  <si>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</si>
  <si>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</si>
  <si>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</si>
  <si>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</si>
  <si>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</si>
  <si>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</si>
  <si>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</si>
  <si>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</si>
  <si>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</si>
  <si>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</si>
  <si>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</si>
  <si>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</si>
  <si>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</si>
  <si>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</si>
  <si>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</si>
  <si>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</si>
  <si>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</si>
  <si>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</si>
  <si>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</si>
  <si>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</si>
  <si>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</si>
  <si>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</si>
  <si>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</si>
  <si>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</si>
  <si>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</si>
  <si>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</si>
  <si>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</si>
  <si>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</si>
  <si>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</si>
  <si>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</si>
  <si>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</si>
  <si>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</si>
  <si>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M85001</t>
  </si>
  <si>
    <t>M85005</t>
  </si>
  <si>
    <t>M85008</t>
  </si>
  <si>
    <t>M85011</t>
  </si>
  <si>
    <t>M85013</t>
  </si>
  <si>
    <t>M85014</t>
  </si>
  <si>
    <t>M85016</t>
  </si>
  <si>
    <t>M85026</t>
  </si>
  <si>
    <t>M85031</t>
  </si>
  <si>
    <t>M85033</t>
  </si>
  <si>
    <t>M85034</t>
  </si>
  <si>
    <t>M85038</t>
  </si>
  <si>
    <t>M85046</t>
  </si>
  <si>
    <t>M85048</t>
  </si>
  <si>
    <t>M85060</t>
  </si>
  <si>
    <t>M85061</t>
  </si>
  <si>
    <t>M85065</t>
  </si>
  <si>
    <t>M85066</t>
  </si>
  <si>
    <t>M85068</t>
  </si>
  <si>
    <t>M85070</t>
  </si>
  <si>
    <t>M85079</t>
  </si>
  <si>
    <t>M85081</t>
  </si>
  <si>
    <t>M85083</t>
  </si>
  <si>
    <t>M85087</t>
  </si>
  <si>
    <t>M85094</t>
  </si>
  <si>
    <t>M85097</t>
  </si>
  <si>
    <t>M85103</t>
  </si>
  <si>
    <t>M85105</t>
  </si>
  <si>
    <t>M85107</t>
  </si>
  <si>
    <t>M85108</t>
  </si>
  <si>
    <t>M85110</t>
  </si>
  <si>
    <t>M85111</t>
  </si>
  <si>
    <t>M85113</t>
  </si>
  <si>
    <t>M85115</t>
  </si>
  <si>
    <t>M85139</t>
  </si>
  <si>
    <t>M85141</t>
  </si>
  <si>
    <t>M85149</t>
  </si>
  <si>
    <t>M85155</t>
  </si>
  <si>
    <t>M85158</t>
  </si>
  <si>
    <t>M85170</t>
  </si>
  <si>
    <t>M85171</t>
  </si>
  <si>
    <t>M85175</t>
  </si>
  <si>
    <t>M85177</t>
  </si>
  <si>
    <t>M85624</t>
  </si>
  <si>
    <t>M85669</t>
  </si>
  <si>
    <t>M85670</t>
  </si>
  <si>
    <t>M85677</t>
  </si>
  <si>
    <t>M85680</t>
  </si>
  <si>
    <t>M85694</t>
  </si>
  <si>
    <t>M85704</t>
  </si>
  <si>
    <t>M85706</t>
  </si>
  <si>
    <t>M85716</t>
  </si>
  <si>
    <t>M85717</t>
  </si>
  <si>
    <t>M85722</t>
  </si>
  <si>
    <t>M85732</t>
  </si>
  <si>
    <t>M85736</t>
  </si>
  <si>
    <t>M85738</t>
  </si>
  <si>
    <t>M85739</t>
  </si>
  <si>
    <t>M85741</t>
  </si>
  <si>
    <t>M85746</t>
  </si>
  <si>
    <t>M85749</t>
  </si>
  <si>
    <t>M85750</t>
  </si>
  <si>
    <t>M85770</t>
  </si>
  <si>
    <t>M85776</t>
  </si>
  <si>
    <t>M85779</t>
  </si>
  <si>
    <t>M85784</t>
  </si>
  <si>
    <t>M85786</t>
  </si>
  <si>
    <t>M85791</t>
  </si>
  <si>
    <t>M85792</t>
  </si>
  <si>
    <t>M85802</t>
  </si>
  <si>
    <t>M85803</t>
  </si>
  <si>
    <t>5CC</t>
  </si>
  <si>
    <t>Y01068</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</si>
  <si>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</si>
  <si>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</si>
  <si>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</si>
  <si>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</si>
  <si>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</si>
  <si>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</si>
  <si>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</si>
  <si>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</si>
  <si>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</si>
  <si>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</si>
  <si>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</si>
  <si>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</si>
  <si>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</si>
  <si>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</si>
  <si>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</si>
  <si>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</si>
  <si>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</si>
  <si>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</si>
  <si>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</si>
  <si>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</si>
  <si>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</si>
  <si>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</si>
  <si>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</si>
  <si>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</si>
  <si>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</si>
  <si>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</si>
  <si>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</si>
  <si>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</si>
  <si>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</si>
  <si>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</si>
  <si>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</si>
  <si>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</si>
  <si>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</si>
  <si>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</si>
  <si>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</si>
  <si>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</si>
  <si>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</si>
  <si>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</si>
  <si>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</si>
  <si>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</si>
  <si>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</si>
  <si>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</si>
  <si>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</si>
  <si>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</si>
  <si>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</si>
  <si>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</si>
  <si>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</si>
  <si>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</si>
  <si>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</si>
  <si>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</si>
  <si>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</si>
  <si>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</si>
  <si>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</si>
  <si>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</si>
  <si>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</si>
  <si>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</si>
  <si>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</si>
  <si>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</si>
  <si>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</si>
  <si>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</si>
  <si>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</si>
  <si>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</si>
  <si>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</si>
  <si>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</si>
  <si>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</si>
  <si>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</si>
  <si>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</si>
  <si>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</si>
  <si>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</si>
  <si>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</si>
  <si>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</si>
  <si>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</si>
  <si>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</si>
  <si>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</si>
  <si>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</si>
  <si>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</si>
  <si>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</si>
  <si>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</si>
  <si>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</si>
  <si>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</si>
  <si>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</si>
  <si>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</si>
  <si>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</si>
  <si>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</si>
  <si>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</si>
  <si>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</si>
  <si>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</si>
  <si>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</si>
  <si>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</si>
  <si>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</si>
  <si>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</si>
  <si>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</si>
  <si>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</si>
  <si>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</si>
  <si>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</si>
  <si>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</si>
  <si>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</si>
  <si>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</si>
  <si>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</si>
  <si>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</si>
  <si>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</si>
  <si>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</si>
  <si>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</si>
  <si>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</si>
  <si>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</si>
  <si>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</si>
  <si>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</si>
  <si>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</si>
  <si>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</si>
  <si>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</si>
  <si>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</si>
  <si>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</si>
  <si>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</si>
  <si>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</si>
  <si>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</si>
  <si>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</si>
  <si>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</si>
  <si>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</si>
  <si>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</si>
  <si>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</si>
  <si>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</si>
  <si>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</si>
  <si>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</si>
  <si>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</si>
  <si>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</si>
  <si>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</si>
  <si>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</si>
  <si>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</si>
  <si>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</si>
  <si>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</si>
  <si>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</si>
  <si>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</si>
  <si>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</si>
  <si>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</si>
  <si>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</si>
  <si>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</si>
  <si>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</si>
  <si>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</si>
  <si>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</si>
  <si>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</si>
  <si>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</si>
  <si>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</si>
  <si>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</si>
  <si>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</si>
  <si>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</si>
  <si>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</si>
  <si>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</si>
  <si>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</si>
  <si>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</si>
  <si>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</si>
  <si>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</si>
  <si>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</si>
  <si>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</si>
  <si>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</si>
  <si>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</si>
  <si>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</si>
  <si>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</si>
  <si>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</si>
  <si>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</si>
  <si>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</si>
  <si>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</si>
  <si>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</si>
  <si>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</si>
  <si>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</si>
  <si>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</si>
  <si>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</si>
  <si>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</si>
  <si>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</si>
  <si>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</si>
  <si>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</si>
  <si>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</si>
  <si>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</si>
  <si>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</si>
  <si>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</si>
  <si>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</si>
  <si>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</si>
  <si>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</si>
  <si>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</si>
  <si>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</si>
  <si>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</si>
  <si>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</si>
  <si>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</si>
  <si>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M85063</t>
  </si>
  <si>
    <t>M85073</t>
  </si>
  <si>
    <t>Y02567</t>
  </si>
  <si>
    <t>Y02893</t>
  </si>
  <si>
    <t>2010/11</t>
  </si>
  <si>
    <t>2008/09-2010/11</t>
  </si>
  <si>
    <t>2005/06-2010/11</t>
  </si>
  <si>
    <t>(M85001) CASTLE VALE PRIMARY CARE CENTRE</t>
  </si>
  <si>
    <t>(M85005) THE PARK MEDICAL CENTRE</t>
  </si>
  <si>
    <t>(M85008) MIRFIELD SURGERY-GOLDSTEIN</t>
  </si>
  <si>
    <t>(M85011) THE SWAN MEDICAL CENTRE</t>
  </si>
  <si>
    <t>(M85013) CHURCH LANE - KHAN</t>
  </si>
  <si>
    <t>(M85014) KINGSBURY ROAD MEDICAL CENTRE</t>
  </si>
  <si>
    <t>(M85016) DR KT PRASAD'S PRACTICE</t>
  </si>
  <si>
    <t>(M85026) DR AP BLIGHT'S PRACTICE</t>
  </si>
  <si>
    <t>(M85031) THE HARLEQUIN SURGERY</t>
  </si>
  <si>
    <t>(M85033) THE MANOR PRACTICE</t>
  </si>
  <si>
    <t>(M85034) OMNIA PRACTICE</t>
  </si>
  <si>
    <t>(M85046) TUDOR PRACTICE</t>
  </si>
  <si>
    <t>(M85048) CHURCH ROAD SURGERY</t>
  </si>
  <si>
    <t>(M85060) DR RS KUMAR'S PRACTICE</t>
  </si>
  <si>
    <t>(M85061) YARDLEY GREEN MEDICAL CENTRE-LEWIS</t>
  </si>
  <si>
    <t>(M85063) MMP-BIRMINGHAM NORTH EAST</t>
  </si>
  <si>
    <t>(M85065) DR SN CLAY AND PARTNERS</t>
  </si>
  <si>
    <t>(M85066) WARD END MEDICAL CENTRE</t>
  </si>
  <si>
    <t>(M85068) THE VESEY PRACTICE</t>
  </si>
  <si>
    <t>(M85070) RESERVOIR ROAD SURGERY</t>
  </si>
  <si>
    <t>(M85073) JOCKEY ROAD MEDICAL CENTRE</t>
  </si>
  <si>
    <t>(M85079) EDEN COURT MEDICAL PRACTICE</t>
  </si>
  <si>
    <t>(M85081) THE DOVE MEDICAL PRACTICE</t>
  </si>
  <si>
    <t>(M85083) LEY HILL SURGERY</t>
  </si>
  <si>
    <t>(M85087) DR G HORTON'S PRACTICE</t>
  </si>
  <si>
    <t>(M85094) YARDLEY MEDICAL CENTRE</t>
  </si>
  <si>
    <t>(M85097) CRANES PARK ROAD SURGERY</t>
  </si>
  <si>
    <t>(M85103) DR EIJ MORETON'S PRACTICE</t>
  </si>
  <si>
    <t>(M85105) VICTORIA ROAD SURGERY</t>
  </si>
  <si>
    <t>(M85107) FIRS SURGERY</t>
  </si>
  <si>
    <t>(M85108) SMALL HEATH MEDICAL PRACTICE</t>
  </si>
  <si>
    <t>(M85110) SALTLEY CENTRE FOR HEALTH CARE</t>
  </si>
  <si>
    <t>(M85111) CHURCH LANE MEDICAL CENTRE</t>
  </si>
  <si>
    <t>(M85113) BUCKLANDS END LANE SURGERY</t>
  </si>
  <si>
    <t>(M85115) SUTTON ROAD SURGERY</t>
  </si>
  <si>
    <t>(M85139) PAK HEALTH CENTRE-ALVI</t>
  </si>
  <si>
    <t>(M85141) SCHOOLACRE ROAD SURGERY</t>
  </si>
  <si>
    <t>(M85149) ALUM ROCK MEDICAL CENTRE</t>
  </si>
  <si>
    <t>(M85155) DR BS SAHOTA'S PRACTICE</t>
  </si>
  <si>
    <t>(M85158) DR M PRASAD'S PRACTICE</t>
  </si>
  <si>
    <t>(M85170) GATE MEDICAL CENTRE</t>
  </si>
  <si>
    <t>(M85171) ROWLANDS ROAD SURGERY</t>
  </si>
  <si>
    <t>(M85175) DR CRM BROOMHEAD'S PRACTICE</t>
  </si>
  <si>
    <t>(M85177) SWANSWELL MEDICAL CENTRE</t>
  </si>
  <si>
    <t>(M85624) PERRY PARK SURGERY</t>
  </si>
  <si>
    <t>(M85669) TUDOR STOCKLAND GREEN LTD</t>
  </si>
  <si>
    <t>(M85670) KHYBER SURGERY</t>
  </si>
  <si>
    <t>(M85677) FERNBANK MEDICAL PRACTICE</t>
  </si>
  <si>
    <t>(M85680) COTTERILS LANE SURGERY</t>
  </si>
  <si>
    <t>(M85694) GARRETTS GREEN LANE SURGERY</t>
  </si>
  <si>
    <t>(M85704) SALTLEY CENTRE FOR HEALTHCARE</t>
  </si>
  <si>
    <t>(M85706) HOBMOOR ROAD SURGERY</t>
  </si>
  <si>
    <t>(M85716) STOCKLAND GREEN INTERIM</t>
  </si>
  <si>
    <t>(M85717) DOWNSFIELD MEDICAL CENTRE</t>
  </si>
  <si>
    <t>(M85722) NASEBY MEDICAL CENTRE</t>
  </si>
  <si>
    <t>(M85732) BLOOMSBURY SURGERY</t>
  </si>
  <si>
    <t>(M85736) ACOCKS GREEN MEDICAL CENTRE</t>
  </si>
  <si>
    <t>(M85738) DR HB SLOMINSKI'S PRACTICE</t>
  </si>
  <si>
    <t>(M85739) PAK HEALTH CENTRE- R.BHATTI</t>
  </si>
  <si>
    <t>(M85741) DR JS BAINS' PRACTICE</t>
  </si>
  <si>
    <t>(M85746) MIRFIELD SURGERY - SAHAY</t>
  </si>
  <si>
    <t>(M85749) SURGERY AUBERY ROAD</t>
  </si>
  <si>
    <t>(M85750) HUMBERSTONE ROAD SURGERY</t>
  </si>
  <si>
    <t>(M85770) THE SHELDON MEDICAL CENTRE</t>
  </si>
  <si>
    <t>(M85776) LEA VILLAGE MEDICAL CENTRE</t>
  </si>
  <si>
    <t>(M85779) DR DS BHOMRA'S PRACTICE</t>
  </si>
  <si>
    <t>(M85784) VENKAT MEDICAL CENTRE</t>
  </si>
  <si>
    <t>(M85786) DR P GONSALVES' PRACTICE</t>
  </si>
  <si>
    <t>(M85791) DR SK RATNAM'S PRACTICE</t>
  </si>
  <si>
    <t>(M85792) COTMORE SURGERY</t>
  </si>
  <si>
    <t>(M85802) BELCHERS LANE SURGERY</t>
  </si>
  <si>
    <t>(M85803) PEARL MEDICAL CENTRE</t>
  </si>
  <si>
    <t>(Y01068) AMAANAH MEDICAL PRACTICE</t>
  </si>
  <si>
    <t>(Y02567) HODGE HILL FAMILY PRACTICE</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</si>
  <si>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</si>
  <si>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</si>
  <si>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</si>
  <si>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</si>
  <si>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</si>
  <si>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</si>
  <si>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</si>
  <si>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</si>
  <si>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</si>
  <si>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</si>
  <si>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(Y02893) IRIDIUM MEDICAL PRACTICE, RICHMOND PCC</t>
  </si>
  <si>
    <t>(M85038) DR AS COUTTS + PARTNERS</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</si>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</sst>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0.9069766887801624</c:v>
                </c:pt>
                <c:pt idx="4">
                  <c:v>1</c:v>
                </c:pt>
                <c:pt idx="5">
                  <c:v>1</c:v>
                </c:pt>
                <c:pt idx="6">
                  <c:v>0.9166666456472341</c:v>
                </c:pt>
                <c:pt idx="7">
                  <c:v>0.8655003707004219</c:v>
                </c:pt>
                <c:pt idx="8">
                  <c:v>0.6991273721488425</c:v>
                </c:pt>
                <c:pt idx="9">
                  <c:v>0.712889948964517</c:v>
                </c:pt>
                <c:pt idx="10">
                  <c:v>0.9472720486731769</c:v>
                </c:pt>
                <c:pt idx="11">
                  <c:v>0.7928857343663152</c:v>
                </c:pt>
                <c:pt idx="12">
                  <c:v>1</c:v>
                </c:pt>
                <c:pt idx="13">
                  <c:v>0</c:v>
                </c:pt>
                <c:pt idx="14">
                  <c:v>1</c:v>
                </c:pt>
                <c:pt idx="15">
                  <c:v>0.9102084644538708</c:v>
                </c:pt>
                <c:pt idx="16">
                  <c:v>1</c:v>
                </c:pt>
                <c:pt idx="17">
                  <c:v>1</c:v>
                </c:pt>
                <c:pt idx="18">
                  <c:v>1</c:v>
                </c:pt>
                <c:pt idx="19">
                  <c:v>1</c:v>
                </c:pt>
                <c:pt idx="20">
                  <c:v>1</c:v>
                </c:pt>
                <c:pt idx="21">
                  <c:v>1</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0.6346493151048932</c:v>
                </c:pt>
                <c:pt idx="3">
                  <c:v>0.6569767277657572</c:v>
                </c:pt>
                <c:pt idx="4">
                  <c:v>0.5974669580793279</c:v>
                </c:pt>
                <c:pt idx="5">
                  <c:v>0.6472233017352729</c:v>
                </c:pt>
                <c:pt idx="6">
                  <c:v>0.625000016977234</c:v>
                </c:pt>
                <c:pt idx="7">
                  <c:v>0.6385286690426433</c:v>
                </c:pt>
                <c:pt idx="8">
                  <c:v>0.5753300878972016</c:v>
                </c:pt>
                <c:pt idx="9">
                  <c:v>0.5954915186827732</c:v>
                </c:pt>
                <c:pt idx="10">
                  <c:v>0.6114801505974878</c:v>
                </c:pt>
                <c:pt idx="11">
                  <c:v>0.5892296137551478</c:v>
                </c:pt>
                <c:pt idx="12">
                  <c:v>0.5539482918912555</c:v>
                </c:pt>
                <c:pt idx="13">
                  <c:v>0</c:v>
                </c:pt>
                <c:pt idx="14">
                  <c:v>0.5914206560905837</c:v>
                </c:pt>
                <c:pt idx="15">
                  <c:v>0.6614918369825312</c:v>
                </c:pt>
                <c:pt idx="16">
                  <c:v>0.5985363805134306</c:v>
                </c:pt>
                <c:pt idx="17">
                  <c:v>0.6202368926298689</c:v>
                </c:pt>
                <c:pt idx="18">
                  <c:v>0.6028854718264308</c:v>
                </c:pt>
                <c:pt idx="19">
                  <c:v>0.5396782091973666</c:v>
                </c:pt>
                <c:pt idx="20">
                  <c:v>0.5741513143294413</c:v>
                </c:pt>
                <c:pt idx="21">
                  <c:v>0.6077165089170395</c:v>
                </c:pt>
                <c:pt idx="22">
                  <c:v>0.618191331882755</c:v>
                </c:pt>
                <c:pt idx="23">
                  <c:v>0.6087155574262045</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0.3038805186868083</c:v>
                </c:pt>
                <c:pt idx="3">
                  <c:v>0.3255813943414575</c:v>
                </c:pt>
                <c:pt idx="4">
                  <c:v>0.3211037460940858</c:v>
                </c:pt>
                <c:pt idx="5">
                  <c:v>0.3844747073492795</c:v>
                </c:pt>
                <c:pt idx="6">
                  <c:v>0.29166663837127677</c:v>
                </c:pt>
                <c:pt idx="7">
                  <c:v>0.35370632448610756</c:v>
                </c:pt>
                <c:pt idx="8">
                  <c:v>0.3516079359988966</c:v>
                </c:pt>
                <c:pt idx="9">
                  <c:v>0.3880386336647534</c:v>
                </c:pt>
                <c:pt idx="10">
                  <c:v>0.38851728741903685</c:v>
                </c:pt>
                <c:pt idx="11">
                  <c:v>0.3679417762585813</c:v>
                </c:pt>
                <c:pt idx="12">
                  <c:v>0.42085721322136277</c:v>
                </c:pt>
                <c:pt idx="13">
                  <c:v>0</c:v>
                </c:pt>
                <c:pt idx="14">
                  <c:v>0.45667073263733904</c:v>
                </c:pt>
                <c:pt idx="15">
                  <c:v>0.12744368491205466</c:v>
                </c:pt>
                <c:pt idx="16">
                  <c:v>0.37074097564170794</c:v>
                </c:pt>
                <c:pt idx="17">
                  <c:v>0.39960512115736363</c:v>
                </c:pt>
                <c:pt idx="18">
                  <c:v>0.4206722327761194</c:v>
                </c:pt>
                <c:pt idx="19">
                  <c:v>0.4753300676351049</c:v>
                </c:pt>
                <c:pt idx="20">
                  <c:v>0.36516983329314057</c:v>
                </c:pt>
                <c:pt idx="21">
                  <c:v>0.3817267142633495</c:v>
                </c:pt>
                <c:pt idx="22">
                  <c:v>0.373636959678604</c:v>
                </c:pt>
                <c:pt idx="23">
                  <c:v>0.37408959521061014</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0.027911800656330133</c:v>
                </c:pt>
                <c:pt idx="3">
                  <c:v>0</c:v>
                </c:pt>
                <c:pt idx="4">
                  <c:v>0.20358968402529481</c:v>
                </c:pt>
                <c:pt idx="5">
                  <c:v>0.2533240613897402</c:v>
                </c:pt>
                <c:pt idx="6">
                  <c:v>0</c:v>
                </c:pt>
                <c:pt idx="7">
                  <c:v>0</c:v>
                </c:pt>
                <c:pt idx="8">
                  <c:v>0</c:v>
                </c:pt>
                <c:pt idx="9">
                  <c:v>0</c:v>
                </c:pt>
                <c:pt idx="10">
                  <c:v>0</c:v>
                </c:pt>
                <c:pt idx="11">
                  <c:v>0</c:v>
                </c:pt>
                <c:pt idx="12">
                  <c:v>0.3735103564276565</c:v>
                </c:pt>
                <c:pt idx="13">
                  <c:v>0</c:v>
                </c:pt>
                <c:pt idx="14">
                  <c:v>0.36975007282246514</c:v>
                </c:pt>
                <c:pt idx="15">
                  <c:v>0</c:v>
                </c:pt>
                <c:pt idx="16">
                  <c:v>0.2570182502013911</c:v>
                </c:pt>
                <c:pt idx="17">
                  <c:v>0.3695594916546131</c:v>
                </c:pt>
                <c:pt idx="18">
                  <c:v>0.43173868402061416</c:v>
                </c:pt>
                <c:pt idx="19">
                  <c:v>0.45979712942835194</c:v>
                </c:pt>
                <c:pt idx="20">
                  <c:v>0.26545899994103933</c:v>
                </c:pt>
                <c:pt idx="21">
                  <c:v>0.2909785250273969</c:v>
                </c:pt>
                <c:pt idx="22">
                  <c:v>0.12407470349085074</c:v>
                </c:pt>
                <c:pt idx="23">
                  <c:v>0.21180656543920653</c:v>
                </c:pt>
                <c:pt idx="24">
                  <c:v>0</c:v>
                </c:pt>
                <c:pt idx="25">
                  <c:v>0</c:v>
                </c:pt>
                <c:pt idx="26">
                  <c:v>0</c:v>
                </c:pt>
              </c:numCache>
            </c:numRef>
          </c:val>
        </c:ser>
        <c:overlap val="100"/>
        <c:gapWidth val="100"/>
        <c:axId val="6922646"/>
        <c:axId val="62303815"/>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0.5559635964943228</c:v>
                </c:pt>
                <c:pt idx="3">
                  <c:v>0.20955651443364035</c:v>
                </c:pt>
                <c:pt idx="4">
                  <c:v>0.5577041059131757</c:v>
                </c:pt>
                <c:pt idx="5">
                  <c:v>0.5521380135852303</c:v>
                </c:pt>
                <c:pt idx="6">
                  <c:v>0.580863577327886</c:v>
                </c:pt>
                <c:pt idx="7">
                  <c:v>0.6599159460644819</c:v>
                </c:pt>
                <c:pt idx="8">
                  <c:v>0.6067268633349437</c:v>
                </c:pt>
                <c:pt idx="9">
                  <c:v>0.5890243952992582</c:v>
                </c:pt>
                <c:pt idx="10">
                  <c:v>0.6478362318219731</c:v>
                </c:pt>
                <c:pt idx="11">
                  <c:v>0.6767122962128596</c:v>
                </c:pt>
                <c:pt idx="12">
                  <c:v>0.5450423517132963</c:v>
                </c:pt>
                <c:pt idx="13">
                  <c:v>0.5</c:v>
                </c:pt>
                <c:pt idx="14">
                  <c:v>0.5271615172181284</c:v>
                </c:pt>
                <c:pt idx="15">
                  <c:v>0.6474365506220763</c:v>
                </c:pt>
                <c:pt idx="16">
                  <c:v>0.5345390901543718</c:v>
                </c:pt>
                <c:pt idx="17">
                  <c:v>0.613791520128955</c:v>
                </c:pt>
                <c:pt idx="18">
                  <c:v>0.6607135035998647</c:v>
                </c:pt>
                <c:pt idx="19">
                  <c:v>0.5409769014022215</c:v>
                </c:pt>
                <c:pt idx="20">
                  <c:v>0.6532954636741994</c:v>
                </c:pt>
                <c:pt idx="21">
                  <c:v>0.6175996580875333</c:v>
                </c:pt>
                <c:pt idx="22">
                  <c:v>0.5930176719121834</c:v>
                </c:pt>
                <c:pt idx="23">
                  <c:v>0.5367536877009234</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-999</c:v>
                </c:pt>
                <c:pt idx="5">
                  <c:v>0.4474592994885299</c:v>
                </c:pt>
                <c:pt idx="6">
                  <c:v>0.5416666474904767</c:v>
                </c:pt>
                <c:pt idx="7">
                  <c:v>-999</c:v>
                </c:pt>
                <c:pt idx="8">
                  <c:v>-999</c:v>
                </c:pt>
                <c:pt idx="9">
                  <c:v>0.4931733955611447</c:v>
                </c:pt>
                <c:pt idx="10">
                  <c:v>-999</c:v>
                </c:pt>
                <c:pt idx="11">
                  <c:v>-999</c:v>
                </c:pt>
                <c:pt idx="12">
                  <c:v>-999</c:v>
                </c:pt>
                <c:pt idx="13">
                  <c:v>-999</c:v>
                </c:pt>
                <c:pt idx="14">
                  <c:v>-999</c:v>
                </c:pt>
                <c:pt idx="15">
                  <c:v>-999</c:v>
                </c:pt>
                <c:pt idx="16">
                  <c:v>0.5907639568942062</c:v>
                </c:pt>
                <c:pt idx="17">
                  <c:v>-999</c:v>
                </c:pt>
                <c:pt idx="18">
                  <c:v>-999</c:v>
                </c:pt>
                <c:pt idx="19">
                  <c:v>-999</c:v>
                </c:pt>
                <c:pt idx="20">
                  <c:v>-999</c:v>
                </c:pt>
                <c:pt idx="21">
                  <c:v>0.5985756091702659</c:v>
                </c:pt>
                <c:pt idx="22">
                  <c:v>-999</c:v>
                </c:pt>
                <c:pt idx="23">
                  <c:v>0.5163019575624339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0.44548839298864273</c:v>
                </c:pt>
                <c:pt idx="3">
                  <c:v>0.5348837058840091</c:v>
                </c:pt>
                <c:pt idx="4">
                  <c:v>0.22544623488607327</c:v>
                </c:pt>
                <c:pt idx="5">
                  <c:v>-999</c:v>
                </c:pt>
                <c:pt idx="6">
                  <c:v>-999</c:v>
                </c:pt>
                <c:pt idx="7">
                  <c:v>0.4787753099356974</c:v>
                </c:pt>
                <c:pt idx="8">
                  <c:v>0.5018378771643652</c:v>
                </c:pt>
                <c:pt idx="9">
                  <c:v>-999</c:v>
                </c:pt>
                <c:pt idx="10">
                  <c:v>0.4842854535819065</c:v>
                </c:pt>
                <c:pt idx="11">
                  <c:v>0.4166256176503277</c:v>
                </c:pt>
                <c:pt idx="12">
                  <c:v>0.5551466807042035</c:v>
                </c:pt>
                <c:pt idx="13">
                  <c:v>0.5321803519114254</c:v>
                </c:pt>
                <c:pt idx="14">
                  <c:v>0.4321398371699544</c:v>
                </c:pt>
                <c:pt idx="15">
                  <c:v>0.29922025378934053</c:v>
                </c:pt>
                <c:pt idx="16">
                  <c:v>-999</c:v>
                </c:pt>
                <c:pt idx="17">
                  <c:v>0.7047032925561117</c:v>
                </c:pt>
                <c:pt idx="18">
                  <c:v>-999</c:v>
                </c:pt>
                <c:pt idx="19">
                  <c:v>0.6278353730408829</c:v>
                </c:pt>
                <c:pt idx="20">
                  <c:v>0.6289155008674732</c:v>
                </c:pt>
                <c:pt idx="21">
                  <c:v>-999</c:v>
                </c:pt>
                <c:pt idx="22">
                  <c:v>0.4269296268166821</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23863424"/>
        <c:axId val="13444225"/>
      </c:scatterChart>
      <c:catAx>
        <c:axId val="6922646"/>
        <c:scaling>
          <c:orientation val="maxMin"/>
        </c:scaling>
        <c:axPos val="l"/>
        <c:delete val="0"/>
        <c:numFmt formatCode="General" sourceLinked="1"/>
        <c:majorTickMark val="out"/>
        <c:minorTickMark val="none"/>
        <c:tickLblPos val="none"/>
        <c:spPr>
          <a:ln w="3175">
            <a:noFill/>
          </a:ln>
        </c:spPr>
        <c:crossAx val="62303815"/>
        <c:crosses val="autoZero"/>
        <c:auto val="1"/>
        <c:lblOffset val="100"/>
        <c:tickLblSkip val="1"/>
        <c:noMultiLvlLbl val="0"/>
      </c:catAx>
      <c:valAx>
        <c:axId val="62303815"/>
        <c:scaling>
          <c:orientation val="minMax"/>
          <c:max val="1"/>
          <c:min val="0"/>
        </c:scaling>
        <c:axPos val="t"/>
        <c:delete val="0"/>
        <c:numFmt formatCode="General" sourceLinked="1"/>
        <c:majorTickMark val="none"/>
        <c:minorTickMark val="none"/>
        <c:tickLblPos val="none"/>
        <c:spPr>
          <a:ln w="3175">
            <a:noFill/>
          </a:ln>
        </c:spPr>
        <c:crossAx val="6922646"/>
        <c:crossesAt val="1"/>
        <c:crossBetween val="between"/>
        <c:dispUnits/>
        <c:majorUnit val="1"/>
      </c:valAx>
      <c:valAx>
        <c:axId val="23863424"/>
        <c:scaling>
          <c:orientation val="minMax"/>
          <c:max val="1"/>
          <c:min val="0"/>
        </c:scaling>
        <c:axPos val="t"/>
        <c:delete val="0"/>
        <c:numFmt formatCode="General" sourceLinked="1"/>
        <c:majorTickMark val="none"/>
        <c:minorTickMark val="none"/>
        <c:tickLblPos val="none"/>
        <c:spPr>
          <a:ln w="3175">
            <a:noFill/>
          </a:ln>
        </c:spPr>
        <c:crossAx val="13444225"/>
        <c:crosses val="max"/>
        <c:crossBetween val="midCat"/>
        <c:dispUnits/>
        <c:majorUnit val="0.1"/>
        <c:minorUnit val="0.020000000000000004"/>
      </c:valAx>
      <c:valAx>
        <c:axId val="13444225"/>
        <c:scaling>
          <c:orientation val="maxMin"/>
          <c:max val="29"/>
          <c:min val="0"/>
        </c:scaling>
        <c:axPos val="l"/>
        <c:delete val="0"/>
        <c:numFmt formatCode="General" sourceLinked="1"/>
        <c:majorTickMark val="none"/>
        <c:minorTickMark val="none"/>
        <c:tickLblPos val="none"/>
        <c:spPr>
          <a:ln w="3175">
            <a:noFill/>
          </a:ln>
        </c:spPr>
        <c:crossAx val="23863424"/>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(Y02893) IRIDIUM MEDICAL PRACTICE, RICHMOND PCC, BIRMINGHAM EAST AND NORTH PCT (5PG)</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509</v>
      </c>
      <c r="Q3" s="65"/>
      <c r="R3" s="66"/>
      <c r="S3" s="66"/>
      <c r="T3" s="66"/>
      <c r="U3" s="66"/>
      <c r="V3" s="66"/>
      <c r="W3" s="66"/>
      <c r="X3" s="66"/>
      <c r="Y3" s="66"/>
      <c r="Z3" s="66"/>
      <c r="AA3" s="66"/>
      <c r="AB3" s="66"/>
      <c r="AC3" s="66"/>
    </row>
    <row r="4" spans="2:29" ht="18" customHeight="1">
      <c r="B4" s="319" t="s">
        <v>621</v>
      </c>
      <c r="C4" s="320"/>
      <c r="D4" s="320"/>
      <c r="E4" s="320"/>
      <c r="F4" s="320"/>
      <c r="G4" s="321"/>
      <c r="H4" s="112"/>
      <c r="I4" s="112"/>
      <c r="J4" s="112"/>
      <c r="K4" s="112"/>
      <c r="L4" s="113"/>
      <c r="M4" s="65"/>
      <c r="N4" s="65"/>
      <c r="O4" s="65"/>
      <c r="P4" s="134" t="s">
        <v>510</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511</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406</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620</v>
      </c>
      <c r="C8" s="115"/>
      <c r="D8" s="115"/>
      <c r="E8" s="128">
        <f>VLOOKUP('Hide - Control'!A$3,'All practice data'!A:CA,4,FALSE)</f>
        <v>13128</v>
      </c>
      <c r="F8" s="310" t="str">
        <f>VLOOKUP('Hide - Control'!B4,'Hide - Calculation'!AY:BA,3,FALSE)</f>
        <v> </v>
      </c>
      <c r="G8" s="310"/>
      <c r="H8" s="310"/>
      <c r="I8" s="115"/>
      <c r="J8" s="115"/>
      <c r="K8" s="115"/>
      <c r="L8" s="115"/>
      <c r="M8" s="109"/>
      <c r="N8" s="314" t="s">
        <v>519</v>
      </c>
      <c r="O8" s="314"/>
      <c r="P8" s="314"/>
      <c r="Q8" s="314" t="s">
        <v>32</v>
      </c>
      <c r="R8" s="314"/>
      <c r="S8" s="314"/>
      <c r="T8" s="314" t="s">
        <v>624</v>
      </c>
      <c r="U8" s="314"/>
      <c r="V8" s="314" t="s">
        <v>33</v>
      </c>
      <c r="W8" s="314"/>
      <c r="X8" s="314"/>
      <c r="Y8" s="135"/>
      <c r="Z8" s="314" t="s">
        <v>512</v>
      </c>
      <c r="AA8" s="314"/>
      <c r="AB8" s="161"/>
      <c r="AC8" s="109"/>
    </row>
    <row r="9" spans="2:29" s="61" customFormat="1" ht="19.5" customHeight="1" thickBot="1">
      <c r="B9" s="114" t="s">
        <v>504</v>
      </c>
      <c r="C9" s="114"/>
      <c r="D9" s="114"/>
      <c r="E9" s="129">
        <f>VLOOKUP('Hide - Control'!B4,'Hide - Calculation'!AY:BB,4,FALSE)</f>
        <v>445126</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501</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482</v>
      </c>
      <c r="E11" s="317"/>
      <c r="F11" s="318"/>
      <c r="G11" s="263" t="s">
        <v>480</v>
      </c>
      <c r="H11" s="255" t="s">
        <v>481</v>
      </c>
      <c r="I11" s="255" t="s">
        <v>492</v>
      </c>
      <c r="J11" s="255" t="s">
        <v>493</v>
      </c>
      <c r="K11" s="255" t="s">
        <v>364</v>
      </c>
      <c r="L11" s="256" t="s">
        <v>406</v>
      </c>
      <c r="M11" s="257" t="s">
        <v>502</v>
      </c>
      <c r="N11" s="334" t="s">
        <v>500</v>
      </c>
      <c r="O11" s="334"/>
      <c r="P11" s="334"/>
      <c r="Q11" s="334"/>
      <c r="R11" s="334"/>
      <c r="S11" s="334"/>
      <c r="T11" s="334"/>
      <c r="U11" s="334"/>
      <c r="V11" s="334"/>
      <c r="W11" s="334"/>
      <c r="X11" s="334"/>
      <c r="Y11" s="334"/>
      <c r="Z11" s="334"/>
      <c r="AA11" s="258" t="s">
        <v>503</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362</v>
      </c>
      <c r="C13" s="163">
        <v>1</v>
      </c>
      <c r="D13" s="312" t="s">
        <v>358</v>
      </c>
      <c r="E13" s="313"/>
      <c r="F13" s="313"/>
      <c r="G13" s="166">
        <f>IF(VLOOKUP('Hide - Control'!A$3,'All practice data'!A:CA,C13+4,FALSE)=" "," ",VLOOKUP('Hide - Control'!A$3,'All practice data'!A:CA,C13+4,FALSE))</f>
        <v>1775</v>
      </c>
      <c r="H13" s="190">
        <f>IF(VLOOKUP('Hide - Control'!A$3,'All practice data'!A:CA,C13+30,FALSE)=" "," ",VLOOKUP('Hide - Control'!A$3,'All practice data'!A:CA,C13+30,FALSE))</f>
        <v>0.13520719073735527</v>
      </c>
      <c r="I13" s="191">
        <f>IF(LEFT(G13,1)=" "," n/a",+((2*G13+1.96^2-1.96*SQRT(1.96^2+4*G13*(1-G13/E$8)))/(2*(E$8+1.96^2))))</f>
        <v>0.12946437085626247</v>
      </c>
      <c r="J13" s="191">
        <f>IF(LEFT(G13,1)=" "," n/a",+((2*G13+1.96^2+1.96*SQRT(1.96^2+4*G13*(1-G13/E$8)))/(2*(E$8+1.96^2))))</f>
        <v>0.1411634442096762</v>
      </c>
      <c r="K13" s="190">
        <f>IF('Hide - Calculation'!N7="","",'Hide - Calculation'!N7)</f>
        <v>0.1486702641499261</v>
      </c>
      <c r="L13" s="192">
        <f>'Hide - Calculation'!O7</f>
        <v>0.1599882305185145</v>
      </c>
      <c r="M13" s="208">
        <f>IF(ISBLANK('Hide - Calculation'!K7),"",'Hide - Calculation'!U7)</f>
        <v>0.0415392741560936</v>
      </c>
      <c r="N13" s="173"/>
      <c r="O13" s="173"/>
      <c r="P13" s="173"/>
      <c r="Q13" s="173"/>
      <c r="R13" s="173"/>
      <c r="S13" s="173"/>
      <c r="T13" s="173"/>
      <c r="U13" s="173"/>
      <c r="V13" s="173"/>
      <c r="W13" s="173"/>
      <c r="X13" s="173"/>
      <c r="Y13" s="173"/>
      <c r="Z13" s="173"/>
      <c r="AA13" s="226">
        <f>IF(ISBLANK('Hide - Calculation'!K7),"",'Hide - Calculation'!T7)</f>
        <v>0.2595914304256439</v>
      </c>
      <c r="AB13" s="233" t="s">
        <v>618</v>
      </c>
      <c r="AC13" s="209" t="s">
        <v>619</v>
      </c>
    </row>
    <row r="14" spans="2:29" ht="33.75" customHeight="1">
      <c r="B14" s="306"/>
      <c r="C14" s="137">
        <v>2</v>
      </c>
      <c r="D14" s="132" t="s">
        <v>513</v>
      </c>
      <c r="E14" s="85"/>
      <c r="F14" s="85"/>
      <c r="G14" s="118" t="str">
        <f>IF(VLOOKUP('Hide - Control'!A$3,'All practice data'!A:CA,C14+4,FALSE)=" "," ",VLOOKUP('Hide - Control'!A$3,'All practice data'!A:CA,C14+4,FALSE))</f>
        <v>Quintile 5</v>
      </c>
      <c r="H14" s="119">
        <f>IF(VLOOKUP('Hide - Control'!A$3,'All practice data'!A:CA,C14+30,FALSE)=" "," ",VLOOKUP('Hide - Control'!A$3,'All practice data'!A:CA,C14+30,FALSE))</f>
        <v>0.29</v>
      </c>
      <c r="I14" s="120">
        <f>IF(LEFT(G14,1)=" "," n/a",+((2*H14*E8+1.96^2-1.96*SQRT(1.96^2+4*H14*E8*(1-H14*E8/E$8)))/(2*(E$8+1.96^2))))</f>
        <v>0.2823001235409681</v>
      </c>
      <c r="J14" s="120">
        <f>IF(LEFT(G14,1)=" "," n/a",+((2*H14*E8+1.96^2+1.96*SQRT(1.96^2+4*H14*E8*(1-H14*E8/E$8)))/(2*(E$8+1.96^2))))</f>
        <v>0.29782274361271427</v>
      </c>
      <c r="K14" s="119">
        <f>IF('Hide - Calculation'!N8="","",'Hide - Calculation'!N8)</f>
        <v>0.25041293925764824</v>
      </c>
      <c r="L14" s="155">
        <f>'Hide - Calculation'!O8</f>
        <v>0.15010930292554353</v>
      </c>
      <c r="M14" s="150">
        <f>IF(ISBLANK('Hide - Calculation'!K8),"",'Hide - Calculation'!U8)</f>
        <v>0.05999999865889549</v>
      </c>
      <c r="N14" s="84"/>
      <c r="O14" s="84"/>
      <c r="P14" s="84"/>
      <c r="Q14" s="84"/>
      <c r="R14" s="84"/>
      <c r="S14" s="84"/>
      <c r="T14" s="84"/>
      <c r="U14" s="84"/>
      <c r="V14" s="84"/>
      <c r="W14" s="84"/>
      <c r="X14" s="84"/>
      <c r="Y14" s="84"/>
      <c r="Z14" s="84"/>
      <c r="AA14" s="227">
        <f>IF(ISBLANK('Hide - Calculation'!K8),"",'Hide - Calculation'!T8)</f>
        <v>0.44999998807907104</v>
      </c>
      <c r="AB14" s="234" t="s">
        <v>39</v>
      </c>
      <c r="AC14" s="130" t="s">
        <v>619</v>
      </c>
    </row>
    <row r="15" spans="2:39" s="63" customFormat="1" ht="33.75" customHeight="1">
      <c r="B15" s="306"/>
      <c r="C15" s="137">
        <v>3</v>
      </c>
      <c r="D15" s="132" t="s">
        <v>367</v>
      </c>
      <c r="E15" s="85"/>
      <c r="F15" s="85"/>
      <c r="G15" s="121">
        <f>IF(VLOOKUP('Hide - Control'!A$3,'All practice data'!A:CA,C15+4,FALSE)=" "," ",VLOOKUP('Hide - Control'!A$3,'All practice data'!A:CA,C15+4,FALSE))</f>
        <v>14</v>
      </c>
      <c r="H15" s="122">
        <f>IF(VLOOKUP('Hide - Control'!A$3,'All practice data'!A:CA,C15+30,FALSE)=" "," ",VLOOKUP('Hide - Control'!A$3,'All practice data'!A:CA,C15+30,FALSE))</f>
        <v>106.64229128580133</v>
      </c>
      <c r="I15" s="123">
        <f>IF(LEFT(G15,1)=" "," n/a",IF(G15&lt;5,100000*VLOOKUP(G15,'Hide - Calculation'!AQ:AR,2,FALSE)/$E$8,100000*(G15*(1-1/(9*G15)-1.96/(3*SQRT(G15)))^3)/$E$8))</f>
        <v>58.25289953339581</v>
      </c>
      <c r="J15" s="123">
        <f>IF(LEFT(G15,1)=" "," n/a",IF(G15&lt;5,100000*VLOOKUP(G15,'Hide - Calculation'!AQ:AS,3,FALSE)/$E$8,100000*((G15+1)*(1-1/(9*(G15+1))+1.96/(3*SQRT(G15+1)))^3)/$E$8))</f>
        <v>178.93956343253163</v>
      </c>
      <c r="K15" s="122">
        <f>IF('Hide - Calculation'!N9="","",'Hide - Calculation'!N9)</f>
        <v>379.89243495100266</v>
      </c>
      <c r="L15" s="156">
        <f>'Hide - Calculation'!O9</f>
        <v>445.6198871279627</v>
      </c>
      <c r="M15" s="151">
        <f>IF(ISBLANK('Hide - Calculation'!K9),"",'Hide - Calculation'!U9)</f>
        <v>84.34370422363281</v>
      </c>
      <c r="N15" s="84"/>
      <c r="O15" s="84"/>
      <c r="P15" s="84"/>
      <c r="Q15" s="84"/>
      <c r="R15" s="84"/>
      <c r="S15" s="84"/>
      <c r="T15" s="84"/>
      <c r="U15" s="84"/>
      <c r="V15" s="84"/>
      <c r="W15" s="84"/>
      <c r="X15" s="84"/>
      <c r="Y15" s="84"/>
      <c r="Z15" s="84"/>
      <c r="AA15" s="228">
        <f>IF(ISBLANK('Hide - Calculation'!K9),"",'Hide - Calculation'!T9)</f>
        <v>896.8609619140625</v>
      </c>
      <c r="AB15" s="234" t="s">
        <v>483</v>
      </c>
      <c r="AC15" s="131">
        <v>2009</v>
      </c>
      <c r="AD15" s="64"/>
      <c r="AE15" s="64"/>
      <c r="AF15" s="64"/>
      <c r="AG15" s="64"/>
      <c r="AH15" s="64"/>
      <c r="AI15" s="64"/>
      <c r="AJ15" s="64"/>
      <c r="AK15" s="64"/>
      <c r="AL15" s="64"/>
      <c r="AM15" s="64"/>
    </row>
    <row r="16" spans="2:29" s="63" customFormat="1" ht="33.75" customHeight="1">
      <c r="B16" s="306"/>
      <c r="C16" s="137">
        <v>4</v>
      </c>
      <c r="D16" s="132" t="s">
        <v>505</v>
      </c>
      <c r="E16" s="85"/>
      <c r="F16" s="85"/>
      <c r="G16" s="121">
        <f>IF(VLOOKUP('Hide - Control'!A$3,'All practice data'!A:CA,C16+4,FALSE)=" "," ",VLOOKUP('Hide - Control'!A$3,'All practice data'!A:CA,C16+4,FALSE))</f>
        <v>22</v>
      </c>
      <c r="H16" s="122">
        <f>IF(VLOOKUP('Hide - Control'!A$3,'All practice data'!A:CA,C16+30,FALSE)=" "," ",VLOOKUP('Hide - Control'!A$3,'All practice data'!A:CA,C16+30,FALSE))</f>
        <v>167.5807434491164</v>
      </c>
      <c r="I16" s="123">
        <f>IF(LEFT(G16,1)=" "," n/a",IF(G16&lt;5,100000*VLOOKUP(G16,'Hide - Calculation'!AQ:AR,2,FALSE)/$E$8,100000*(G16*(1-1/(9*G16)-1.96/(3*SQRT(G16)))^3)/$E$8))</f>
        <v>104.98452963726959</v>
      </c>
      <c r="J16" s="123">
        <f>IF(LEFT(G16,1)=" "," n/a",IF(G16&lt;5,100000*VLOOKUP(G16,'Hide - Calculation'!AQ:AS,3,FALSE)/$E$8,100000*((G16+1)*(1-1/(9*(G16+1))+1.96/(3*SQRT(G16+1)))^3)/$E$8))</f>
        <v>253.73247925562228</v>
      </c>
      <c r="K16" s="122">
        <f>IF('Hide - Calculation'!N10="","",'Hide - Calculation'!N10)</f>
        <v>225.778768258875</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518.8181762695312</v>
      </c>
      <c r="AB16" s="234" t="s">
        <v>361</v>
      </c>
      <c r="AC16" s="131" t="s">
        <v>541</v>
      </c>
    </row>
    <row r="17" spans="2:29" s="63" customFormat="1" ht="33.75" customHeight="1" thickBot="1">
      <c r="B17" s="309"/>
      <c r="C17" s="180">
        <v>5</v>
      </c>
      <c r="D17" s="195" t="s">
        <v>366</v>
      </c>
      <c r="E17" s="182"/>
      <c r="F17" s="182"/>
      <c r="G17" s="140">
        <f>IF(VLOOKUP('Hide - Control'!A$3,'All practice data'!A:CA,C17+4,FALSE)=" "," ",VLOOKUP('Hide - Control'!A$3,'All practice data'!A:CA,C17+4,FALSE))</f>
        <v>198</v>
      </c>
      <c r="H17" s="141">
        <f>IF(VLOOKUP('Hide - Control'!A$3,'All practice data'!A:CA,C17+30,FALSE)=" "," ",VLOOKUP('Hide - Control'!A$3,'All practice data'!A:CA,C17+30,FALSE))</f>
        <v>0.015</v>
      </c>
      <c r="I17" s="142">
        <f>IF(LEFT(G17,1)=" "," n/a",+((2*G17+1.96^2-1.96*SQRT(1.96^2+4*G17*(1-G17/E$8)))/(2*(E$8+1.96^2))))</f>
        <v>0.01313468571530931</v>
      </c>
      <c r="J17" s="142">
        <f>IF(LEFT(G17,1)=" "," n/a",+((2*G17+1.96^2+1.96*SQRT(1.96^2+4*G17*(1-G17/E$8)))/(2*(E$8+1.96^2))))</f>
        <v>0.017313564589507037</v>
      </c>
      <c r="K17" s="141">
        <f>IF('Hide - Calculation'!N11="","",'Hide - Calculation'!N11)</f>
        <v>0.013991543967326105</v>
      </c>
      <c r="L17" s="157">
        <f>'Hide - Calculation'!O11</f>
        <v>0.015940726342527432</v>
      </c>
      <c r="M17" s="210">
        <f>IF(ISBLANK('Hide - Calculation'!K11),"",'Hide - Calculation'!U11)</f>
        <v>0.0020000000949949026</v>
      </c>
      <c r="N17" s="91"/>
      <c r="O17" s="91"/>
      <c r="P17" s="91"/>
      <c r="Q17" s="91"/>
      <c r="R17" s="91"/>
      <c r="S17" s="91"/>
      <c r="T17" s="91"/>
      <c r="U17" s="91"/>
      <c r="V17" s="91"/>
      <c r="W17" s="91"/>
      <c r="X17" s="91"/>
      <c r="Y17" s="91"/>
      <c r="Z17" s="91"/>
      <c r="AA17" s="229">
        <f>IF(ISBLANK('Hide - Calculation'!K11),"",'Hide - Calculation'!T11)</f>
        <v>0.024000000208616257</v>
      </c>
      <c r="AB17" s="235" t="s">
        <v>506</v>
      </c>
      <c r="AC17" s="189" t="s">
        <v>541</v>
      </c>
    </row>
    <row r="18" spans="2:29" s="63" customFormat="1" ht="33.75" customHeight="1">
      <c r="B18" s="308" t="s">
        <v>13</v>
      </c>
      <c r="C18" s="163">
        <v>6</v>
      </c>
      <c r="D18" s="164" t="s">
        <v>514</v>
      </c>
      <c r="E18" s="165"/>
      <c r="F18" s="165"/>
      <c r="G18" s="219">
        <f>IF(OR(VLOOKUP('Hide - Control'!A$3,'All practice data'!A:CA,C18+4,FALSE)=" ",VLOOKUP('Hide - Control'!A$3,'All practice data'!A:CA,C18+52,FALSE)=0)," n/a",VLOOKUP('Hide - Control'!A$3,'All practice data'!A:CA,C18+4,FALSE))</f>
        <v>782</v>
      </c>
      <c r="H18" s="220">
        <f>IF(OR(VLOOKUP('Hide - Control'!A$3,'All practice data'!A:CA,C18+30,FALSE)=" ",VLOOKUP('Hide - Control'!A$3,'All practice data'!A:CA,C18+52,FALSE)=0)," n/a",VLOOKUP('Hide - Control'!A$3,'All practice data'!A:CA,C18+30,FALSE))</f>
        <v>0.615264</v>
      </c>
      <c r="I18" s="191">
        <f>IF(OR(LEFT(H18,1)=" ",VLOOKUP('Hide - Control'!A$3,'All practice data'!A:CA,C18+52,FALSE)=0)," n/a",+((2*G18+1.96^2-1.96*SQRT(1.96^2+4*G18*(1-G18/(VLOOKUP('Hide - Control'!A$3,'All practice data'!A:CA,C18+52,FALSE)))))/(2*(((VLOOKUP('Hide - Control'!A$3,'All practice data'!A:CA,C18+52,FALSE)))+1.96^2))))</f>
        <v>0.5882060499723297</v>
      </c>
      <c r="J18" s="191">
        <f>IF(OR(LEFT(H18,1)=" ",VLOOKUP('Hide - Control'!A$3,'All practice data'!A:CA,C18+52,FALSE)=0)," n/a",+((2*G18+1.96^2+1.96*SQRT(1.96^2+4*G18*(1-G18/(VLOOKUP('Hide - Control'!A$3,'All practice data'!A:CA,C18+52,FALSE)))))/(2*((VLOOKUP('Hide - Control'!A$3,'All practice data'!A:CA,C18+52,FALSE))+1.96^2))))</f>
        <v>0.6416264249014115</v>
      </c>
      <c r="K18" s="220">
        <f>IF('Hide - Calculation'!N12="","",'Hide - Calculation'!N12)</f>
        <v>0.6725645945825338</v>
      </c>
      <c r="L18" s="192">
        <f>'Hide - Calculation'!O12</f>
        <v>0.7248631360507991</v>
      </c>
      <c r="M18" s="193">
        <f>IF(ISBLANK('Hide - Calculation'!K12),"",'Hide - Calculation'!U12)</f>
        <v>0.32558101415634155</v>
      </c>
      <c r="N18" s="194"/>
      <c r="O18" s="173"/>
      <c r="P18" s="173"/>
      <c r="Q18" s="173"/>
      <c r="R18" s="173"/>
      <c r="S18" s="173"/>
      <c r="T18" s="173"/>
      <c r="U18" s="173"/>
      <c r="V18" s="173"/>
      <c r="W18" s="173"/>
      <c r="X18" s="173"/>
      <c r="Y18" s="173"/>
      <c r="Z18" s="174"/>
      <c r="AA18" s="193">
        <f>IF(ISBLANK('Hide - Calculation'!K12),"",'Hide - Calculation'!T12)</f>
        <v>0.8492519855499268</v>
      </c>
      <c r="AB18" s="233" t="s">
        <v>48</v>
      </c>
      <c r="AC18" s="175" t="s">
        <v>542</v>
      </c>
    </row>
    <row r="19" spans="2:29" s="63" customFormat="1" ht="33.75" customHeight="1">
      <c r="B19" s="306"/>
      <c r="C19" s="137">
        <v>7</v>
      </c>
      <c r="D19" s="132" t="s">
        <v>515</v>
      </c>
      <c r="E19" s="85"/>
      <c r="F19" s="85"/>
      <c r="G19" s="221">
        <f>IF(OR(VLOOKUP('Hide - Control'!A$3,'All practice data'!A:CA,C19+4,FALSE)=" ",VLOOKUP('Hide - Control'!A$3,'All practice data'!A:CA,C19+52,FALSE)=0)," n/a",VLOOKUP('Hide - Control'!A$3,'All practice data'!A:CA,C19+4,FALSE))</f>
        <v>252</v>
      </c>
      <c r="H19" s="218">
        <f>IF(OR(VLOOKUP('Hide - Control'!A$3,'All practice data'!A:CA,C19+30,FALSE)=" ",VLOOKUP('Hide - Control'!A$3,'All practice data'!A:CA,C19+52,FALSE)=0)," n/a",VLOOKUP('Hide - Control'!A$3,'All practice data'!A:CA,C19+30,FALSE))</f>
        <v>0.617647</v>
      </c>
      <c r="I19" s="120">
        <f>IF(OR(LEFT(H19,1)=" ",VLOOKUP('Hide - Control'!A$3,'All practice data'!A:CA,C19+52,FALSE)=0)," n/a",+((2*G19+1.96^2-1.96*SQRT(1.96^2+4*G19*(1-G19/(VLOOKUP('Hide - Control'!A$3,'All practice data'!A:CA,C19+52,FALSE)))))/(2*(((VLOOKUP('Hide - Control'!A$3,'All practice data'!A:CA,C19+52,FALSE)))+1.96^2))))</f>
        <v>0.5696022091272778</v>
      </c>
      <c r="J19" s="120">
        <f>IF(OR(LEFT(H19,1)=" ",VLOOKUP('Hide - Control'!A$3,'All practice data'!A:CA,C19+52,FALSE)=0)," n/a",+((2*G19+1.96^2+1.96*SQRT(1.96^2+4*G19*(1-G19/(VLOOKUP('Hide - Control'!A$3,'All practice data'!A:CA,C19+52,FALSE)))))/(2*((VLOOKUP('Hide - Control'!A$3,'All practice data'!A:CA,C19+52,FALSE))+1.96^2))))</f>
        <v>0.6634971183811624</v>
      </c>
      <c r="K19" s="218">
        <f>IF('Hide - Calculation'!N13="","",'Hide - Calculation'!N13)</f>
        <v>0.6975395079015804</v>
      </c>
      <c r="L19" s="155">
        <f>'Hide - Calculation'!O13</f>
        <v>0.7467412166569077</v>
      </c>
      <c r="M19" s="152">
        <f>IF(ISBLANK('Hide - Calculation'!K13),"",'Hide - Calculation'!U13)</f>
        <v>0</v>
      </c>
      <c r="N19" s="160"/>
      <c r="O19" s="84"/>
      <c r="P19" s="84"/>
      <c r="Q19" s="84"/>
      <c r="R19" s="84"/>
      <c r="S19" s="84"/>
      <c r="T19" s="84"/>
      <c r="U19" s="84"/>
      <c r="V19" s="84"/>
      <c r="W19" s="84"/>
      <c r="X19" s="84"/>
      <c r="Y19" s="84"/>
      <c r="Z19" s="88"/>
      <c r="AA19" s="152">
        <f>IF(ISBLANK('Hide - Calculation'!K13),"",'Hide - Calculation'!T13)</f>
        <v>0.8604649901390076</v>
      </c>
      <c r="AB19" s="234" t="s">
        <v>48</v>
      </c>
      <c r="AC19" s="131" t="s">
        <v>541</v>
      </c>
    </row>
    <row r="20" spans="2:29" s="63" customFormat="1" ht="33.75" customHeight="1">
      <c r="B20" s="306"/>
      <c r="C20" s="137">
        <v>8</v>
      </c>
      <c r="D20" s="132" t="s">
        <v>516</v>
      </c>
      <c r="E20" s="85"/>
      <c r="F20" s="85"/>
      <c r="G20" s="221">
        <f>IF(OR(VLOOKUP('Hide - Control'!A$3,'All practice data'!A:CA,C20+4,FALSE)=" ",VLOOKUP('Hide - Control'!A$3,'All practice data'!A:CA,C20+52,FALSE)=0)," n/a",VLOOKUP('Hide - Control'!A$3,'All practice data'!A:CA,C20+4,FALSE))</f>
        <v>2147</v>
      </c>
      <c r="H20" s="218">
        <f>IF(OR(VLOOKUP('Hide - Control'!A$3,'All practice data'!A:CA,C20+30,FALSE)=" ",VLOOKUP('Hide - Control'!A$3,'All practice data'!A:CA,C20+52,FALSE)=0)," n/a",VLOOKUP('Hide - Control'!A$3,'All practice data'!A:CA,C20+30,FALSE))</f>
        <v>0.700261</v>
      </c>
      <c r="I20" s="120">
        <f>IF(OR(LEFT(H20,1)=" ",VLOOKUP('Hide - Control'!A$3,'All practice data'!A:CA,C20+52,FALSE)=0)," n/a",+((2*G20+1.96^2-1.96*SQRT(1.96^2+4*G20*(1-G20/(VLOOKUP('Hide - Control'!A$3,'All practice data'!A:CA,C20+52,FALSE)))))/(2*(((VLOOKUP('Hide - Control'!A$3,'All practice data'!A:CA,C20+52,FALSE)))+1.96^2))))</f>
        <v>0.683801491158299</v>
      </c>
      <c r="J20" s="120">
        <f>IF(OR(LEFT(H20,1)=" ",VLOOKUP('Hide - Control'!A$3,'All practice data'!A:CA,C20+52,FALSE)=0)," n/a",+((2*G20+1.96^2+1.96*SQRT(1.96^2+4*G20*(1-G20/(VLOOKUP('Hide - Control'!A$3,'All practice data'!A:CA,C20+52,FALSE)))))/(2*((VLOOKUP('Hide - Control'!A$3,'All practice data'!A:CA,C20+52,FALSE))+1.96^2))))</f>
        <v>0.7162191483431005</v>
      </c>
      <c r="K20" s="218">
        <f>IF('Hide - Calculation'!N14="","",'Hide - Calculation'!N14)</f>
        <v>0.7059923485694114</v>
      </c>
      <c r="L20" s="155">
        <f>'Hide - Calculation'!O14</f>
        <v>0.7559681673907895</v>
      </c>
      <c r="M20" s="152">
        <f>IF(ISBLANK('Hide - Calculation'!K14),"",'Hide - Calculation'!U14)</f>
        <v>0.4136359989643097</v>
      </c>
      <c r="N20" s="160"/>
      <c r="O20" s="84"/>
      <c r="P20" s="84"/>
      <c r="Q20" s="84"/>
      <c r="R20" s="84"/>
      <c r="S20" s="84"/>
      <c r="T20" s="84"/>
      <c r="U20" s="84"/>
      <c r="V20" s="84"/>
      <c r="W20" s="84"/>
      <c r="X20" s="84"/>
      <c r="Y20" s="84"/>
      <c r="Z20" s="88"/>
      <c r="AA20" s="152">
        <f>IF(ISBLANK('Hide - Calculation'!K14),"",'Hide - Calculation'!T14)</f>
        <v>0.8279569745063782</v>
      </c>
      <c r="AB20" s="234" t="s">
        <v>48</v>
      </c>
      <c r="AC20" s="131" t="s">
        <v>543</v>
      </c>
    </row>
    <row r="21" spans="2:29" s="63" customFormat="1" ht="33.75" customHeight="1">
      <c r="B21" s="306"/>
      <c r="C21" s="137">
        <v>9</v>
      </c>
      <c r="D21" s="132" t="s">
        <v>517</v>
      </c>
      <c r="E21" s="85"/>
      <c r="F21" s="85"/>
      <c r="G21" s="221">
        <f>IF(OR(VLOOKUP('Hide - Control'!A$3,'All practice data'!A:CA,C21+4,FALSE)=" ",VLOOKUP('Hide - Control'!A$3,'All practice data'!A:CA,C21+52,FALSE)=0)," n/a",VLOOKUP('Hide - Control'!A$3,'All practice data'!A:CA,C21+4,FALSE))</f>
        <v>488</v>
      </c>
      <c r="H21" s="218">
        <f>IF(OR(VLOOKUP('Hide - Control'!A$3,'All practice data'!A:CA,C21+30,FALSE)=" ",VLOOKUP('Hide - Control'!A$3,'All practice data'!A:CA,C21+52,FALSE)=0)," n/a",VLOOKUP('Hide - Control'!A$3,'All practice data'!A:CA,C21+30,FALSE))</f>
        <v>0.419604</v>
      </c>
      <c r="I21" s="120">
        <f>IF(OR(LEFT(H21,1)=" ",VLOOKUP('Hide - Control'!A$3,'All practice data'!A:CA,C21+52,FALSE)=0)," n/a",+((2*G21+1.96^2-1.96*SQRT(1.96^2+4*G21*(1-G21/(VLOOKUP('Hide - Control'!A$3,'All practice data'!A:CA,C21+52,FALSE)))))/(2*(((VLOOKUP('Hide - Control'!A$3,'All practice data'!A:CA,C21+52,FALSE)))+1.96^2))))</f>
        <v>0.3915519013878612</v>
      </c>
      <c r="J21" s="120">
        <f>IF(OR(LEFT(H21,1)=" ",VLOOKUP('Hide - Control'!A$3,'All practice data'!A:CA,C21+52,FALSE)=0)," n/a",+((2*G21+1.96^2+1.96*SQRT(1.96^2+4*G21*(1-G21/(VLOOKUP('Hide - Control'!A$3,'All practice data'!A:CA,C21+52,FALSE)))))/(2*((VLOOKUP('Hide - Control'!A$3,'All practice data'!A:CA,C21+52,FALSE))+1.96^2))))</f>
        <v>0.44818641442124263</v>
      </c>
      <c r="K21" s="218">
        <f>IF('Hide - Calculation'!N15="","",'Hide - Calculation'!N15)</f>
        <v>0.4962110580971092</v>
      </c>
      <c r="L21" s="155">
        <f>'Hide - Calculation'!O15</f>
        <v>0.5147293797466616</v>
      </c>
      <c r="M21" s="152">
        <f>IF(ISBLANK('Hide - Calculation'!K15),"",'Hide - Calculation'!U15)</f>
        <v>0.1379310041666031</v>
      </c>
      <c r="N21" s="160"/>
      <c r="O21" s="84"/>
      <c r="P21" s="84"/>
      <c r="Q21" s="84"/>
      <c r="R21" s="84"/>
      <c r="S21" s="84"/>
      <c r="T21" s="84"/>
      <c r="U21" s="84"/>
      <c r="V21" s="84"/>
      <c r="W21" s="84"/>
      <c r="X21" s="84"/>
      <c r="Y21" s="84"/>
      <c r="Z21" s="88"/>
      <c r="AA21" s="152">
        <f>IF(ISBLANK('Hide - Calculation'!K15),"",'Hide - Calculation'!T15)</f>
        <v>0.6888890266418457</v>
      </c>
      <c r="AB21" s="234" t="s">
        <v>48</v>
      </c>
      <c r="AC21" s="131" t="s">
        <v>542</v>
      </c>
    </row>
    <row r="22" spans="2:29" s="63" customFormat="1" ht="33.75" customHeight="1" thickBot="1">
      <c r="B22" s="309"/>
      <c r="C22" s="180">
        <v>10</v>
      </c>
      <c r="D22" s="195" t="s">
        <v>518</v>
      </c>
      <c r="E22" s="182"/>
      <c r="F22" s="182"/>
      <c r="G22" s="222">
        <f>IF(OR(VLOOKUP('Hide - Control'!A$3,'All practice data'!A:CA,C22+4,FALSE)=" ",VLOOKUP('Hide - Control'!A$3,'All practice data'!A:CA,C22+52,FALSE)=0)," n/a",VLOOKUP('Hide - Control'!A$3,'All practice data'!A:CA,C22+4,FALSE))</f>
        <v>262</v>
      </c>
      <c r="H22" s="223">
        <f>IF(OR(VLOOKUP('Hide - Control'!A$3,'All practice data'!A:CA,C22+30,FALSE)=" ",VLOOKUP('Hide - Control'!A$3,'All practice data'!A:CA,C22+52,FALSE)=0)," n/a",VLOOKUP('Hide - Control'!A$3,'All practice data'!A:CA,C22+30,FALSE))</f>
        <v>0.396369</v>
      </c>
      <c r="I22" s="196">
        <f>IF(OR(LEFT(H22,1)=" ",VLOOKUP('Hide - Control'!A$3,'All practice data'!A:CA,C22+52,FALSE)=0)," n/a",+((2*G22+1.96^2-1.96*SQRT(1.96^2+4*G22*(1-G22/(VLOOKUP('Hide - Control'!A$3,'All practice data'!A:CA,C22+52,FALSE)))))/(2*(((VLOOKUP('Hide - Control'!A$3,'All practice data'!A:CA,C22+52,FALSE)))+1.96^2))))</f>
        <v>0.3597811294922292</v>
      </c>
      <c r="J22" s="196">
        <f>IF(OR(LEFT(H22,1)=" ",VLOOKUP('Hide - Control'!A$3,'All practice data'!A:CA,C22+52,FALSE)=0)," n/a",+((2*G22+1.96^2+1.96*SQRT(1.96^2+4*G22*(1-G22/(VLOOKUP('Hide - Control'!A$3,'All practice data'!A:CA,C22+52,FALSE)))))/(2*((VLOOKUP('Hide - Control'!A$3,'All practice data'!A:CA,C22+52,FALSE))+1.96^2))))</f>
        <v>0.43415474936974335</v>
      </c>
      <c r="K22" s="223">
        <f>IF('Hide - Calculation'!N16="","",'Hide - Calculation'!N16)</f>
        <v>0.5041520056298382</v>
      </c>
      <c r="L22" s="197">
        <f>'Hide - Calculation'!O16</f>
        <v>0.5752927626212945</v>
      </c>
      <c r="M22" s="198">
        <f>IF(ISBLANK('Hide - Calculation'!K16),"",'Hide - Calculation'!U16)</f>
        <v>0.1097560003399849</v>
      </c>
      <c r="N22" s="199"/>
      <c r="O22" s="91"/>
      <c r="P22" s="91"/>
      <c r="Q22" s="91"/>
      <c r="R22" s="91"/>
      <c r="S22" s="91"/>
      <c r="T22" s="91"/>
      <c r="U22" s="91"/>
      <c r="V22" s="91"/>
      <c r="W22" s="91"/>
      <c r="X22" s="91"/>
      <c r="Y22" s="91"/>
      <c r="Z22" s="188"/>
      <c r="AA22" s="198">
        <f>IF(ISBLANK('Hide - Calculation'!K16),"",'Hide - Calculation'!T16)</f>
        <v>0.6552129983901978</v>
      </c>
      <c r="AB22" s="235" t="s">
        <v>48</v>
      </c>
      <c r="AC22" s="189" t="s">
        <v>541</v>
      </c>
    </row>
    <row r="23" spans="2:29" s="63" customFormat="1" ht="33.75" customHeight="1">
      <c r="B23" s="308" t="s">
        <v>356</v>
      </c>
      <c r="C23" s="163">
        <v>11</v>
      </c>
      <c r="D23" s="179" t="s">
        <v>368</v>
      </c>
      <c r="E23" s="165"/>
      <c r="F23" s="165"/>
      <c r="G23" s="118">
        <f>IF(VLOOKUP('Hide - Control'!A$3,'All practice data'!A:CA,C23+4,FALSE)=" "," ",VLOOKUP('Hide - Control'!A$3,'All practice data'!A:CA,C23+4,FALSE))</f>
        <v>251</v>
      </c>
      <c r="H23" s="216">
        <f>IF(VLOOKUP('Hide - Control'!A$3,'All practice data'!A:CA,C23+30,FALSE)=" "," ",VLOOKUP('Hide - Control'!A$3,'All practice data'!A:CA,C23+30,FALSE))</f>
        <v>1911.9439366240097</v>
      </c>
      <c r="I23" s="215">
        <f>IF(LEFT(G23,1)=" "," n/a",IF(G23&lt;5,100000*VLOOKUP(G23,'Hide - Calculation'!AQ:AR,2,FALSE)/$E$8,100000*(G23*(1-1/(9*G23)-1.96/(3*SQRT(G23)))^3)/$E$8))</f>
        <v>1682.6967133979867</v>
      </c>
      <c r="J23" s="215">
        <f>IF(LEFT(G23,1)=" "," n/a",IF(G23&lt;5,100000*VLOOKUP(G23,'Hide - Calculation'!AQ:AS,3,FALSE)/$E$8,100000*((G23+1)*(1-1/(9*(G23+1))+1.96/(3*SQRT(G23+1)))^3)/$E$8))</f>
        <v>2163.703181396503</v>
      </c>
      <c r="K23" s="216">
        <f>IF('Hide - Calculation'!N17="","",'Hide - Calculation'!N17)</f>
        <v>1615.7222898684868</v>
      </c>
      <c r="L23" s="217">
        <f>'Hide - Calculation'!O17</f>
        <v>1812.1669120472948</v>
      </c>
      <c r="M23" s="170">
        <f>IF(ISBLANK('Hide - Calculation'!K17),"",'Hide - Calculation'!U17)</f>
        <v>118.34319305419922</v>
      </c>
      <c r="N23" s="171"/>
      <c r="O23" s="172"/>
      <c r="P23" s="172"/>
      <c r="Q23" s="172"/>
      <c r="R23" s="173"/>
      <c r="S23" s="173"/>
      <c r="T23" s="173"/>
      <c r="U23" s="173"/>
      <c r="V23" s="173"/>
      <c r="W23" s="173"/>
      <c r="X23" s="173"/>
      <c r="Y23" s="173"/>
      <c r="Z23" s="174"/>
      <c r="AA23" s="170">
        <f>IF(ISBLANK('Hide - Calculation'!K17),"",'Hide - Calculation'!T17)</f>
        <v>6304.728515625</v>
      </c>
      <c r="AB23" s="233" t="s">
        <v>26</v>
      </c>
      <c r="AC23" s="175" t="s">
        <v>541</v>
      </c>
    </row>
    <row r="24" spans="2:29" s="63" customFormat="1" ht="33.75" customHeight="1">
      <c r="B24" s="306"/>
      <c r="C24" s="137">
        <v>12</v>
      </c>
      <c r="D24" s="147" t="s">
        <v>524</v>
      </c>
      <c r="E24" s="85"/>
      <c r="F24" s="85"/>
      <c r="G24" s="118">
        <f>IF(VLOOKUP('Hide - Control'!A$3,'All practice data'!A:CA,C24+4,FALSE)=" "," ",VLOOKUP('Hide - Control'!A$3,'All practice data'!A:CA,C24+4,FALSE))</f>
        <v>251</v>
      </c>
      <c r="H24" s="119">
        <f>IF(VLOOKUP('Hide - Control'!A$3,'All practice data'!A:CA,C24+30,FALSE)=" "," ",VLOOKUP('Hide - Control'!A$3,'All practice data'!A:CA,C24+30,FALSE))</f>
        <v>1.179528122</v>
      </c>
      <c r="I24" s="212">
        <f>IF(LEFT(VLOOKUP('Hide - Control'!A$3,'All practice data'!A:CA,C24+44,FALSE),1)=" "," n/a",VLOOKUP('Hide - Control'!A$3,'All practice data'!A:CA,C24+44,FALSE))</f>
        <v>1.038107224</v>
      </c>
      <c r="J24" s="212">
        <f>IF(LEFT(VLOOKUP('Hide - Control'!A$3,'All practice data'!A:CA,C24+45,FALSE),1)=" "," n/a",VLOOKUP('Hide - Control'!A$3,'All practice data'!A:CA,C24+45,FALSE))</f>
        <v>1.3348382570000001</v>
      </c>
      <c r="K24" s="152" t="s">
        <v>623</v>
      </c>
      <c r="L24" s="213">
        <v>1</v>
      </c>
      <c r="M24" s="152">
        <f>IF(ISBLANK('Hide - Calculation'!K18),"",'Hide - Calculation'!U18)</f>
        <v>0.11841097474098206</v>
      </c>
      <c r="N24" s="86"/>
      <c r="O24" s="87"/>
      <c r="P24" s="87"/>
      <c r="Q24" s="87"/>
      <c r="R24" s="84"/>
      <c r="S24" s="84"/>
      <c r="T24" s="84"/>
      <c r="U24" s="84"/>
      <c r="V24" s="84"/>
      <c r="W24" s="84"/>
      <c r="X24" s="84"/>
      <c r="Y24" s="84"/>
      <c r="Z24" s="88"/>
      <c r="AA24" s="152">
        <f>IF(ISBLANK('Hide - Calculation'!K18),"",'Hide - Calculation'!T18)</f>
        <v>3.7894058227539062</v>
      </c>
      <c r="AB24" s="234" t="s">
        <v>26</v>
      </c>
      <c r="AC24" s="131" t="s">
        <v>541</v>
      </c>
    </row>
    <row r="25" spans="2:29" s="63" customFormat="1" ht="33.75" customHeight="1">
      <c r="B25" s="306"/>
      <c r="C25" s="137">
        <v>13</v>
      </c>
      <c r="D25" s="147" t="s">
        <v>363</v>
      </c>
      <c r="E25" s="85"/>
      <c r="F25" s="85"/>
      <c r="G25" s="118">
        <f>IF(VLOOKUP('Hide - Control'!A$3,'All practice data'!A:CA,C25+4,FALSE)=" "," ",VLOOKUP('Hide - Control'!A$3,'All practice data'!A:CA,C25+4,FALSE))</f>
        <v>14</v>
      </c>
      <c r="H25" s="119">
        <f>IF(VLOOKUP('Hide - Control'!A$3,'All practice data'!A:CA,C25+30,FALSE)=" "," ",VLOOKUP('Hide - Control'!A$3,'All practice data'!A:CA,C25+30,FALSE))</f>
        <v>0.055776892430278883</v>
      </c>
      <c r="I25" s="120">
        <f>IF(LEFT(G25,1)=" "," n/a",IF(G25=0," n/a",+((2*G25+1.96^2-1.96*SQRT(1.96^2+4*G25*(1-G25/G23)))/(2*(G23+1.96^2)))))</f>
        <v>0.03351211582953218</v>
      </c>
      <c r="J25" s="120">
        <f>IF(LEFT(G25,1)=" "," n/a",IF(G25=0," n/a",+((2*G25+1.96^2+1.96*SQRT(1.96^2+4*G25*(1-G25/G23)))/(2*(G23+1.96^2)))))</f>
        <v>0.0914345176871307</v>
      </c>
      <c r="K25" s="125">
        <f>IF('Hide - Calculation'!N19="","",'Hide - Calculation'!N19)</f>
        <v>0.10901001112347053</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0.375</v>
      </c>
      <c r="AB25" s="234" t="s">
        <v>26</v>
      </c>
      <c r="AC25" s="131" t="s">
        <v>541</v>
      </c>
    </row>
    <row r="26" spans="2:29" s="63" customFormat="1" ht="33.75" customHeight="1">
      <c r="B26" s="306"/>
      <c r="C26" s="137">
        <v>14</v>
      </c>
      <c r="D26" s="147" t="s">
        <v>507</v>
      </c>
      <c r="E26" s="85"/>
      <c r="F26" s="85"/>
      <c r="G26" s="121">
        <f>IF(VLOOKUP('Hide - Control'!A$3,'All practice data'!A:CA,C26+4,FALSE)=" "," ",VLOOKUP('Hide - Control'!A$3,'All practice data'!A:CA,C26+4,FALSE))</f>
        <v>54</v>
      </c>
      <c r="H26" s="119">
        <f>IF(VLOOKUP('Hide - Control'!A$3,'All practice data'!A:CA,C26+30,FALSE)=" "," ",VLOOKUP('Hide - Control'!A$3,'All practice data'!A:CA,C26+30,FALSE))</f>
        <v>0.25925925925925924</v>
      </c>
      <c r="I26" s="120">
        <f>IF(OR(LEFT(G26,1)=" ",LEFT(G25,1)=" ")," n/a",IF(G26=0," n/a",+((2*G25+1.96^2-1.96*SQRT(1.96^2+4*G25*(1-G25/G26)))/(2*(G26+1.96^2)))))</f>
        <v>0.16118507964793902</v>
      </c>
      <c r="J26" s="120">
        <f>IF(OR(LEFT(G26,1)=" ",LEFT(G25,1)=" ")," n/a",IF(G26=0," n/a",+((2*G25+1.96^2+1.96*SQRT(1.96^2+4*G25*(1-G25/G26)))/(2*(G26+1.96^2)))))</f>
        <v>0.389311448802173</v>
      </c>
      <c r="K26" s="125">
        <f>IF('Hide - Calculation'!N20="","",'Hide - Calculation'!N20)</f>
        <v>0.399592252803262</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0.6000000238418579</v>
      </c>
      <c r="AB26" s="234" t="s">
        <v>26</v>
      </c>
      <c r="AC26" s="131" t="s">
        <v>541</v>
      </c>
    </row>
    <row r="27" spans="2:29" s="63" customFormat="1" ht="33.75" customHeight="1">
      <c r="B27" s="306"/>
      <c r="C27" s="137">
        <v>15</v>
      </c>
      <c r="D27" s="147" t="s">
        <v>494</v>
      </c>
      <c r="E27" s="85"/>
      <c r="F27" s="85"/>
      <c r="G27" s="121">
        <f>IF(VLOOKUP('Hide - Control'!A$3,'All practice data'!A:CA,C27+4,FALSE)=" "," ",VLOOKUP('Hide - Control'!A$3,'All practice data'!A:CA,C27+4,FALSE))</f>
        <v>58</v>
      </c>
      <c r="H27" s="122">
        <f>IF(VLOOKUP('Hide - Control'!A$3,'All practice data'!A:CA,C27+30,FALSE)=" "," ",VLOOKUP('Hide - Control'!A$3,'All practice data'!A:CA,C27+30,FALSE))</f>
        <v>441.8037781840341</v>
      </c>
      <c r="I27" s="123">
        <f>IF(LEFT(G27,1)=" "," n/a",IF(G27&lt;5,100000*VLOOKUP(G27,'Hide - Calculation'!AQ:AR,2,FALSE)/$E$8,100000*(G27*(1-1/(9*G27)-1.96/(3*SQRT(G27)))^3)/$E$8))</f>
        <v>335.4584747268033</v>
      </c>
      <c r="J27" s="123">
        <f>IF(LEFT(G27,1)=" "," n/a",IF(G27&lt;5,100000*VLOOKUP(G27,'Hide - Calculation'!AQ:AS,3,FALSE)/$E$8,100000*((G27+1)*(1-1/(9*(G27+1))+1.96/(3*SQRT(G27+1)))^3)/$E$8))</f>
        <v>571.1465292629799</v>
      </c>
      <c r="K27" s="122">
        <f>IF('Hide - Calculation'!N21="","",'Hide - Calculation'!N21)</f>
        <v>371.804837282028</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908.173583984375</v>
      </c>
      <c r="AB27" s="234" t="s">
        <v>26</v>
      </c>
      <c r="AC27" s="131" t="s">
        <v>541</v>
      </c>
    </row>
    <row r="28" spans="2:29" s="63" customFormat="1" ht="33.75" customHeight="1">
      <c r="B28" s="306"/>
      <c r="C28" s="137">
        <v>16</v>
      </c>
      <c r="D28" s="147" t="s">
        <v>495</v>
      </c>
      <c r="E28" s="85"/>
      <c r="F28" s="85"/>
      <c r="G28" s="121">
        <f>IF(VLOOKUP('Hide - Control'!A$3,'All practice data'!A:CA,C28+4,FALSE)=" "," ",VLOOKUP('Hide - Control'!A$3,'All practice data'!A:CA,C28+4,FALSE))</f>
        <v>50</v>
      </c>
      <c r="H28" s="122">
        <f>IF(VLOOKUP('Hide - Control'!A$3,'All practice data'!A:CA,C28+30,FALSE)=" "," ",VLOOKUP('Hide - Control'!A$3,'All practice data'!A:CA,C28+30,FALSE))</f>
        <v>380.86532602071907</v>
      </c>
      <c r="I28" s="123">
        <f>IF(LEFT(G28,1)=" "," n/a",IF(G28&lt;5,100000*VLOOKUP(G28,'Hide - Calculation'!AQ:AR,2,FALSE)/$E$8,100000*(G28*(1-1/(9*G28)-1.96/(3*SQRT(G28)))^3)/$E$8))</f>
        <v>282.6621850474913</v>
      </c>
      <c r="J28" s="123">
        <f>IF(LEFT(G28,1)=" "," n/a",IF(G28&lt;5,100000*VLOOKUP(G28,'Hide - Calculation'!AQ:AS,3,FALSE)/$E$8,100000*((G28+1)*(1-1/(9*(G28+1))+1.96/(3*SQRT(G28+1)))^3)/$E$8))</f>
        <v>502.13636415414146</v>
      </c>
      <c r="K28" s="122">
        <f>IF('Hide - Calculation'!N22="","",'Hide - Calculation'!N22)</f>
        <v>239.25809770716606</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700.525390625</v>
      </c>
      <c r="AB28" s="234" t="s">
        <v>26</v>
      </c>
      <c r="AC28" s="131" t="s">
        <v>541</v>
      </c>
    </row>
    <row r="29" spans="2:29" s="63" customFormat="1" ht="33.75" customHeight="1">
      <c r="B29" s="306"/>
      <c r="C29" s="137">
        <v>17</v>
      </c>
      <c r="D29" s="147" t="s">
        <v>496</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37.742122455214925</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170.06802368164062</v>
      </c>
      <c r="AB29" s="234" t="s">
        <v>26</v>
      </c>
      <c r="AC29" s="131" t="s">
        <v>541</v>
      </c>
    </row>
    <row r="30" spans="2:29" s="63" customFormat="1" ht="33.75" customHeight="1" thickBot="1">
      <c r="B30" s="309"/>
      <c r="C30" s="180">
        <v>18</v>
      </c>
      <c r="D30" s="181" t="s">
        <v>497</v>
      </c>
      <c r="E30" s="182"/>
      <c r="F30" s="182"/>
      <c r="G30" s="183">
        <f>IF(VLOOKUP('Hide - Control'!A$3,'All practice data'!A:CA,C30+4,FALSE)=" "," ",VLOOKUP('Hide - Control'!A$3,'All practice data'!A:CA,C30+4,FALSE))</f>
        <v>84</v>
      </c>
      <c r="H30" s="184">
        <f>IF(VLOOKUP('Hide - Control'!A$3,'All practice data'!A:CA,C30+30,FALSE)=" "," ",VLOOKUP('Hide - Control'!A$3,'All practice data'!A:CA,C30+30,FALSE))</f>
        <v>639.853747714808</v>
      </c>
      <c r="I30" s="185">
        <f>IF(LEFT(G30,1)=" "," n/a",IF(G30&lt;5,100000*VLOOKUP(G30,'Hide - Calculation'!AQ:AR,2,FALSE)/$E$8,100000*(G30*(1-1/(9*G30)-1.96/(3*SQRT(G30)))^3)/$E$8))</f>
        <v>510.354314065696</v>
      </c>
      <c r="J30" s="185">
        <f>IF(LEFT(G30,1)=" "," n/a",IF(G30&lt;5,100000*VLOOKUP(G30,'Hide - Calculation'!AQ:AS,3,FALSE)/$E$8,100000*((G30+1)*(1-1/(9*(G30+1))+1.96/(3*SQRT(G30+1)))^3)/$E$8))</f>
        <v>792.1945833651689</v>
      </c>
      <c r="K30" s="184">
        <f>IF('Hide - Calculation'!N24="","",'Hide - Calculation'!N24)</f>
        <v>267.56468954857723</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1996.497314453125</v>
      </c>
      <c r="AB30" s="235" t="s">
        <v>26</v>
      </c>
      <c r="AC30" s="189" t="s">
        <v>541</v>
      </c>
    </row>
    <row r="31" spans="2:29" s="63" customFormat="1" ht="33.75" customHeight="1">
      <c r="B31" s="304" t="s">
        <v>365</v>
      </c>
      <c r="C31" s="163">
        <v>19</v>
      </c>
      <c r="D31" s="164" t="s">
        <v>369</v>
      </c>
      <c r="E31" s="165"/>
      <c r="F31" s="165"/>
      <c r="G31" s="166">
        <f>IF(VLOOKUP('Hide - Control'!A$3,'All practice data'!A:CA,C31+4,FALSE)=" "," ",VLOOKUP('Hide - Control'!A$3,'All practice data'!A:CA,C31+4,FALSE))</f>
        <v>70</v>
      </c>
      <c r="H31" s="167">
        <f>IF(VLOOKUP('Hide - Control'!A$3,'All practice data'!A:CA,C31+30,FALSE)=" "," ",VLOOKUP('Hide - Control'!A$3,'All practice data'!A:CA,C31+30,FALSE))</f>
        <v>533.2114564290067</v>
      </c>
      <c r="I31" s="168">
        <f>IF(LEFT(G31,1)=" "," n/a",IF(G31&lt;5,100000*VLOOKUP(G31,'Hide - Calculation'!AQ:AR,2,FALSE)/$E$8,100000*(G31*(1-1/(9*G31)-1.96/(3*SQRT(G31)))^3)/$E$8))</f>
        <v>415.6447721938768</v>
      </c>
      <c r="J31" s="168">
        <f>IF(LEFT(G31,1)=" "," n/a",IF(G31&lt;5,100000*VLOOKUP(G31,'Hide - Calculation'!AQ:AS,3,FALSE)/$E$8,100000*((G31+1)*(1-1/(9*(G31+1))+1.96/(3*SQRT(G31+1)))^3)/$E$8))</f>
        <v>673.6929955955128</v>
      </c>
      <c r="K31" s="167">
        <f>IF('Hide - Calculation'!N25="","",'Hide - Calculation'!N25)</f>
        <v>395.6183193073422</v>
      </c>
      <c r="L31" s="169">
        <f>'Hide - Calculation'!O25</f>
        <v>562.6134400960308</v>
      </c>
      <c r="M31" s="170">
        <f>IF(ISBLANK('Hide - Calculation'!K25),"",'Hide - Calculation'!U25)</f>
        <v>94.88666534423828</v>
      </c>
      <c r="N31" s="171"/>
      <c r="O31" s="172"/>
      <c r="P31" s="172"/>
      <c r="Q31" s="172"/>
      <c r="R31" s="173"/>
      <c r="S31" s="173"/>
      <c r="T31" s="173"/>
      <c r="U31" s="173"/>
      <c r="V31" s="173"/>
      <c r="W31" s="173"/>
      <c r="X31" s="173"/>
      <c r="Y31" s="173"/>
      <c r="Z31" s="174"/>
      <c r="AA31" s="170">
        <f>IF(ISBLANK('Hide - Calculation'!K25),"",'Hide - Calculation'!T25)</f>
        <v>980.7355346679688</v>
      </c>
      <c r="AB31" s="233" t="s">
        <v>47</v>
      </c>
      <c r="AC31" s="175" t="s">
        <v>541</v>
      </c>
    </row>
    <row r="32" spans="2:29" s="63" customFormat="1" ht="33.75" customHeight="1">
      <c r="B32" s="305"/>
      <c r="C32" s="137">
        <v>20</v>
      </c>
      <c r="D32" s="132" t="s">
        <v>370</v>
      </c>
      <c r="E32" s="85"/>
      <c r="F32" s="85"/>
      <c r="G32" s="121">
        <f>IF(VLOOKUP('Hide - Control'!A$3,'All practice data'!A:CA,C32+4,FALSE)=" "," ",VLOOKUP('Hide - Control'!A$3,'All practice data'!A:CA,C32+4,FALSE))</f>
        <v>51</v>
      </c>
      <c r="H32" s="122">
        <f>IF(VLOOKUP('Hide - Control'!A$3,'All practice data'!A:CA,C32+30,FALSE)=" "," ",VLOOKUP('Hide - Control'!A$3,'All practice data'!A:CA,C32+30,FALSE))</f>
        <v>388.48263254113346</v>
      </c>
      <c r="I32" s="123">
        <f>IF(LEFT(G32,1)=" "," n/a",IF(G32&lt;5,100000*VLOOKUP(G32,'Hide - Calculation'!AQ:AR,2,FALSE)/$E$8,100000*(G32*(1-1/(9*G32)-1.96/(3*SQRT(G32)))^3)/$E$8))</f>
        <v>289.2276799660897</v>
      </c>
      <c r="J32" s="123">
        <f>IF(LEFT(G32,1)=" "," n/a",IF(G32&lt;5,100000*VLOOKUP(G32,'Hide - Calculation'!AQ:AS,3,FALSE)/$E$8,100000*((G32+1)*(1-1/(9*(G32+1))+1.96/(3*SQRT(G32+1)))^3)/$E$8))</f>
        <v>510.7958024885858</v>
      </c>
      <c r="K32" s="122">
        <f>IF('Hide - Calculation'!N26="","",'Hide - Calculation'!N26)</f>
        <v>331.8161599187646</v>
      </c>
      <c r="L32" s="156">
        <f>'Hide - Calculation'!O26</f>
        <v>405.57105879375996</v>
      </c>
      <c r="M32" s="148">
        <f>IF(ISBLANK('Hide - Calculation'!K26),"",'Hide - Calculation'!U26)</f>
        <v>112.1823501586914</v>
      </c>
      <c r="N32" s="86"/>
      <c r="O32" s="87"/>
      <c r="P32" s="87"/>
      <c r="Q32" s="87"/>
      <c r="R32" s="84"/>
      <c r="S32" s="84"/>
      <c r="T32" s="84"/>
      <c r="U32" s="84"/>
      <c r="V32" s="84"/>
      <c r="W32" s="84"/>
      <c r="X32" s="84"/>
      <c r="Y32" s="84"/>
      <c r="Z32" s="88"/>
      <c r="AA32" s="148">
        <f>IF(ISBLANK('Hide - Calculation'!K26),"",'Hide - Calculation'!T26)</f>
        <v>749.0636596679688</v>
      </c>
      <c r="AB32" s="234" t="s">
        <v>47</v>
      </c>
      <c r="AC32" s="131" t="s">
        <v>541</v>
      </c>
    </row>
    <row r="33" spans="2:29" s="63" customFormat="1" ht="33.75" customHeight="1">
      <c r="B33" s="305"/>
      <c r="C33" s="137">
        <v>21</v>
      </c>
      <c r="D33" s="132" t="s">
        <v>372</v>
      </c>
      <c r="E33" s="85"/>
      <c r="F33" s="85"/>
      <c r="G33" s="121">
        <f>IF(VLOOKUP('Hide - Control'!A$3,'All practice data'!A:CA,C33+4,FALSE)=" "," ",VLOOKUP('Hide - Control'!A$3,'All practice data'!A:CA,C33+4,FALSE))</f>
        <v>102</v>
      </c>
      <c r="H33" s="122">
        <f>IF(VLOOKUP('Hide - Control'!A$3,'All practice data'!A:CA,C33+30,FALSE)=" "," ",VLOOKUP('Hide - Control'!A$3,'All practice data'!A:CA,C33+30,FALSE))</f>
        <v>776.9652650822669</v>
      </c>
      <c r="I33" s="123">
        <f>IF(LEFT(G33,1)=" "," n/a",IF(G33&lt;5,100000*VLOOKUP(G33,'Hide - Calculation'!AQ:AR,2,FALSE)/$E$8,100000*(G33*(1-1/(9*G33)-1.96/(3*SQRT(G33)))^3)/$E$8))</f>
        <v>633.5057046346624</v>
      </c>
      <c r="J33" s="123">
        <f>IF(LEFT(G33,1)=" "," n/a",IF(G33&lt;5,100000*VLOOKUP(G33,'Hide - Calculation'!AQ:AS,3,FALSE)/$E$8,100000*((G33+1)*(1-1/(9*(G33+1))+1.96/(3*SQRT(G33+1)))^3)/$E$8))</f>
        <v>943.1946235297564</v>
      </c>
      <c r="K33" s="122">
        <f>IF('Hide - Calculation'!N27="","",'Hide - Calculation'!N27)</f>
        <v>947.1475492332509</v>
      </c>
      <c r="L33" s="156">
        <f>'Hide - Calculation'!O27</f>
        <v>1059.3522061277838</v>
      </c>
      <c r="M33" s="148">
        <f>IF(ISBLANK('Hide - Calculation'!K27),"",'Hide - Calculation'!U27)</f>
        <v>262.0439453125</v>
      </c>
      <c r="N33" s="86"/>
      <c r="O33" s="87"/>
      <c r="P33" s="87"/>
      <c r="Q33" s="87"/>
      <c r="R33" s="84"/>
      <c r="S33" s="84"/>
      <c r="T33" s="84"/>
      <c r="U33" s="84"/>
      <c r="V33" s="84"/>
      <c r="W33" s="84"/>
      <c r="X33" s="84"/>
      <c r="Y33" s="84"/>
      <c r="Z33" s="88"/>
      <c r="AA33" s="148">
        <f>IF(ISBLANK('Hide - Calculation'!K27),"",'Hide - Calculation'!T27)</f>
        <v>1751.3134765625</v>
      </c>
      <c r="AB33" s="234" t="s">
        <v>47</v>
      </c>
      <c r="AC33" s="131" t="s">
        <v>541</v>
      </c>
    </row>
    <row r="34" spans="2:29" s="63" customFormat="1" ht="33.75" customHeight="1">
      <c r="B34" s="305"/>
      <c r="C34" s="137">
        <v>22</v>
      </c>
      <c r="D34" s="132" t="s">
        <v>371</v>
      </c>
      <c r="E34" s="85"/>
      <c r="F34" s="85"/>
      <c r="G34" s="118">
        <f>IF(VLOOKUP('Hide - Control'!A$3,'All practice data'!A:CA,C34+4,FALSE)=" "," ",VLOOKUP('Hide - Control'!A$3,'All practice data'!A:CA,C34+4,FALSE))</f>
        <v>73</v>
      </c>
      <c r="H34" s="122">
        <f>IF(VLOOKUP('Hide - Control'!A$3,'All practice data'!A:CA,C34+30,FALSE)=" "," ",VLOOKUP('Hide - Control'!A$3,'All practice data'!A:CA,C34+30,FALSE))</f>
        <v>556.0633759902498</v>
      </c>
      <c r="I34" s="123">
        <f>IF(LEFT(G34,1)=" "," n/a",IF(G34&lt;5,100000*VLOOKUP(G34,'Hide - Calculation'!AQ:AR,2,FALSE)/$E$8,100000*(G34*(1-1/(9*G34)-1.96/(3*SQRT(G34)))^3)/$E$8))</f>
        <v>435.8455999301729</v>
      </c>
      <c r="J34" s="123">
        <f>IF(LEFT(G34,1)=" "," n/a",IF(G34&lt;5,100000*VLOOKUP(G34,'Hide - Calculation'!AQ:AS,3,FALSE)/$E$8,100000*((G34+1)*(1-1/(9*(G34+1))+1.96/(3*SQRT(G34+1)))^3)/$E$8))</f>
        <v>699.1785415532785</v>
      </c>
      <c r="K34" s="122">
        <f>IF('Hide - Calculation'!N28="","",'Hide - Calculation'!N28)</f>
        <v>555.5730287603959</v>
      </c>
      <c r="L34" s="156">
        <f>'Hide - Calculation'!O28</f>
        <v>582.9390489900089</v>
      </c>
      <c r="M34" s="148">
        <f>IF(ISBLANK('Hide - Calculation'!K28),"",'Hide - Calculation'!U28)</f>
        <v>155.9251708984375</v>
      </c>
      <c r="N34" s="86"/>
      <c r="O34" s="87"/>
      <c r="P34" s="87"/>
      <c r="Q34" s="87"/>
      <c r="R34" s="84"/>
      <c r="S34" s="84"/>
      <c r="T34" s="84"/>
      <c r="U34" s="84"/>
      <c r="V34" s="84"/>
      <c r="W34" s="84"/>
      <c r="X34" s="84"/>
      <c r="Y34" s="84"/>
      <c r="Z34" s="88"/>
      <c r="AA34" s="148">
        <f>IF(ISBLANK('Hide - Calculation'!K28),"",'Hide - Calculation'!T28)</f>
        <v>1191.6922607421875</v>
      </c>
      <c r="AB34" s="234" t="s">
        <v>47</v>
      </c>
      <c r="AC34" s="131" t="s">
        <v>541</v>
      </c>
    </row>
    <row r="35" spans="2:29" s="63" customFormat="1" ht="33.75" customHeight="1">
      <c r="B35" s="305"/>
      <c r="C35" s="137">
        <v>23</v>
      </c>
      <c r="D35" s="138" t="s">
        <v>498</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357</v>
      </c>
      <c r="AC35" s="131">
        <v>2008</v>
      </c>
    </row>
    <row r="36" spans="2:29" ht="33.75" customHeight="1">
      <c r="B36" s="306"/>
      <c r="C36" s="137">
        <v>24</v>
      </c>
      <c r="D36" s="224" t="s">
        <v>499</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357</v>
      </c>
      <c r="AC36" s="131">
        <v>2008</v>
      </c>
    </row>
    <row r="37" spans="2:29" ht="33.75" customHeight="1" thickBot="1">
      <c r="B37" s="307"/>
      <c r="C37" s="176">
        <v>25</v>
      </c>
      <c r="D37" s="177" t="s">
        <v>373</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357</v>
      </c>
      <c r="AC37" s="149">
        <v>2008</v>
      </c>
    </row>
    <row r="38" spans="2:29" ht="16.5" customHeight="1">
      <c r="B38" s="69"/>
      <c r="C38" s="69"/>
      <c r="D38" s="65" t="s">
        <v>355</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622</v>
      </c>
      <c r="C39" s="244"/>
      <c r="D39" s="244"/>
      <c r="E39" s="303" t="s">
        <v>626</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523</v>
      </c>
      <c r="BE2" s="341"/>
      <c r="BF2" s="341"/>
      <c r="BG2" s="341"/>
      <c r="BH2" s="341"/>
      <c r="BI2" s="341"/>
      <c r="BJ2" s="342"/>
    </row>
    <row r="3" spans="1:82" s="72" customFormat="1" ht="76.5" customHeight="1">
      <c r="A3" s="266" t="s">
        <v>276</v>
      </c>
      <c r="B3" s="275" t="s">
        <v>277</v>
      </c>
      <c r="C3" s="276" t="s">
        <v>49</v>
      </c>
      <c r="D3" s="274" t="s">
        <v>508</v>
      </c>
      <c r="E3" s="267" t="s">
        <v>380</v>
      </c>
      <c r="F3" s="267" t="s">
        <v>491</v>
      </c>
      <c r="G3" s="267" t="s">
        <v>382</v>
      </c>
      <c r="H3" s="267" t="s">
        <v>383</v>
      </c>
      <c r="I3" s="267" t="s">
        <v>384</v>
      </c>
      <c r="J3" s="267" t="s">
        <v>532</v>
      </c>
      <c r="K3" s="267" t="s">
        <v>533</v>
      </c>
      <c r="L3" s="267" t="s">
        <v>534</v>
      </c>
      <c r="M3" s="267" t="s">
        <v>385</v>
      </c>
      <c r="N3" s="267" t="s">
        <v>386</v>
      </c>
      <c r="O3" s="267" t="s">
        <v>387</v>
      </c>
      <c r="P3" s="267" t="s">
        <v>522</v>
      </c>
      <c r="Q3" s="267" t="s">
        <v>388</v>
      </c>
      <c r="R3" s="267" t="s">
        <v>389</v>
      </c>
      <c r="S3" s="267" t="s">
        <v>390</v>
      </c>
      <c r="T3" s="267" t="s">
        <v>391</v>
      </c>
      <c r="U3" s="267" t="s">
        <v>392</v>
      </c>
      <c r="V3" s="267" t="s">
        <v>393</v>
      </c>
      <c r="W3" s="267" t="s">
        <v>394</v>
      </c>
      <c r="X3" s="267" t="s">
        <v>395</v>
      </c>
      <c r="Y3" s="267" t="s">
        <v>396</v>
      </c>
      <c r="Z3" s="267" t="s">
        <v>397</v>
      </c>
      <c r="AA3" s="267" t="s">
        <v>398</v>
      </c>
      <c r="AB3" s="267" t="s">
        <v>399</v>
      </c>
      <c r="AC3" s="267" t="s">
        <v>400</v>
      </c>
      <c r="AD3" s="268" t="s">
        <v>401</v>
      </c>
      <c r="AE3" s="268" t="s">
        <v>380</v>
      </c>
      <c r="AF3" s="269" t="s">
        <v>381</v>
      </c>
      <c r="AG3" s="268" t="s">
        <v>382</v>
      </c>
      <c r="AH3" s="268" t="s">
        <v>383</v>
      </c>
      <c r="AI3" s="268" t="s">
        <v>384</v>
      </c>
      <c r="AJ3" s="268" t="s">
        <v>532</v>
      </c>
      <c r="AK3" s="268" t="s">
        <v>533</v>
      </c>
      <c r="AL3" s="268" t="s">
        <v>534</v>
      </c>
      <c r="AM3" s="268" t="s">
        <v>385</v>
      </c>
      <c r="AN3" s="268" t="s">
        <v>386</v>
      </c>
      <c r="AO3" s="268" t="s">
        <v>387</v>
      </c>
      <c r="AP3" s="268" t="s">
        <v>522</v>
      </c>
      <c r="AQ3" s="268" t="s">
        <v>388</v>
      </c>
      <c r="AR3" s="268" t="s">
        <v>389</v>
      </c>
      <c r="AS3" s="268" t="s">
        <v>390</v>
      </c>
      <c r="AT3" s="268" t="s">
        <v>391</v>
      </c>
      <c r="AU3" s="268" t="s">
        <v>392</v>
      </c>
      <c r="AV3" s="268" t="s">
        <v>393</v>
      </c>
      <c r="AW3" s="268" t="s">
        <v>394</v>
      </c>
      <c r="AX3" s="268" t="s">
        <v>395</v>
      </c>
      <c r="AY3" s="270" t="s">
        <v>396</v>
      </c>
      <c r="AZ3" s="271" t="s">
        <v>397</v>
      </c>
      <c r="BA3" s="271" t="s">
        <v>398</v>
      </c>
      <c r="BB3" s="271" t="s">
        <v>399</v>
      </c>
      <c r="BC3" s="272" t="s">
        <v>400</v>
      </c>
      <c r="BD3" s="273" t="s">
        <v>520</v>
      </c>
      <c r="BE3" s="273" t="s">
        <v>521</v>
      </c>
      <c r="BF3" s="273" t="s">
        <v>528</v>
      </c>
      <c r="BG3" s="273" t="s">
        <v>529</v>
      </c>
      <c r="BH3" s="273" t="s">
        <v>527</v>
      </c>
      <c r="BI3" s="273" t="s">
        <v>530</v>
      </c>
      <c r="BJ3" s="273" t="s">
        <v>531</v>
      </c>
      <c r="BK3" s="73"/>
      <c r="BL3" s="73"/>
      <c r="BM3" s="73"/>
      <c r="BN3" s="73"/>
      <c r="BO3" s="73"/>
      <c r="BP3" s="73"/>
      <c r="BQ3" s="73"/>
      <c r="BR3" s="73"/>
      <c r="BS3" s="73"/>
      <c r="BT3" s="73"/>
      <c r="BU3" s="73"/>
      <c r="BV3" s="73"/>
      <c r="BW3" s="73"/>
      <c r="BX3" s="73"/>
      <c r="BY3" s="73"/>
      <c r="BZ3" s="73"/>
      <c r="CA3" s="73"/>
      <c r="CB3" s="73"/>
      <c r="CC3" s="73"/>
      <c r="CD3" s="73"/>
    </row>
    <row r="4" spans="1:66" ht="12.75">
      <c r="A4" s="79" t="s">
        <v>628</v>
      </c>
      <c r="B4" s="79" t="s">
        <v>540</v>
      </c>
      <c r="C4" s="79" t="s">
        <v>229</v>
      </c>
      <c r="D4" s="99">
        <v>13128</v>
      </c>
      <c r="E4" s="99">
        <v>1775</v>
      </c>
      <c r="F4" s="99" t="s">
        <v>376</v>
      </c>
      <c r="G4" s="99">
        <v>14</v>
      </c>
      <c r="H4" s="99">
        <v>22</v>
      </c>
      <c r="I4" s="99">
        <v>198</v>
      </c>
      <c r="J4" s="99">
        <v>782</v>
      </c>
      <c r="K4" s="99">
        <v>252</v>
      </c>
      <c r="L4" s="99">
        <v>2147</v>
      </c>
      <c r="M4" s="99">
        <v>488</v>
      </c>
      <c r="N4" s="99">
        <v>262</v>
      </c>
      <c r="O4" s="99">
        <v>251</v>
      </c>
      <c r="P4" s="159">
        <v>251</v>
      </c>
      <c r="Q4" s="99">
        <v>14</v>
      </c>
      <c r="R4" s="99">
        <v>54</v>
      </c>
      <c r="S4" s="99">
        <v>58</v>
      </c>
      <c r="T4" s="99">
        <v>50</v>
      </c>
      <c r="U4" s="99" t="s">
        <v>625</v>
      </c>
      <c r="V4" s="99">
        <v>84</v>
      </c>
      <c r="W4" s="99">
        <v>70</v>
      </c>
      <c r="X4" s="99">
        <v>51</v>
      </c>
      <c r="Y4" s="99">
        <v>102</v>
      </c>
      <c r="Z4" s="99">
        <v>73</v>
      </c>
      <c r="AA4" s="99" t="s">
        <v>625</v>
      </c>
      <c r="AB4" s="99" t="s">
        <v>625</v>
      </c>
      <c r="AC4" s="99" t="s">
        <v>625</v>
      </c>
      <c r="AD4" s="98" t="s">
        <v>355</v>
      </c>
      <c r="AE4" s="100">
        <v>0.13520719073735527</v>
      </c>
      <c r="AF4" s="100">
        <v>0.29</v>
      </c>
      <c r="AG4" s="98">
        <v>106.64229128580133</v>
      </c>
      <c r="AH4" s="98">
        <v>167.5807434491164</v>
      </c>
      <c r="AI4" s="100">
        <v>0.015</v>
      </c>
      <c r="AJ4" s="100">
        <v>0.615264</v>
      </c>
      <c r="AK4" s="100">
        <v>0.617647</v>
      </c>
      <c r="AL4" s="100">
        <v>0.700261</v>
      </c>
      <c r="AM4" s="100">
        <v>0.419604</v>
      </c>
      <c r="AN4" s="100">
        <v>0.396369</v>
      </c>
      <c r="AO4" s="98">
        <v>1911.9439366240097</v>
      </c>
      <c r="AP4" s="158">
        <v>1.179528122</v>
      </c>
      <c r="AQ4" s="100">
        <v>0.055776892430278883</v>
      </c>
      <c r="AR4" s="100">
        <v>0.25925925925925924</v>
      </c>
      <c r="AS4" s="98">
        <v>441.8037781840341</v>
      </c>
      <c r="AT4" s="98">
        <v>380.86532602071907</v>
      </c>
      <c r="AU4" s="98" t="s">
        <v>625</v>
      </c>
      <c r="AV4" s="98">
        <v>639.853747714808</v>
      </c>
      <c r="AW4" s="98">
        <v>533.2114564290067</v>
      </c>
      <c r="AX4" s="98">
        <v>388.48263254113346</v>
      </c>
      <c r="AY4" s="98">
        <v>776.9652650822669</v>
      </c>
      <c r="AZ4" s="98">
        <v>556.0633759902498</v>
      </c>
      <c r="BA4" s="100" t="s">
        <v>625</v>
      </c>
      <c r="BB4" s="100" t="s">
        <v>625</v>
      </c>
      <c r="BC4" s="100" t="s">
        <v>625</v>
      </c>
      <c r="BD4" s="158">
        <v>1.038107224</v>
      </c>
      <c r="BE4" s="158">
        <v>1.3348382570000001</v>
      </c>
      <c r="BF4" s="162">
        <v>1271</v>
      </c>
      <c r="BG4" s="162">
        <v>408</v>
      </c>
      <c r="BH4" s="162">
        <v>3066</v>
      </c>
      <c r="BI4" s="162">
        <v>1163</v>
      </c>
      <c r="BJ4" s="162">
        <v>661</v>
      </c>
      <c r="BK4" s="97"/>
      <c r="BL4" s="97"/>
      <c r="BM4" s="97"/>
      <c r="BN4" s="97"/>
    </row>
    <row r="5" spans="1:66" ht="12.75">
      <c r="A5" s="79" t="s">
        <v>600</v>
      </c>
      <c r="B5" s="79" t="s">
        <v>337</v>
      </c>
      <c r="C5" s="79" t="s">
        <v>229</v>
      </c>
      <c r="D5" s="99">
        <v>4217</v>
      </c>
      <c r="E5" s="99">
        <v>439</v>
      </c>
      <c r="F5" s="99" t="s">
        <v>376</v>
      </c>
      <c r="G5" s="99">
        <v>11</v>
      </c>
      <c r="H5" s="99" t="s">
        <v>625</v>
      </c>
      <c r="I5" s="99">
        <v>47</v>
      </c>
      <c r="J5" s="99">
        <v>178</v>
      </c>
      <c r="K5" s="99">
        <v>14</v>
      </c>
      <c r="L5" s="99">
        <v>550</v>
      </c>
      <c r="M5" s="99">
        <v>106</v>
      </c>
      <c r="N5" s="99">
        <v>69</v>
      </c>
      <c r="O5" s="99">
        <v>35</v>
      </c>
      <c r="P5" s="159">
        <v>35</v>
      </c>
      <c r="Q5" s="99" t="s">
        <v>625</v>
      </c>
      <c r="R5" s="99">
        <v>10</v>
      </c>
      <c r="S5" s="99">
        <v>18</v>
      </c>
      <c r="T5" s="99" t="s">
        <v>625</v>
      </c>
      <c r="U5" s="99" t="s">
        <v>625</v>
      </c>
      <c r="V5" s="99">
        <v>11</v>
      </c>
      <c r="W5" s="99">
        <v>11</v>
      </c>
      <c r="X5" s="99">
        <v>8</v>
      </c>
      <c r="Y5" s="99">
        <v>42</v>
      </c>
      <c r="Z5" s="99">
        <v>11</v>
      </c>
      <c r="AA5" s="99" t="s">
        <v>625</v>
      </c>
      <c r="AB5" s="99" t="s">
        <v>625</v>
      </c>
      <c r="AC5" s="99" t="s">
        <v>625</v>
      </c>
      <c r="AD5" s="98" t="s">
        <v>355</v>
      </c>
      <c r="AE5" s="100">
        <v>0.10410244249466445</v>
      </c>
      <c r="AF5" s="100">
        <v>0.27</v>
      </c>
      <c r="AG5" s="98">
        <v>260.8489447474508</v>
      </c>
      <c r="AH5" s="98" t="s">
        <v>625</v>
      </c>
      <c r="AI5" s="100">
        <v>0.011000000000000001</v>
      </c>
      <c r="AJ5" s="100">
        <v>0.615917</v>
      </c>
      <c r="AK5" s="100">
        <v>0.451613</v>
      </c>
      <c r="AL5" s="100">
        <v>0.521822</v>
      </c>
      <c r="AM5" s="100">
        <v>0.414063</v>
      </c>
      <c r="AN5" s="100">
        <v>0.475862</v>
      </c>
      <c r="AO5" s="98">
        <v>829.9739151055253</v>
      </c>
      <c r="AP5" s="158">
        <v>0.5956190109</v>
      </c>
      <c r="AQ5" s="100" t="s">
        <v>625</v>
      </c>
      <c r="AR5" s="100" t="s">
        <v>625</v>
      </c>
      <c r="AS5" s="98">
        <v>426.8437277685558</v>
      </c>
      <c r="AT5" s="98" t="s">
        <v>625</v>
      </c>
      <c r="AU5" s="98" t="s">
        <v>625</v>
      </c>
      <c r="AV5" s="98">
        <v>260.8489447474508</v>
      </c>
      <c r="AW5" s="98">
        <v>260.8489447474508</v>
      </c>
      <c r="AX5" s="98">
        <v>189.70832345269147</v>
      </c>
      <c r="AY5" s="98">
        <v>995.9686981266303</v>
      </c>
      <c r="AZ5" s="98">
        <v>260.8489447474508</v>
      </c>
      <c r="BA5" s="100" t="s">
        <v>625</v>
      </c>
      <c r="BB5" s="100" t="s">
        <v>625</v>
      </c>
      <c r="BC5" s="100" t="s">
        <v>625</v>
      </c>
      <c r="BD5" s="158">
        <v>0.41487045289999996</v>
      </c>
      <c r="BE5" s="158">
        <v>0.8283618164000001</v>
      </c>
      <c r="BF5" s="162">
        <v>289</v>
      </c>
      <c r="BG5" s="162">
        <v>31</v>
      </c>
      <c r="BH5" s="162">
        <v>1054</v>
      </c>
      <c r="BI5" s="162">
        <v>256</v>
      </c>
      <c r="BJ5" s="162">
        <v>145</v>
      </c>
      <c r="BK5" s="97"/>
      <c r="BL5" s="97"/>
      <c r="BM5" s="97"/>
      <c r="BN5" s="97"/>
    </row>
    <row r="6" spans="1:66" ht="12.75">
      <c r="A6" s="79" t="s">
        <v>581</v>
      </c>
      <c r="B6" s="79" t="s">
        <v>318</v>
      </c>
      <c r="C6" s="79" t="s">
        <v>229</v>
      </c>
      <c r="D6" s="99">
        <v>4961</v>
      </c>
      <c r="E6" s="99">
        <v>302</v>
      </c>
      <c r="F6" s="99" t="s">
        <v>376</v>
      </c>
      <c r="G6" s="99" t="s">
        <v>625</v>
      </c>
      <c r="H6" s="99" t="s">
        <v>625</v>
      </c>
      <c r="I6" s="99">
        <v>14</v>
      </c>
      <c r="J6" s="99">
        <v>116</v>
      </c>
      <c r="K6" s="99" t="s">
        <v>625</v>
      </c>
      <c r="L6" s="99">
        <v>539</v>
      </c>
      <c r="M6" s="99">
        <v>32</v>
      </c>
      <c r="N6" s="99">
        <v>17</v>
      </c>
      <c r="O6" s="99" t="s">
        <v>625</v>
      </c>
      <c r="P6" s="159" t="s">
        <v>625</v>
      </c>
      <c r="Q6" s="99" t="s">
        <v>625</v>
      </c>
      <c r="R6" s="99" t="s">
        <v>625</v>
      </c>
      <c r="S6" s="99" t="s">
        <v>625</v>
      </c>
      <c r="T6" s="99" t="s">
        <v>625</v>
      </c>
      <c r="U6" s="99" t="s">
        <v>625</v>
      </c>
      <c r="V6" s="99" t="s">
        <v>625</v>
      </c>
      <c r="W6" s="99" t="s">
        <v>625</v>
      </c>
      <c r="X6" s="99" t="s">
        <v>625</v>
      </c>
      <c r="Y6" s="99">
        <v>13</v>
      </c>
      <c r="Z6" s="99" t="s">
        <v>625</v>
      </c>
      <c r="AA6" s="99" t="s">
        <v>625</v>
      </c>
      <c r="AB6" s="99" t="s">
        <v>625</v>
      </c>
      <c r="AC6" s="99" t="s">
        <v>625</v>
      </c>
      <c r="AD6" s="98" t="s">
        <v>355</v>
      </c>
      <c r="AE6" s="100">
        <v>0.0608748236242693</v>
      </c>
      <c r="AF6" s="100">
        <v>0.44</v>
      </c>
      <c r="AG6" s="98" t="s">
        <v>625</v>
      </c>
      <c r="AH6" s="98" t="s">
        <v>625</v>
      </c>
      <c r="AI6" s="100">
        <v>0.003</v>
      </c>
      <c r="AJ6" s="100">
        <v>0.517857</v>
      </c>
      <c r="AK6" s="100" t="s">
        <v>625</v>
      </c>
      <c r="AL6" s="100">
        <v>0.534722</v>
      </c>
      <c r="AM6" s="100">
        <v>0.190476</v>
      </c>
      <c r="AN6" s="100">
        <v>0.165049</v>
      </c>
      <c r="AO6" s="98" t="s">
        <v>625</v>
      </c>
      <c r="AP6" s="158" t="s">
        <v>625</v>
      </c>
      <c r="AQ6" s="100" t="s">
        <v>625</v>
      </c>
      <c r="AR6" s="100" t="s">
        <v>625</v>
      </c>
      <c r="AS6" s="98" t="s">
        <v>625</v>
      </c>
      <c r="AT6" s="98" t="s">
        <v>625</v>
      </c>
      <c r="AU6" s="98" t="s">
        <v>625</v>
      </c>
      <c r="AV6" s="98" t="s">
        <v>625</v>
      </c>
      <c r="AW6" s="98" t="s">
        <v>625</v>
      </c>
      <c r="AX6" s="98" t="s">
        <v>625</v>
      </c>
      <c r="AY6" s="98">
        <v>262.0439427534771</v>
      </c>
      <c r="AZ6" s="98" t="s">
        <v>625</v>
      </c>
      <c r="BA6" s="100" t="s">
        <v>625</v>
      </c>
      <c r="BB6" s="100" t="s">
        <v>625</v>
      </c>
      <c r="BC6" s="100" t="s">
        <v>625</v>
      </c>
      <c r="BD6" s="158" t="s">
        <v>625</v>
      </c>
      <c r="BE6" s="158" t="s">
        <v>625</v>
      </c>
      <c r="BF6" s="162">
        <v>224</v>
      </c>
      <c r="BG6" s="162" t="s">
        <v>625</v>
      </c>
      <c r="BH6" s="162">
        <v>1008</v>
      </c>
      <c r="BI6" s="162">
        <v>168</v>
      </c>
      <c r="BJ6" s="162">
        <v>103</v>
      </c>
      <c r="BK6" s="97"/>
      <c r="BL6" s="97"/>
      <c r="BM6" s="97"/>
      <c r="BN6" s="97"/>
    </row>
    <row r="7" spans="1:66" ht="12.75">
      <c r="A7" s="79" t="s">
        <v>616</v>
      </c>
      <c r="B7" s="79" t="s">
        <v>354</v>
      </c>
      <c r="C7" s="79" t="s">
        <v>229</v>
      </c>
      <c r="D7" s="99">
        <v>5565</v>
      </c>
      <c r="E7" s="99">
        <v>240</v>
      </c>
      <c r="F7" s="99" t="s">
        <v>376</v>
      </c>
      <c r="G7" s="99" t="s">
        <v>625</v>
      </c>
      <c r="H7" s="99">
        <v>6</v>
      </c>
      <c r="I7" s="99">
        <v>12</v>
      </c>
      <c r="J7" s="99">
        <v>85</v>
      </c>
      <c r="K7" s="99" t="s">
        <v>625</v>
      </c>
      <c r="L7" s="99">
        <v>670</v>
      </c>
      <c r="M7" s="99">
        <v>20</v>
      </c>
      <c r="N7" s="99">
        <v>9</v>
      </c>
      <c r="O7" s="99">
        <v>22</v>
      </c>
      <c r="P7" s="159">
        <v>22</v>
      </c>
      <c r="Q7" s="99" t="s">
        <v>625</v>
      </c>
      <c r="R7" s="99" t="s">
        <v>625</v>
      </c>
      <c r="S7" s="99" t="s">
        <v>625</v>
      </c>
      <c r="T7" s="99" t="s">
        <v>625</v>
      </c>
      <c r="U7" s="99" t="s">
        <v>625</v>
      </c>
      <c r="V7" s="99" t="s">
        <v>625</v>
      </c>
      <c r="W7" s="99">
        <v>15</v>
      </c>
      <c r="X7" s="99">
        <v>14</v>
      </c>
      <c r="Y7" s="99">
        <v>69</v>
      </c>
      <c r="Z7" s="99">
        <v>18</v>
      </c>
      <c r="AA7" s="99" t="s">
        <v>625</v>
      </c>
      <c r="AB7" s="99" t="s">
        <v>625</v>
      </c>
      <c r="AC7" s="99" t="s">
        <v>625</v>
      </c>
      <c r="AD7" s="98" t="s">
        <v>355</v>
      </c>
      <c r="AE7" s="100">
        <v>0.0431266846361186</v>
      </c>
      <c r="AF7" s="100">
        <v>0.45</v>
      </c>
      <c r="AG7" s="98" t="s">
        <v>625</v>
      </c>
      <c r="AH7" s="98">
        <v>107.81671159029649</v>
      </c>
      <c r="AI7" s="100">
        <v>0.002</v>
      </c>
      <c r="AJ7" s="100">
        <v>0.400943</v>
      </c>
      <c r="AK7" s="100" t="s">
        <v>625</v>
      </c>
      <c r="AL7" s="100">
        <v>0.571672</v>
      </c>
      <c r="AM7" s="100">
        <v>0.137931</v>
      </c>
      <c r="AN7" s="100">
        <v>0.109756</v>
      </c>
      <c r="AO7" s="98">
        <v>395.32794249775384</v>
      </c>
      <c r="AP7" s="158">
        <v>0.4424040985</v>
      </c>
      <c r="AQ7" s="100" t="s">
        <v>625</v>
      </c>
      <c r="AR7" s="100" t="s">
        <v>625</v>
      </c>
      <c r="AS7" s="98" t="s">
        <v>625</v>
      </c>
      <c r="AT7" s="98" t="s">
        <v>625</v>
      </c>
      <c r="AU7" s="98" t="s">
        <v>625</v>
      </c>
      <c r="AV7" s="98" t="s">
        <v>625</v>
      </c>
      <c r="AW7" s="98">
        <v>269.54177897574124</v>
      </c>
      <c r="AX7" s="98">
        <v>251.57232704402514</v>
      </c>
      <c r="AY7" s="98">
        <v>1239.8921832884098</v>
      </c>
      <c r="AZ7" s="98">
        <v>323.45013477088946</v>
      </c>
      <c r="BA7" s="100" t="s">
        <v>625</v>
      </c>
      <c r="BB7" s="100" t="s">
        <v>625</v>
      </c>
      <c r="BC7" s="100" t="s">
        <v>625</v>
      </c>
      <c r="BD7" s="158">
        <v>0.27725227360000004</v>
      </c>
      <c r="BE7" s="158">
        <v>0.6698050689999999</v>
      </c>
      <c r="BF7" s="162">
        <v>212</v>
      </c>
      <c r="BG7" s="162" t="s">
        <v>625</v>
      </c>
      <c r="BH7" s="162">
        <v>1172</v>
      </c>
      <c r="BI7" s="162">
        <v>145</v>
      </c>
      <c r="BJ7" s="162">
        <v>82</v>
      </c>
      <c r="BK7" s="97"/>
      <c r="BL7" s="97"/>
      <c r="BM7" s="97"/>
      <c r="BN7" s="97"/>
    </row>
    <row r="8" spans="1:66" ht="12.75">
      <c r="A8" s="79" t="s">
        <v>614</v>
      </c>
      <c r="B8" s="79" t="s">
        <v>351</v>
      </c>
      <c r="C8" s="79" t="s">
        <v>229</v>
      </c>
      <c r="D8" s="99">
        <v>2050</v>
      </c>
      <c r="E8" s="99">
        <v>208</v>
      </c>
      <c r="F8" s="99" t="s">
        <v>376</v>
      </c>
      <c r="G8" s="99" t="s">
        <v>625</v>
      </c>
      <c r="H8" s="99" t="s">
        <v>625</v>
      </c>
      <c r="I8" s="99">
        <v>21</v>
      </c>
      <c r="J8" s="99">
        <v>84</v>
      </c>
      <c r="K8" s="99">
        <v>83</v>
      </c>
      <c r="L8" s="99">
        <v>247</v>
      </c>
      <c r="M8" s="99">
        <v>36</v>
      </c>
      <c r="N8" s="99">
        <v>21</v>
      </c>
      <c r="O8" s="99">
        <v>11</v>
      </c>
      <c r="P8" s="159">
        <v>11</v>
      </c>
      <c r="Q8" s="99" t="s">
        <v>625</v>
      </c>
      <c r="R8" s="99">
        <v>7</v>
      </c>
      <c r="S8" s="99" t="s">
        <v>625</v>
      </c>
      <c r="T8" s="99" t="s">
        <v>625</v>
      </c>
      <c r="U8" s="99" t="s">
        <v>625</v>
      </c>
      <c r="V8" s="99" t="s">
        <v>625</v>
      </c>
      <c r="W8" s="99" t="s">
        <v>625</v>
      </c>
      <c r="X8" s="99" t="s">
        <v>625</v>
      </c>
      <c r="Y8" s="99">
        <v>18</v>
      </c>
      <c r="Z8" s="99">
        <v>11</v>
      </c>
      <c r="AA8" s="99" t="s">
        <v>625</v>
      </c>
      <c r="AB8" s="99" t="s">
        <v>625</v>
      </c>
      <c r="AC8" s="99" t="s">
        <v>625</v>
      </c>
      <c r="AD8" s="98" t="s">
        <v>355</v>
      </c>
      <c r="AE8" s="100">
        <v>0.10146341463414635</v>
      </c>
      <c r="AF8" s="100">
        <v>0.4</v>
      </c>
      <c r="AG8" s="98" t="s">
        <v>625</v>
      </c>
      <c r="AH8" s="98" t="s">
        <v>625</v>
      </c>
      <c r="AI8" s="100">
        <v>0.01</v>
      </c>
      <c r="AJ8" s="100">
        <v>0.497041</v>
      </c>
      <c r="AK8" s="100">
        <v>0.494048</v>
      </c>
      <c r="AL8" s="100">
        <v>0.534632</v>
      </c>
      <c r="AM8" s="100">
        <v>0.285714</v>
      </c>
      <c r="AN8" s="100">
        <v>0.313433</v>
      </c>
      <c r="AO8" s="98">
        <v>536.5853658536586</v>
      </c>
      <c r="AP8" s="158">
        <v>0.38851676939999996</v>
      </c>
      <c r="AQ8" s="100" t="s">
        <v>625</v>
      </c>
      <c r="AR8" s="100" t="s">
        <v>625</v>
      </c>
      <c r="AS8" s="98" t="s">
        <v>625</v>
      </c>
      <c r="AT8" s="98" t="s">
        <v>625</v>
      </c>
      <c r="AU8" s="98" t="s">
        <v>625</v>
      </c>
      <c r="AV8" s="98" t="s">
        <v>625</v>
      </c>
      <c r="AW8" s="98" t="s">
        <v>625</v>
      </c>
      <c r="AX8" s="98" t="s">
        <v>625</v>
      </c>
      <c r="AY8" s="98">
        <v>878.0487804878048</v>
      </c>
      <c r="AZ8" s="98">
        <v>536.5853658536586</v>
      </c>
      <c r="BA8" s="100" t="s">
        <v>625</v>
      </c>
      <c r="BB8" s="100" t="s">
        <v>625</v>
      </c>
      <c r="BC8" s="100" t="s">
        <v>625</v>
      </c>
      <c r="BD8" s="158">
        <v>0.19394617079999998</v>
      </c>
      <c r="BE8" s="158">
        <v>0.6951638031</v>
      </c>
      <c r="BF8" s="162">
        <v>169</v>
      </c>
      <c r="BG8" s="162">
        <v>168</v>
      </c>
      <c r="BH8" s="162">
        <v>462</v>
      </c>
      <c r="BI8" s="162">
        <v>126</v>
      </c>
      <c r="BJ8" s="162">
        <v>67</v>
      </c>
      <c r="BK8" s="97"/>
      <c r="BL8" s="97"/>
      <c r="BM8" s="97"/>
      <c r="BN8" s="97"/>
    </row>
    <row r="9" spans="1:66" ht="12.75">
      <c r="A9" s="79" t="s">
        <v>599</v>
      </c>
      <c r="B9" s="79" t="s">
        <v>336</v>
      </c>
      <c r="C9" s="79" t="s">
        <v>229</v>
      </c>
      <c r="D9" s="99">
        <v>1686</v>
      </c>
      <c r="E9" s="99">
        <v>221</v>
      </c>
      <c r="F9" s="99" t="s">
        <v>376</v>
      </c>
      <c r="G9" s="99" t="s">
        <v>625</v>
      </c>
      <c r="H9" s="99" t="s">
        <v>625</v>
      </c>
      <c r="I9" s="99">
        <v>9</v>
      </c>
      <c r="J9" s="99">
        <v>73</v>
      </c>
      <c r="K9" s="99">
        <v>70</v>
      </c>
      <c r="L9" s="99">
        <v>279</v>
      </c>
      <c r="M9" s="99">
        <v>36</v>
      </c>
      <c r="N9" s="99">
        <v>21</v>
      </c>
      <c r="O9" s="99">
        <v>28</v>
      </c>
      <c r="P9" s="159">
        <v>28</v>
      </c>
      <c r="Q9" s="99" t="s">
        <v>625</v>
      </c>
      <c r="R9" s="99">
        <v>8</v>
      </c>
      <c r="S9" s="99" t="s">
        <v>625</v>
      </c>
      <c r="T9" s="99" t="s">
        <v>625</v>
      </c>
      <c r="U9" s="99" t="s">
        <v>625</v>
      </c>
      <c r="V9" s="99">
        <v>6</v>
      </c>
      <c r="W9" s="99">
        <v>6</v>
      </c>
      <c r="X9" s="99">
        <v>9</v>
      </c>
      <c r="Y9" s="99">
        <v>11</v>
      </c>
      <c r="Z9" s="99">
        <v>14</v>
      </c>
      <c r="AA9" s="99" t="s">
        <v>625</v>
      </c>
      <c r="AB9" s="99" t="s">
        <v>625</v>
      </c>
      <c r="AC9" s="99" t="s">
        <v>625</v>
      </c>
      <c r="AD9" s="98" t="s">
        <v>355</v>
      </c>
      <c r="AE9" s="100">
        <v>0.13107947805456702</v>
      </c>
      <c r="AF9" s="100">
        <v>0.43</v>
      </c>
      <c r="AG9" s="98" t="s">
        <v>625</v>
      </c>
      <c r="AH9" s="98" t="s">
        <v>625</v>
      </c>
      <c r="AI9" s="100">
        <v>0.005</v>
      </c>
      <c r="AJ9" s="100">
        <v>0.584</v>
      </c>
      <c r="AK9" s="100">
        <v>0.59322</v>
      </c>
      <c r="AL9" s="100">
        <v>0.770718</v>
      </c>
      <c r="AM9" s="100">
        <v>0.324324</v>
      </c>
      <c r="AN9" s="100">
        <v>0.368421</v>
      </c>
      <c r="AO9" s="98">
        <v>1660.73546856465</v>
      </c>
      <c r="AP9" s="158">
        <v>1.081104279</v>
      </c>
      <c r="AQ9" s="100" t="s">
        <v>625</v>
      </c>
      <c r="AR9" s="100" t="s">
        <v>625</v>
      </c>
      <c r="AS9" s="98" t="s">
        <v>625</v>
      </c>
      <c r="AT9" s="98" t="s">
        <v>625</v>
      </c>
      <c r="AU9" s="98" t="s">
        <v>625</v>
      </c>
      <c r="AV9" s="98">
        <v>355.87188612099646</v>
      </c>
      <c r="AW9" s="98">
        <v>355.87188612099646</v>
      </c>
      <c r="AX9" s="98">
        <v>533.8078291814946</v>
      </c>
      <c r="AY9" s="98">
        <v>652.4317912218268</v>
      </c>
      <c r="AZ9" s="98">
        <v>830.367734282325</v>
      </c>
      <c r="BA9" s="100" t="s">
        <v>625</v>
      </c>
      <c r="BB9" s="100" t="s">
        <v>625</v>
      </c>
      <c r="BC9" s="100" t="s">
        <v>625</v>
      </c>
      <c r="BD9" s="158">
        <v>0.7183859253</v>
      </c>
      <c r="BE9" s="158">
        <v>1.562496643</v>
      </c>
      <c r="BF9" s="162">
        <v>125</v>
      </c>
      <c r="BG9" s="162">
        <v>118</v>
      </c>
      <c r="BH9" s="162">
        <v>362</v>
      </c>
      <c r="BI9" s="162">
        <v>111</v>
      </c>
      <c r="BJ9" s="162">
        <v>57</v>
      </c>
      <c r="BK9" s="97"/>
      <c r="BL9" s="97"/>
      <c r="BM9" s="97"/>
      <c r="BN9" s="97"/>
    </row>
    <row r="10" spans="1:66" ht="12.75">
      <c r="A10" s="79" t="s">
        <v>577</v>
      </c>
      <c r="B10" s="79" t="s">
        <v>314</v>
      </c>
      <c r="C10" s="79" t="s">
        <v>229</v>
      </c>
      <c r="D10" s="99">
        <v>5444</v>
      </c>
      <c r="E10" s="99">
        <v>859</v>
      </c>
      <c r="F10" s="99" t="s">
        <v>376</v>
      </c>
      <c r="G10" s="99">
        <v>32</v>
      </c>
      <c r="H10" s="99">
        <v>16</v>
      </c>
      <c r="I10" s="99">
        <v>109</v>
      </c>
      <c r="J10" s="99">
        <v>428</v>
      </c>
      <c r="K10" s="99">
        <v>371</v>
      </c>
      <c r="L10" s="99">
        <v>947</v>
      </c>
      <c r="M10" s="99">
        <v>262</v>
      </c>
      <c r="N10" s="99">
        <v>139</v>
      </c>
      <c r="O10" s="99">
        <v>82</v>
      </c>
      <c r="P10" s="159">
        <v>82</v>
      </c>
      <c r="Q10" s="99">
        <v>16</v>
      </c>
      <c r="R10" s="99">
        <v>41</v>
      </c>
      <c r="S10" s="99">
        <v>19</v>
      </c>
      <c r="T10" s="99">
        <v>11</v>
      </c>
      <c r="U10" s="99" t="s">
        <v>625</v>
      </c>
      <c r="V10" s="99">
        <v>9</v>
      </c>
      <c r="W10" s="99">
        <v>24</v>
      </c>
      <c r="X10" s="99">
        <v>22</v>
      </c>
      <c r="Y10" s="99">
        <v>73</v>
      </c>
      <c r="Z10" s="99">
        <v>29</v>
      </c>
      <c r="AA10" s="99" t="s">
        <v>625</v>
      </c>
      <c r="AB10" s="99" t="s">
        <v>625</v>
      </c>
      <c r="AC10" s="99" t="s">
        <v>625</v>
      </c>
      <c r="AD10" s="98" t="s">
        <v>355</v>
      </c>
      <c r="AE10" s="100">
        <v>0.15778839088905217</v>
      </c>
      <c r="AF10" s="100">
        <v>0.26</v>
      </c>
      <c r="AG10" s="98">
        <v>587.8030859662014</v>
      </c>
      <c r="AH10" s="98">
        <v>293.9015429831007</v>
      </c>
      <c r="AI10" s="100">
        <v>0.02</v>
      </c>
      <c r="AJ10" s="100">
        <v>0.709784</v>
      </c>
      <c r="AK10" s="100">
        <v>0.635274</v>
      </c>
      <c r="AL10" s="100">
        <v>0.739266</v>
      </c>
      <c r="AM10" s="100">
        <v>0.484288</v>
      </c>
      <c r="AN10" s="100">
        <v>0.476027</v>
      </c>
      <c r="AO10" s="98">
        <v>1506.2454077883908</v>
      </c>
      <c r="AP10" s="158">
        <v>0.8491711426</v>
      </c>
      <c r="AQ10" s="100">
        <v>0.1951219512195122</v>
      </c>
      <c r="AR10" s="100">
        <v>0.3902439024390244</v>
      </c>
      <c r="AS10" s="98">
        <v>349.00808229243205</v>
      </c>
      <c r="AT10" s="98">
        <v>202.0573108008817</v>
      </c>
      <c r="AU10" s="98" t="s">
        <v>625</v>
      </c>
      <c r="AV10" s="98">
        <v>165.31961792799413</v>
      </c>
      <c r="AW10" s="98">
        <v>440.852314474651</v>
      </c>
      <c r="AX10" s="98">
        <v>404.1146216017634</v>
      </c>
      <c r="AY10" s="98">
        <v>1340.9257898603967</v>
      </c>
      <c r="AZ10" s="98">
        <v>532.6965466568699</v>
      </c>
      <c r="BA10" s="101" t="s">
        <v>625</v>
      </c>
      <c r="BB10" s="101" t="s">
        <v>625</v>
      </c>
      <c r="BC10" s="101" t="s">
        <v>625</v>
      </c>
      <c r="BD10" s="158">
        <v>0.6753710175000001</v>
      </c>
      <c r="BE10" s="158">
        <v>1.054045258</v>
      </c>
      <c r="BF10" s="162">
        <v>603</v>
      </c>
      <c r="BG10" s="162">
        <v>584</v>
      </c>
      <c r="BH10" s="162">
        <v>1281</v>
      </c>
      <c r="BI10" s="162">
        <v>541</v>
      </c>
      <c r="BJ10" s="162">
        <v>292</v>
      </c>
      <c r="BK10" s="97"/>
      <c r="BL10" s="97"/>
      <c r="BM10" s="97"/>
      <c r="BN10" s="97"/>
    </row>
    <row r="11" spans="1:66" ht="12.75">
      <c r="A11" s="79" t="s">
        <v>544</v>
      </c>
      <c r="B11" s="79" t="s">
        <v>282</v>
      </c>
      <c r="C11" s="79" t="s">
        <v>229</v>
      </c>
      <c r="D11" s="99">
        <v>4411</v>
      </c>
      <c r="E11" s="99">
        <v>587</v>
      </c>
      <c r="F11" s="99" t="s">
        <v>376</v>
      </c>
      <c r="G11" s="99">
        <v>25</v>
      </c>
      <c r="H11" s="99">
        <v>11</v>
      </c>
      <c r="I11" s="99">
        <v>75</v>
      </c>
      <c r="J11" s="99">
        <v>276</v>
      </c>
      <c r="K11" s="99">
        <v>229</v>
      </c>
      <c r="L11" s="99">
        <v>788</v>
      </c>
      <c r="M11" s="99">
        <v>130</v>
      </c>
      <c r="N11" s="99">
        <v>67</v>
      </c>
      <c r="O11" s="99">
        <v>68</v>
      </c>
      <c r="P11" s="159">
        <v>68</v>
      </c>
      <c r="Q11" s="99" t="s">
        <v>625</v>
      </c>
      <c r="R11" s="99">
        <v>20</v>
      </c>
      <c r="S11" s="99">
        <v>23</v>
      </c>
      <c r="T11" s="99" t="s">
        <v>625</v>
      </c>
      <c r="U11" s="99" t="s">
        <v>625</v>
      </c>
      <c r="V11" s="99">
        <v>17</v>
      </c>
      <c r="W11" s="99">
        <v>29</v>
      </c>
      <c r="X11" s="99">
        <v>17</v>
      </c>
      <c r="Y11" s="99">
        <v>51</v>
      </c>
      <c r="Z11" s="99">
        <v>24</v>
      </c>
      <c r="AA11" s="99" t="s">
        <v>625</v>
      </c>
      <c r="AB11" s="99" t="s">
        <v>625</v>
      </c>
      <c r="AC11" s="99" t="s">
        <v>625</v>
      </c>
      <c r="AD11" s="98" t="s">
        <v>355</v>
      </c>
      <c r="AE11" s="100">
        <v>0.1330763999093176</v>
      </c>
      <c r="AF11" s="100">
        <v>0.31</v>
      </c>
      <c r="AG11" s="98">
        <v>566.7649059170257</v>
      </c>
      <c r="AH11" s="98">
        <v>249.37655860349128</v>
      </c>
      <c r="AI11" s="100">
        <v>0.017</v>
      </c>
      <c r="AJ11" s="100">
        <v>0.69697</v>
      </c>
      <c r="AK11" s="100">
        <v>0.610667</v>
      </c>
      <c r="AL11" s="100">
        <v>0.766537</v>
      </c>
      <c r="AM11" s="100">
        <v>0.382353</v>
      </c>
      <c r="AN11" s="100">
        <v>0.358289</v>
      </c>
      <c r="AO11" s="98">
        <v>1541.6005440943097</v>
      </c>
      <c r="AP11" s="158">
        <v>0.9345668793</v>
      </c>
      <c r="AQ11" s="100" t="s">
        <v>625</v>
      </c>
      <c r="AR11" s="100" t="s">
        <v>625</v>
      </c>
      <c r="AS11" s="98">
        <v>521.4237134436636</v>
      </c>
      <c r="AT11" s="98" t="s">
        <v>625</v>
      </c>
      <c r="AU11" s="98" t="s">
        <v>625</v>
      </c>
      <c r="AV11" s="98">
        <v>385.40013602357743</v>
      </c>
      <c r="AW11" s="98">
        <v>657.4472908637497</v>
      </c>
      <c r="AX11" s="98">
        <v>385.40013602357743</v>
      </c>
      <c r="AY11" s="98">
        <v>1156.2004080707322</v>
      </c>
      <c r="AZ11" s="98">
        <v>544.0943096803446</v>
      </c>
      <c r="BA11" s="100" t="s">
        <v>625</v>
      </c>
      <c r="BB11" s="100" t="s">
        <v>625</v>
      </c>
      <c r="BC11" s="100" t="s">
        <v>625</v>
      </c>
      <c r="BD11" s="158">
        <v>0.7257277679</v>
      </c>
      <c r="BE11" s="158">
        <v>1.184786224</v>
      </c>
      <c r="BF11" s="162">
        <v>396</v>
      </c>
      <c r="BG11" s="162">
        <v>375</v>
      </c>
      <c r="BH11" s="162">
        <v>1028</v>
      </c>
      <c r="BI11" s="162">
        <v>340</v>
      </c>
      <c r="BJ11" s="162">
        <v>187</v>
      </c>
      <c r="BK11" s="97"/>
      <c r="BL11" s="97"/>
      <c r="BM11" s="97"/>
      <c r="BN11" s="97"/>
    </row>
    <row r="12" spans="1:66" ht="12.75">
      <c r="A12" s="79" t="s">
        <v>548</v>
      </c>
      <c r="B12" s="79" t="s">
        <v>286</v>
      </c>
      <c r="C12" s="79" t="s">
        <v>229</v>
      </c>
      <c r="D12" s="99">
        <v>3133</v>
      </c>
      <c r="E12" s="99">
        <v>474</v>
      </c>
      <c r="F12" s="99" t="s">
        <v>376</v>
      </c>
      <c r="G12" s="99">
        <v>20</v>
      </c>
      <c r="H12" s="99">
        <v>11</v>
      </c>
      <c r="I12" s="99">
        <v>52</v>
      </c>
      <c r="J12" s="99">
        <v>234</v>
      </c>
      <c r="K12" s="99">
        <v>232</v>
      </c>
      <c r="L12" s="99">
        <v>443</v>
      </c>
      <c r="M12" s="99">
        <v>142</v>
      </c>
      <c r="N12" s="99">
        <v>67</v>
      </c>
      <c r="O12" s="99">
        <v>33</v>
      </c>
      <c r="P12" s="159">
        <v>33</v>
      </c>
      <c r="Q12" s="99" t="s">
        <v>625</v>
      </c>
      <c r="R12" s="99">
        <v>22</v>
      </c>
      <c r="S12" s="99">
        <v>8</v>
      </c>
      <c r="T12" s="99" t="s">
        <v>625</v>
      </c>
      <c r="U12" s="99" t="s">
        <v>625</v>
      </c>
      <c r="V12" s="99" t="s">
        <v>625</v>
      </c>
      <c r="W12" s="99">
        <v>7</v>
      </c>
      <c r="X12" s="99">
        <v>6</v>
      </c>
      <c r="Y12" s="99">
        <v>34</v>
      </c>
      <c r="Z12" s="99">
        <v>33</v>
      </c>
      <c r="AA12" s="99" t="s">
        <v>625</v>
      </c>
      <c r="AB12" s="99" t="s">
        <v>625</v>
      </c>
      <c r="AC12" s="99" t="s">
        <v>625</v>
      </c>
      <c r="AD12" s="98" t="s">
        <v>355</v>
      </c>
      <c r="AE12" s="100">
        <v>0.15129269071177784</v>
      </c>
      <c r="AF12" s="100">
        <v>0.34</v>
      </c>
      <c r="AG12" s="98">
        <v>638.3657835939994</v>
      </c>
      <c r="AH12" s="98">
        <v>351.10118097669965</v>
      </c>
      <c r="AI12" s="100">
        <v>0.017</v>
      </c>
      <c r="AJ12" s="100">
        <v>0.666667</v>
      </c>
      <c r="AK12" s="100">
        <v>0.674419</v>
      </c>
      <c r="AL12" s="100">
        <v>0.611034</v>
      </c>
      <c r="AM12" s="100">
        <v>0.416422</v>
      </c>
      <c r="AN12" s="100">
        <v>0.374302</v>
      </c>
      <c r="AO12" s="98">
        <v>1053.303542930099</v>
      </c>
      <c r="AP12" s="158">
        <v>0.635848465</v>
      </c>
      <c r="AQ12" s="100" t="s">
        <v>625</v>
      </c>
      <c r="AR12" s="100" t="s">
        <v>625</v>
      </c>
      <c r="AS12" s="98">
        <v>255.34631343759975</v>
      </c>
      <c r="AT12" s="98" t="s">
        <v>625</v>
      </c>
      <c r="AU12" s="98" t="s">
        <v>625</v>
      </c>
      <c r="AV12" s="98" t="s">
        <v>625</v>
      </c>
      <c r="AW12" s="98">
        <v>223.42802425789978</v>
      </c>
      <c r="AX12" s="98">
        <v>191.5097350781998</v>
      </c>
      <c r="AY12" s="98">
        <v>1085.221832109799</v>
      </c>
      <c r="AZ12" s="98">
        <v>1053.303542930099</v>
      </c>
      <c r="BA12" s="100" t="s">
        <v>625</v>
      </c>
      <c r="BB12" s="100" t="s">
        <v>625</v>
      </c>
      <c r="BC12" s="100" t="s">
        <v>625</v>
      </c>
      <c r="BD12" s="158">
        <v>0.43768882750000004</v>
      </c>
      <c r="BE12" s="158">
        <v>0.8929676819</v>
      </c>
      <c r="BF12" s="162">
        <v>351</v>
      </c>
      <c r="BG12" s="162">
        <v>344</v>
      </c>
      <c r="BH12" s="162">
        <v>725</v>
      </c>
      <c r="BI12" s="162">
        <v>341</v>
      </c>
      <c r="BJ12" s="162">
        <v>179</v>
      </c>
      <c r="BK12" s="97"/>
      <c r="BL12" s="97"/>
      <c r="BM12" s="97"/>
      <c r="BN12" s="97"/>
    </row>
    <row r="13" spans="1:66" ht="12.75">
      <c r="A13" s="79" t="s">
        <v>576</v>
      </c>
      <c r="B13" s="79" t="s">
        <v>313</v>
      </c>
      <c r="C13" s="79" t="s">
        <v>229</v>
      </c>
      <c r="D13" s="99">
        <v>5361</v>
      </c>
      <c r="E13" s="99">
        <v>530</v>
      </c>
      <c r="F13" s="99" t="s">
        <v>376</v>
      </c>
      <c r="G13" s="99">
        <v>11</v>
      </c>
      <c r="H13" s="99" t="s">
        <v>625</v>
      </c>
      <c r="I13" s="99">
        <v>71</v>
      </c>
      <c r="J13" s="99">
        <v>226</v>
      </c>
      <c r="K13" s="99">
        <v>21</v>
      </c>
      <c r="L13" s="99">
        <v>869</v>
      </c>
      <c r="M13" s="99">
        <v>140</v>
      </c>
      <c r="N13" s="99">
        <v>79</v>
      </c>
      <c r="O13" s="99">
        <v>34</v>
      </c>
      <c r="P13" s="159">
        <v>34</v>
      </c>
      <c r="Q13" s="99" t="s">
        <v>625</v>
      </c>
      <c r="R13" s="99">
        <v>9</v>
      </c>
      <c r="S13" s="99">
        <v>14</v>
      </c>
      <c r="T13" s="99" t="s">
        <v>625</v>
      </c>
      <c r="U13" s="99" t="s">
        <v>625</v>
      </c>
      <c r="V13" s="99">
        <v>6</v>
      </c>
      <c r="W13" s="99">
        <v>23</v>
      </c>
      <c r="X13" s="99">
        <v>14</v>
      </c>
      <c r="Y13" s="99">
        <v>25</v>
      </c>
      <c r="Z13" s="99">
        <v>14</v>
      </c>
      <c r="AA13" s="99" t="s">
        <v>625</v>
      </c>
      <c r="AB13" s="99" t="s">
        <v>625</v>
      </c>
      <c r="AC13" s="99" t="s">
        <v>625</v>
      </c>
      <c r="AD13" s="98" t="s">
        <v>355</v>
      </c>
      <c r="AE13" s="100">
        <v>0.09886215258347324</v>
      </c>
      <c r="AF13" s="100">
        <v>0.33</v>
      </c>
      <c r="AG13" s="98">
        <v>205.18559970154823</v>
      </c>
      <c r="AH13" s="98" t="s">
        <v>625</v>
      </c>
      <c r="AI13" s="100">
        <v>0.013000000000000001</v>
      </c>
      <c r="AJ13" s="100">
        <v>0.51954</v>
      </c>
      <c r="AK13" s="100">
        <v>0.583333</v>
      </c>
      <c r="AL13" s="100">
        <v>0.699678</v>
      </c>
      <c r="AM13" s="100">
        <v>0.394366</v>
      </c>
      <c r="AN13" s="100">
        <v>0.401015</v>
      </c>
      <c r="AO13" s="98">
        <v>634.210035441149</v>
      </c>
      <c r="AP13" s="158">
        <v>0.44914699550000003</v>
      </c>
      <c r="AQ13" s="100" t="s">
        <v>625</v>
      </c>
      <c r="AR13" s="100" t="s">
        <v>625</v>
      </c>
      <c r="AS13" s="98">
        <v>261.1453087110614</v>
      </c>
      <c r="AT13" s="98" t="s">
        <v>625</v>
      </c>
      <c r="AU13" s="98" t="s">
        <v>625</v>
      </c>
      <c r="AV13" s="98">
        <v>111.9194180190263</v>
      </c>
      <c r="AW13" s="98">
        <v>429.02443573960085</v>
      </c>
      <c r="AX13" s="98">
        <v>261.1453087110614</v>
      </c>
      <c r="AY13" s="98">
        <v>466.3309084126096</v>
      </c>
      <c r="AZ13" s="98">
        <v>261.1453087110614</v>
      </c>
      <c r="BA13" s="100" t="s">
        <v>625</v>
      </c>
      <c r="BB13" s="100" t="s">
        <v>625</v>
      </c>
      <c r="BC13" s="100" t="s">
        <v>625</v>
      </c>
      <c r="BD13" s="158">
        <v>0.3110473442</v>
      </c>
      <c r="BE13" s="158">
        <v>0.6276379013</v>
      </c>
      <c r="BF13" s="162">
        <v>435</v>
      </c>
      <c r="BG13" s="162">
        <v>36</v>
      </c>
      <c r="BH13" s="162">
        <v>1242</v>
      </c>
      <c r="BI13" s="162">
        <v>355</v>
      </c>
      <c r="BJ13" s="162">
        <v>197</v>
      </c>
      <c r="BK13" s="97"/>
      <c r="BL13" s="97"/>
      <c r="BM13" s="97"/>
      <c r="BN13" s="97"/>
    </row>
    <row r="14" spans="1:66" ht="12.75">
      <c r="A14" s="79" t="s">
        <v>556</v>
      </c>
      <c r="B14" s="79" t="s">
        <v>295</v>
      </c>
      <c r="C14" s="79" t="s">
        <v>229</v>
      </c>
      <c r="D14" s="99">
        <v>11372</v>
      </c>
      <c r="E14" s="99">
        <v>2270</v>
      </c>
      <c r="F14" s="99" t="s">
        <v>375</v>
      </c>
      <c r="G14" s="99">
        <v>54</v>
      </c>
      <c r="H14" s="99">
        <v>59</v>
      </c>
      <c r="I14" s="99">
        <v>252</v>
      </c>
      <c r="J14" s="99">
        <v>1038</v>
      </c>
      <c r="K14" s="99">
        <v>304</v>
      </c>
      <c r="L14" s="99">
        <v>2104</v>
      </c>
      <c r="M14" s="99">
        <v>721</v>
      </c>
      <c r="N14" s="99">
        <v>410</v>
      </c>
      <c r="O14" s="99">
        <v>269</v>
      </c>
      <c r="P14" s="159">
        <v>269</v>
      </c>
      <c r="Q14" s="99">
        <v>28</v>
      </c>
      <c r="R14" s="99">
        <v>75</v>
      </c>
      <c r="S14" s="99">
        <v>68</v>
      </c>
      <c r="T14" s="99">
        <v>44</v>
      </c>
      <c r="U14" s="99">
        <v>6</v>
      </c>
      <c r="V14" s="99">
        <v>42</v>
      </c>
      <c r="W14" s="99">
        <v>75</v>
      </c>
      <c r="X14" s="99">
        <v>48</v>
      </c>
      <c r="Y14" s="99">
        <v>134</v>
      </c>
      <c r="Z14" s="99">
        <v>106</v>
      </c>
      <c r="AA14" s="99" t="s">
        <v>625</v>
      </c>
      <c r="AB14" s="99" t="s">
        <v>625</v>
      </c>
      <c r="AC14" s="99" t="s">
        <v>625</v>
      </c>
      <c r="AD14" s="98" t="s">
        <v>355</v>
      </c>
      <c r="AE14" s="100">
        <v>0.19961308476960957</v>
      </c>
      <c r="AF14" s="100">
        <v>0.2</v>
      </c>
      <c r="AG14" s="98">
        <v>474.8505100246219</v>
      </c>
      <c r="AH14" s="98">
        <v>518.8181498417165</v>
      </c>
      <c r="AI14" s="100">
        <v>0.022000000000000002</v>
      </c>
      <c r="AJ14" s="100">
        <v>0.718339</v>
      </c>
      <c r="AK14" s="100">
        <v>0.783505</v>
      </c>
      <c r="AL14" s="100">
        <v>0.770978</v>
      </c>
      <c r="AM14" s="100">
        <v>0.542922</v>
      </c>
      <c r="AN14" s="100">
        <v>0.584046</v>
      </c>
      <c r="AO14" s="98">
        <v>2365.4590221596904</v>
      </c>
      <c r="AP14" s="158">
        <v>1.170943298</v>
      </c>
      <c r="AQ14" s="100">
        <v>0.10408921933085502</v>
      </c>
      <c r="AR14" s="100">
        <v>0.37333333333333335</v>
      </c>
      <c r="AS14" s="98">
        <v>597.9599015124868</v>
      </c>
      <c r="AT14" s="98">
        <v>386.91523039043267</v>
      </c>
      <c r="AU14" s="98">
        <v>52.76116778051354</v>
      </c>
      <c r="AV14" s="98">
        <v>369.3281744635948</v>
      </c>
      <c r="AW14" s="98">
        <v>659.5145972564193</v>
      </c>
      <c r="AX14" s="98">
        <v>422.0893422441083</v>
      </c>
      <c r="AY14" s="98">
        <v>1178.3327470981358</v>
      </c>
      <c r="AZ14" s="98">
        <v>932.113964122406</v>
      </c>
      <c r="BA14" s="100" t="s">
        <v>625</v>
      </c>
      <c r="BB14" s="100" t="s">
        <v>625</v>
      </c>
      <c r="BC14" s="100" t="s">
        <v>625</v>
      </c>
      <c r="BD14" s="158">
        <v>1.035181656</v>
      </c>
      <c r="BE14" s="158">
        <v>1.319561462</v>
      </c>
      <c r="BF14" s="162">
        <v>1445</v>
      </c>
      <c r="BG14" s="162">
        <v>388</v>
      </c>
      <c r="BH14" s="162">
        <v>2729</v>
      </c>
      <c r="BI14" s="162">
        <v>1328</v>
      </c>
      <c r="BJ14" s="162">
        <v>702</v>
      </c>
      <c r="BK14" s="97"/>
      <c r="BL14" s="97"/>
      <c r="BM14" s="97"/>
      <c r="BN14" s="97"/>
    </row>
    <row r="15" spans="1:66" ht="12.75">
      <c r="A15" s="79" t="s">
        <v>613</v>
      </c>
      <c r="B15" s="79" t="s">
        <v>350</v>
      </c>
      <c r="C15" s="79" t="s">
        <v>229</v>
      </c>
      <c r="D15" s="99">
        <v>2007</v>
      </c>
      <c r="E15" s="99">
        <v>521</v>
      </c>
      <c r="F15" s="99" t="s">
        <v>378</v>
      </c>
      <c r="G15" s="99">
        <v>18</v>
      </c>
      <c r="H15" s="99">
        <v>9</v>
      </c>
      <c r="I15" s="99">
        <v>49</v>
      </c>
      <c r="J15" s="99">
        <v>217</v>
      </c>
      <c r="K15" s="99">
        <v>37</v>
      </c>
      <c r="L15" s="99">
        <v>387</v>
      </c>
      <c r="M15" s="99">
        <v>145</v>
      </c>
      <c r="N15" s="99">
        <v>68</v>
      </c>
      <c r="O15" s="99">
        <v>27</v>
      </c>
      <c r="P15" s="159">
        <v>27</v>
      </c>
      <c r="Q15" s="99" t="s">
        <v>625</v>
      </c>
      <c r="R15" s="99">
        <v>9</v>
      </c>
      <c r="S15" s="99" t="s">
        <v>625</v>
      </c>
      <c r="T15" s="99" t="s">
        <v>625</v>
      </c>
      <c r="U15" s="99" t="s">
        <v>625</v>
      </c>
      <c r="V15" s="99" t="s">
        <v>625</v>
      </c>
      <c r="W15" s="99">
        <v>6</v>
      </c>
      <c r="X15" s="99">
        <v>11</v>
      </c>
      <c r="Y15" s="99">
        <v>21</v>
      </c>
      <c r="Z15" s="99">
        <v>15</v>
      </c>
      <c r="AA15" s="99" t="s">
        <v>625</v>
      </c>
      <c r="AB15" s="99" t="s">
        <v>625</v>
      </c>
      <c r="AC15" s="99" t="s">
        <v>625</v>
      </c>
      <c r="AD15" s="98" t="s">
        <v>355</v>
      </c>
      <c r="AE15" s="100">
        <v>0.25959142999501744</v>
      </c>
      <c r="AF15" s="100">
        <v>0.17</v>
      </c>
      <c r="AG15" s="98">
        <v>896.8609865470852</v>
      </c>
      <c r="AH15" s="98">
        <v>448.4304932735426</v>
      </c>
      <c r="AI15" s="100">
        <v>0.024</v>
      </c>
      <c r="AJ15" s="100">
        <v>0.728188</v>
      </c>
      <c r="AK15" s="100">
        <v>0.860465</v>
      </c>
      <c r="AL15" s="100">
        <v>0.816456</v>
      </c>
      <c r="AM15" s="100">
        <v>0.491525</v>
      </c>
      <c r="AN15" s="100">
        <v>0.475524</v>
      </c>
      <c r="AO15" s="98">
        <v>1345.2914798206277</v>
      </c>
      <c r="AP15" s="158">
        <v>0.5715240479</v>
      </c>
      <c r="AQ15" s="100" t="s">
        <v>625</v>
      </c>
      <c r="AR15" s="100" t="s">
        <v>625</v>
      </c>
      <c r="AS15" s="98" t="s">
        <v>625</v>
      </c>
      <c r="AT15" s="98" t="s">
        <v>625</v>
      </c>
      <c r="AU15" s="98" t="s">
        <v>625</v>
      </c>
      <c r="AV15" s="98" t="s">
        <v>625</v>
      </c>
      <c r="AW15" s="98">
        <v>298.9536621823617</v>
      </c>
      <c r="AX15" s="98">
        <v>548.0817140009965</v>
      </c>
      <c r="AY15" s="98">
        <v>1046.337817638266</v>
      </c>
      <c r="AZ15" s="98">
        <v>747.3841554559043</v>
      </c>
      <c r="BA15" s="100" t="s">
        <v>625</v>
      </c>
      <c r="BB15" s="100" t="s">
        <v>625</v>
      </c>
      <c r="BC15" s="100" t="s">
        <v>625</v>
      </c>
      <c r="BD15" s="158">
        <v>0.37663795469999994</v>
      </c>
      <c r="BE15" s="158">
        <v>0.8315374756</v>
      </c>
      <c r="BF15" s="162">
        <v>298</v>
      </c>
      <c r="BG15" s="162">
        <v>43</v>
      </c>
      <c r="BH15" s="162">
        <v>474</v>
      </c>
      <c r="BI15" s="162">
        <v>295</v>
      </c>
      <c r="BJ15" s="162">
        <v>143</v>
      </c>
      <c r="BK15" s="97"/>
      <c r="BL15" s="97"/>
      <c r="BM15" s="97"/>
      <c r="BN15" s="97"/>
    </row>
    <row r="16" spans="1:66" ht="12.75">
      <c r="A16" s="79" t="s">
        <v>592</v>
      </c>
      <c r="B16" s="79" t="s">
        <v>329</v>
      </c>
      <c r="C16" s="79" t="s">
        <v>229</v>
      </c>
      <c r="D16" s="99">
        <v>2119</v>
      </c>
      <c r="E16" s="99">
        <v>123</v>
      </c>
      <c r="F16" s="99" t="s">
        <v>376</v>
      </c>
      <c r="G16" s="99" t="s">
        <v>625</v>
      </c>
      <c r="H16" s="99" t="s">
        <v>625</v>
      </c>
      <c r="I16" s="99">
        <v>14</v>
      </c>
      <c r="J16" s="99">
        <v>42</v>
      </c>
      <c r="K16" s="99" t="s">
        <v>625</v>
      </c>
      <c r="L16" s="99">
        <v>182</v>
      </c>
      <c r="M16" s="99">
        <v>24</v>
      </c>
      <c r="N16" s="99">
        <v>16</v>
      </c>
      <c r="O16" s="99" t="s">
        <v>625</v>
      </c>
      <c r="P16" s="159" t="s">
        <v>625</v>
      </c>
      <c r="Q16" s="99" t="s">
        <v>625</v>
      </c>
      <c r="R16" s="99" t="s">
        <v>625</v>
      </c>
      <c r="S16" s="99" t="s">
        <v>625</v>
      </c>
      <c r="T16" s="99" t="s">
        <v>625</v>
      </c>
      <c r="U16" s="99" t="s">
        <v>625</v>
      </c>
      <c r="V16" s="99" t="s">
        <v>625</v>
      </c>
      <c r="W16" s="99" t="s">
        <v>625</v>
      </c>
      <c r="X16" s="99" t="s">
        <v>625</v>
      </c>
      <c r="Y16" s="99" t="s">
        <v>625</v>
      </c>
      <c r="Z16" s="99">
        <v>6</v>
      </c>
      <c r="AA16" s="99" t="s">
        <v>625</v>
      </c>
      <c r="AB16" s="99" t="s">
        <v>625</v>
      </c>
      <c r="AC16" s="99" t="s">
        <v>625</v>
      </c>
      <c r="AD16" s="98" t="s">
        <v>355</v>
      </c>
      <c r="AE16" s="100">
        <v>0.05804624823029731</v>
      </c>
      <c r="AF16" s="100">
        <v>0.42</v>
      </c>
      <c r="AG16" s="98" t="s">
        <v>625</v>
      </c>
      <c r="AH16" s="98" t="s">
        <v>625</v>
      </c>
      <c r="AI16" s="100">
        <v>0.006999999999999999</v>
      </c>
      <c r="AJ16" s="100">
        <v>0.325581</v>
      </c>
      <c r="AK16" s="100" t="s">
        <v>625</v>
      </c>
      <c r="AL16" s="100">
        <v>0.413636</v>
      </c>
      <c r="AM16" s="100">
        <v>0.208696</v>
      </c>
      <c r="AN16" s="100">
        <v>0.213333</v>
      </c>
      <c r="AO16" s="98" t="s">
        <v>625</v>
      </c>
      <c r="AP16" s="158" t="s">
        <v>625</v>
      </c>
      <c r="AQ16" s="100" t="s">
        <v>625</v>
      </c>
      <c r="AR16" s="100" t="s">
        <v>625</v>
      </c>
      <c r="AS16" s="98" t="s">
        <v>625</v>
      </c>
      <c r="AT16" s="98" t="s">
        <v>625</v>
      </c>
      <c r="AU16" s="98" t="s">
        <v>625</v>
      </c>
      <c r="AV16" s="98" t="s">
        <v>625</v>
      </c>
      <c r="AW16" s="98" t="s">
        <v>625</v>
      </c>
      <c r="AX16" s="98" t="s">
        <v>625</v>
      </c>
      <c r="AY16" s="98" t="s">
        <v>625</v>
      </c>
      <c r="AZ16" s="98">
        <v>283.15243039169417</v>
      </c>
      <c r="BA16" s="101" t="s">
        <v>625</v>
      </c>
      <c r="BB16" s="101" t="s">
        <v>625</v>
      </c>
      <c r="BC16" s="101" t="s">
        <v>625</v>
      </c>
      <c r="BD16" s="158" t="s">
        <v>625</v>
      </c>
      <c r="BE16" s="158" t="s">
        <v>625</v>
      </c>
      <c r="BF16" s="162">
        <v>129</v>
      </c>
      <c r="BG16" s="162" t="s">
        <v>625</v>
      </c>
      <c r="BH16" s="162">
        <v>440</v>
      </c>
      <c r="BI16" s="162">
        <v>115</v>
      </c>
      <c r="BJ16" s="162">
        <v>75</v>
      </c>
      <c r="BK16" s="97"/>
      <c r="BL16" s="97"/>
      <c r="BM16" s="97"/>
      <c r="BN16" s="97"/>
    </row>
    <row r="17" spans="1:66" ht="12.75">
      <c r="A17" s="79" t="s">
        <v>570</v>
      </c>
      <c r="B17" s="79" t="s">
        <v>307</v>
      </c>
      <c r="C17" s="79" t="s">
        <v>229</v>
      </c>
      <c r="D17" s="99">
        <v>1879</v>
      </c>
      <c r="E17" s="99">
        <v>373</v>
      </c>
      <c r="F17" s="99" t="s">
        <v>378</v>
      </c>
      <c r="G17" s="99">
        <v>14</v>
      </c>
      <c r="H17" s="99">
        <v>9</v>
      </c>
      <c r="I17" s="99">
        <v>44</v>
      </c>
      <c r="J17" s="99">
        <v>149</v>
      </c>
      <c r="K17" s="99">
        <v>32</v>
      </c>
      <c r="L17" s="99">
        <v>271</v>
      </c>
      <c r="M17" s="99">
        <v>111</v>
      </c>
      <c r="N17" s="99">
        <v>58</v>
      </c>
      <c r="O17" s="99">
        <v>24</v>
      </c>
      <c r="P17" s="159">
        <v>24</v>
      </c>
      <c r="Q17" s="99" t="s">
        <v>625</v>
      </c>
      <c r="R17" s="99">
        <v>17</v>
      </c>
      <c r="S17" s="99">
        <v>7</v>
      </c>
      <c r="T17" s="99" t="s">
        <v>625</v>
      </c>
      <c r="U17" s="99" t="s">
        <v>625</v>
      </c>
      <c r="V17" s="99" t="s">
        <v>625</v>
      </c>
      <c r="W17" s="99" t="s">
        <v>625</v>
      </c>
      <c r="X17" s="99">
        <v>10</v>
      </c>
      <c r="Y17" s="99">
        <v>17</v>
      </c>
      <c r="Z17" s="99">
        <v>9</v>
      </c>
      <c r="AA17" s="99" t="s">
        <v>625</v>
      </c>
      <c r="AB17" s="99" t="s">
        <v>625</v>
      </c>
      <c r="AC17" s="99" t="s">
        <v>625</v>
      </c>
      <c r="AD17" s="98" t="s">
        <v>355</v>
      </c>
      <c r="AE17" s="100">
        <v>0.19850984566258648</v>
      </c>
      <c r="AF17" s="100">
        <v>0.17</v>
      </c>
      <c r="AG17" s="98">
        <v>745.0771687067589</v>
      </c>
      <c r="AH17" s="98">
        <v>478.97817988291644</v>
      </c>
      <c r="AI17" s="100">
        <v>0.023</v>
      </c>
      <c r="AJ17" s="100">
        <v>0.631356</v>
      </c>
      <c r="AK17" s="100">
        <v>0.680851</v>
      </c>
      <c r="AL17" s="100">
        <v>0.617312</v>
      </c>
      <c r="AM17" s="100">
        <v>0.495536</v>
      </c>
      <c r="AN17" s="100">
        <v>0.456693</v>
      </c>
      <c r="AO17" s="98">
        <v>1277.275146354444</v>
      </c>
      <c r="AP17" s="158">
        <v>0.6269487762</v>
      </c>
      <c r="AQ17" s="100" t="s">
        <v>625</v>
      </c>
      <c r="AR17" s="100" t="s">
        <v>625</v>
      </c>
      <c r="AS17" s="98">
        <v>372.53858435337946</v>
      </c>
      <c r="AT17" s="98" t="s">
        <v>625</v>
      </c>
      <c r="AU17" s="98" t="s">
        <v>625</v>
      </c>
      <c r="AV17" s="98" t="s">
        <v>625</v>
      </c>
      <c r="AW17" s="98" t="s">
        <v>625</v>
      </c>
      <c r="AX17" s="98">
        <v>532.197977647685</v>
      </c>
      <c r="AY17" s="98">
        <v>904.7365620010644</v>
      </c>
      <c r="AZ17" s="98">
        <v>478.97817988291644</v>
      </c>
      <c r="BA17" s="100" t="s">
        <v>625</v>
      </c>
      <c r="BB17" s="100" t="s">
        <v>625</v>
      </c>
      <c r="BC17" s="100" t="s">
        <v>625</v>
      </c>
      <c r="BD17" s="158">
        <v>0.4016979218</v>
      </c>
      <c r="BE17" s="158">
        <v>0.9328501129</v>
      </c>
      <c r="BF17" s="162">
        <v>236</v>
      </c>
      <c r="BG17" s="162">
        <v>47</v>
      </c>
      <c r="BH17" s="162">
        <v>439</v>
      </c>
      <c r="BI17" s="162">
        <v>224</v>
      </c>
      <c r="BJ17" s="162">
        <v>127</v>
      </c>
      <c r="BK17" s="97"/>
      <c r="BL17" s="97"/>
      <c r="BM17" s="97"/>
      <c r="BN17" s="97"/>
    </row>
    <row r="18" spans="1:66" ht="12.75">
      <c r="A18" s="79" t="s">
        <v>597</v>
      </c>
      <c r="B18" s="79" t="s">
        <v>334</v>
      </c>
      <c r="C18" s="79" t="s">
        <v>229</v>
      </c>
      <c r="D18" s="99">
        <v>2895</v>
      </c>
      <c r="E18" s="99">
        <v>389</v>
      </c>
      <c r="F18" s="99" t="s">
        <v>376</v>
      </c>
      <c r="G18" s="99">
        <v>14</v>
      </c>
      <c r="H18" s="99">
        <v>9</v>
      </c>
      <c r="I18" s="99">
        <v>34</v>
      </c>
      <c r="J18" s="99">
        <v>173</v>
      </c>
      <c r="K18" s="99">
        <v>17</v>
      </c>
      <c r="L18" s="99">
        <v>464</v>
      </c>
      <c r="M18" s="99">
        <v>107</v>
      </c>
      <c r="N18" s="99">
        <v>63</v>
      </c>
      <c r="O18" s="99">
        <v>31</v>
      </c>
      <c r="P18" s="159">
        <v>31</v>
      </c>
      <c r="Q18" s="99" t="s">
        <v>625</v>
      </c>
      <c r="R18" s="99">
        <v>8</v>
      </c>
      <c r="S18" s="99">
        <v>15</v>
      </c>
      <c r="T18" s="99" t="s">
        <v>625</v>
      </c>
      <c r="U18" s="99" t="s">
        <v>625</v>
      </c>
      <c r="V18" s="99" t="s">
        <v>625</v>
      </c>
      <c r="W18" s="99">
        <v>13</v>
      </c>
      <c r="X18" s="99">
        <v>7</v>
      </c>
      <c r="Y18" s="99">
        <v>23</v>
      </c>
      <c r="Z18" s="99">
        <v>13</v>
      </c>
      <c r="AA18" s="99" t="s">
        <v>625</v>
      </c>
      <c r="AB18" s="99" t="s">
        <v>625</v>
      </c>
      <c r="AC18" s="99" t="s">
        <v>625</v>
      </c>
      <c r="AD18" s="98" t="s">
        <v>355</v>
      </c>
      <c r="AE18" s="100">
        <v>0.13436960276338514</v>
      </c>
      <c r="AF18" s="100">
        <v>0.31</v>
      </c>
      <c r="AG18" s="98">
        <v>483.59240069084626</v>
      </c>
      <c r="AH18" s="98">
        <v>310.88082901554407</v>
      </c>
      <c r="AI18" s="100">
        <v>0.012</v>
      </c>
      <c r="AJ18" s="100">
        <v>0.604895</v>
      </c>
      <c r="AK18" s="100">
        <v>0.708333</v>
      </c>
      <c r="AL18" s="100">
        <v>0.681351</v>
      </c>
      <c r="AM18" s="100">
        <v>0.431452</v>
      </c>
      <c r="AN18" s="100">
        <v>0.496063</v>
      </c>
      <c r="AO18" s="98">
        <v>1070.811744386874</v>
      </c>
      <c r="AP18" s="158">
        <v>0.6520913695999999</v>
      </c>
      <c r="AQ18" s="100" t="s">
        <v>625</v>
      </c>
      <c r="AR18" s="100" t="s">
        <v>625</v>
      </c>
      <c r="AS18" s="98">
        <v>518.1347150259068</v>
      </c>
      <c r="AT18" s="98" t="s">
        <v>625</v>
      </c>
      <c r="AU18" s="98" t="s">
        <v>625</v>
      </c>
      <c r="AV18" s="98" t="s">
        <v>625</v>
      </c>
      <c r="AW18" s="98">
        <v>449.0500863557858</v>
      </c>
      <c r="AX18" s="98">
        <v>241.79620034542313</v>
      </c>
      <c r="AY18" s="98">
        <v>794.4732297063904</v>
      </c>
      <c r="AZ18" s="98">
        <v>449.0500863557858</v>
      </c>
      <c r="BA18" s="100" t="s">
        <v>625</v>
      </c>
      <c r="BB18" s="100" t="s">
        <v>625</v>
      </c>
      <c r="BC18" s="100" t="s">
        <v>625</v>
      </c>
      <c r="BD18" s="158">
        <v>0.44306442259999995</v>
      </c>
      <c r="BE18" s="158">
        <v>0.9255916594999999</v>
      </c>
      <c r="BF18" s="162">
        <v>286</v>
      </c>
      <c r="BG18" s="162">
        <v>24</v>
      </c>
      <c r="BH18" s="162">
        <v>681</v>
      </c>
      <c r="BI18" s="162">
        <v>248</v>
      </c>
      <c r="BJ18" s="162">
        <v>127</v>
      </c>
      <c r="BK18" s="97"/>
      <c r="BL18" s="97"/>
      <c r="BM18" s="97"/>
      <c r="BN18" s="97"/>
    </row>
    <row r="19" spans="1:66" ht="12.75">
      <c r="A19" s="79" t="s">
        <v>551</v>
      </c>
      <c r="B19" s="79" t="s">
        <v>289</v>
      </c>
      <c r="C19" s="79" t="s">
        <v>229</v>
      </c>
      <c r="D19" s="99">
        <v>15803</v>
      </c>
      <c r="E19" s="99">
        <v>2800</v>
      </c>
      <c r="F19" s="99" t="s">
        <v>379</v>
      </c>
      <c r="G19" s="99">
        <v>68</v>
      </c>
      <c r="H19" s="99">
        <v>31</v>
      </c>
      <c r="I19" s="99">
        <v>278</v>
      </c>
      <c r="J19" s="99">
        <v>1692</v>
      </c>
      <c r="K19" s="99">
        <v>1618</v>
      </c>
      <c r="L19" s="99">
        <v>3348</v>
      </c>
      <c r="M19" s="99">
        <v>1191</v>
      </c>
      <c r="N19" s="99">
        <v>660</v>
      </c>
      <c r="O19" s="99">
        <v>320</v>
      </c>
      <c r="P19" s="159">
        <v>320</v>
      </c>
      <c r="Q19" s="99">
        <v>41</v>
      </c>
      <c r="R19" s="99">
        <v>95</v>
      </c>
      <c r="S19" s="99">
        <v>71</v>
      </c>
      <c r="T19" s="99">
        <v>65</v>
      </c>
      <c r="U19" s="99">
        <v>6</v>
      </c>
      <c r="V19" s="99">
        <v>43</v>
      </c>
      <c r="W19" s="99">
        <v>74</v>
      </c>
      <c r="X19" s="99">
        <v>59</v>
      </c>
      <c r="Y19" s="99">
        <v>174</v>
      </c>
      <c r="Z19" s="99">
        <v>115</v>
      </c>
      <c r="AA19" s="99" t="s">
        <v>625</v>
      </c>
      <c r="AB19" s="99" t="s">
        <v>625</v>
      </c>
      <c r="AC19" s="99" t="s">
        <v>625</v>
      </c>
      <c r="AD19" s="98" t="s">
        <v>355</v>
      </c>
      <c r="AE19" s="100">
        <v>0.17718154780737835</v>
      </c>
      <c r="AF19" s="100">
        <v>0.08</v>
      </c>
      <c r="AG19" s="98">
        <v>430.2980446750617</v>
      </c>
      <c r="AH19" s="98">
        <v>196.1652850724546</v>
      </c>
      <c r="AI19" s="100">
        <v>0.018000000000000002</v>
      </c>
      <c r="AJ19" s="100">
        <v>0.764573</v>
      </c>
      <c r="AK19" s="100">
        <v>0.774163</v>
      </c>
      <c r="AL19" s="100">
        <v>0.806358</v>
      </c>
      <c r="AM19" s="100">
        <v>0.624214</v>
      </c>
      <c r="AN19" s="100">
        <v>0.642648</v>
      </c>
      <c r="AO19" s="98">
        <v>2024.9319749414667</v>
      </c>
      <c r="AP19" s="158">
        <v>1.000689545</v>
      </c>
      <c r="AQ19" s="100">
        <v>0.128125</v>
      </c>
      <c r="AR19" s="100">
        <v>0.43157894736842106</v>
      </c>
      <c r="AS19" s="98">
        <v>449.28178194013793</v>
      </c>
      <c r="AT19" s="98">
        <v>411.3143074099854</v>
      </c>
      <c r="AU19" s="98">
        <v>37.9674745301525</v>
      </c>
      <c r="AV19" s="98">
        <v>272.1002341327596</v>
      </c>
      <c r="AW19" s="98">
        <v>468.2655192052142</v>
      </c>
      <c r="AX19" s="98">
        <v>373.34683287983296</v>
      </c>
      <c r="AY19" s="98">
        <v>1101.0567613744226</v>
      </c>
      <c r="AZ19" s="98">
        <v>727.7099284945897</v>
      </c>
      <c r="BA19" s="100" t="s">
        <v>625</v>
      </c>
      <c r="BB19" s="100" t="s">
        <v>625</v>
      </c>
      <c r="BC19" s="100" t="s">
        <v>625</v>
      </c>
      <c r="BD19" s="158">
        <v>0.8940399933000001</v>
      </c>
      <c r="BE19" s="158">
        <v>1.116559982</v>
      </c>
      <c r="BF19" s="162">
        <v>2213</v>
      </c>
      <c r="BG19" s="162">
        <v>2090</v>
      </c>
      <c r="BH19" s="162">
        <v>4152</v>
      </c>
      <c r="BI19" s="162">
        <v>1908</v>
      </c>
      <c r="BJ19" s="162">
        <v>1027</v>
      </c>
      <c r="BK19" s="97"/>
      <c r="BL19" s="97"/>
      <c r="BM19" s="97"/>
      <c r="BN19" s="97"/>
    </row>
    <row r="20" spans="1:66" ht="12.75">
      <c r="A20" s="79" t="s">
        <v>629</v>
      </c>
      <c r="B20" s="79" t="s">
        <v>293</v>
      </c>
      <c r="C20" s="79" t="s">
        <v>229</v>
      </c>
      <c r="D20" s="99">
        <v>11478</v>
      </c>
      <c r="E20" s="99">
        <v>2451</v>
      </c>
      <c r="F20" s="99" t="s">
        <v>379</v>
      </c>
      <c r="G20" s="99">
        <v>47</v>
      </c>
      <c r="H20" s="99">
        <v>33</v>
      </c>
      <c r="I20" s="99">
        <v>215</v>
      </c>
      <c r="J20" s="99">
        <v>1206</v>
      </c>
      <c r="K20" s="99">
        <v>77</v>
      </c>
      <c r="L20" s="99">
        <v>2270</v>
      </c>
      <c r="M20" s="99">
        <v>962</v>
      </c>
      <c r="N20" s="99">
        <v>525</v>
      </c>
      <c r="O20" s="99">
        <v>187</v>
      </c>
      <c r="P20" s="159">
        <v>187</v>
      </c>
      <c r="Q20" s="99">
        <v>33</v>
      </c>
      <c r="R20" s="99">
        <v>87</v>
      </c>
      <c r="S20" s="99">
        <v>55</v>
      </c>
      <c r="T20" s="99">
        <v>21</v>
      </c>
      <c r="U20" s="99">
        <v>7</v>
      </c>
      <c r="V20" s="99">
        <v>26</v>
      </c>
      <c r="W20" s="99">
        <v>56</v>
      </c>
      <c r="X20" s="99">
        <v>53</v>
      </c>
      <c r="Y20" s="99">
        <v>95</v>
      </c>
      <c r="Z20" s="99">
        <v>77</v>
      </c>
      <c r="AA20" s="99" t="s">
        <v>625</v>
      </c>
      <c r="AB20" s="99" t="s">
        <v>625</v>
      </c>
      <c r="AC20" s="99" t="s">
        <v>625</v>
      </c>
      <c r="AD20" s="98" t="s">
        <v>355</v>
      </c>
      <c r="AE20" s="100">
        <v>0.21353894406691062</v>
      </c>
      <c r="AF20" s="100">
        <v>0.07</v>
      </c>
      <c r="AG20" s="98">
        <v>409.4790033106813</v>
      </c>
      <c r="AH20" s="98">
        <v>287.5065342394145</v>
      </c>
      <c r="AI20" s="100">
        <v>0.019</v>
      </c>
      <c r="AJ20" s="100">
        <v>0.747675</v>
      </c>
      <c r="AK20" s="100">
        <v>0.754902</v>
      </c>
      <c r="AL20" s="100">
        <v>0.782219</v>
      </c>
      <c r="AM20" s="100">
        <v>0.623461</v>
      </c>
      <c r="AN20" s="100">
        <v>0.619835</v>
      </c>
      <c r="AO20" s="98">
        <v>1629.203694023349</v>
      </c>
      <c r="AP20" s="158">
        <v>0.7680556488000001</v>
      </c>
      <c r="AQ20" s="100">
        <v>0.17647058823529413</v>
      </c>
      <c r="AR20" s="100">
        <v>0.3793103448275862</v>
      </c>
      <c r="AS20" s="98">
        <v>479.1775570656909</v>
      </c>
      <c r="AT20" s="98">
        <v>182.95870360690014</v>
      </c>
      <c r="AU20" s="98">
        <v>60.986234535633386</v>
      </c>
      <c r="AV20" s="98">
        <v>226.52029970378115</v>
      </c>
      <c r="AW20" s="98">
        <v>487.8898762850671</v>
      </c>
      <c r="AX20" s="98">
        <v>461.7529186269385</v>
      </c>
      <c r="AY20" s="98">
        <v>827.6703258407388</v>
      </c>
      <c r="AZ20" s="98">
        <v>670.8485798919672</v>
      </c>
      <c r="BA20" s="100" t="s">
        <v>625</v>
      </c>
      <c r="BB20" s="100" t="s">
        <v>625</v>
      </c>
      <c r="BC20" s="100" t="s">
        <v>625</v>
      </c>
      <c r="BD20" s="158">
        <v>0.6619129944</v>
      </c>
      <c r="BE20" s="158">
        <v>0.8863769531</v>
      </c>
      <c r="BF20" s="162">
        <v>1613</v>
      </c>
      <c r="BG20" s="162">
        <v>102</v>
      </c>
      <c r="BH20" s="162">
        <v>2902</v>
      </c>
      <c r="BI20" s="162">
        <v>1543</v>
      </c>
      <c r="BJ20" s="162">
        <v>847</v>
      </c>
      <c r="BK20" s="97"/>
      <c r="BL20" s="97"/>
      <c r="BM20" s="97"/>
      <c r="BN20" s="97"/>
    </row>
    <row r="21" spans="1:66" ht="12.75">
      <c r="A21" s="79" t="s">
        <v>582</v>
      </c>
      <c r="B21" s="79" t="s">
        <v>319</v>
      </c>
      <c r="C21" s="79" t="s">
        <v>229</v>
      </c>
      <c r="D21" s="99">
        <v>5047</v>
      </c>
      <c r="E21" s="99">
        <v>732</v>
      </c>
      <c r="F21" s="99" t="s">
        <v>376</v>
      </c>
      <c r="G21" s="99">
        <v>25</v>
      </c>
      <c r="H21" s="99">
        <v>15</v>
      </c>
      <c r="I21" s="99">
        <v>84</v>
      </c>
      <c r="J21" s="99">
        <v>291</v>
      </c>
      <c r="K21" s="99">
        <v>29</v>
      </c>
      <c r="L21" s="99">
        <v>897</v>
      </c>
      <c r="M21" s="99">
        <v>222</v>
      </c>
      <c r="N21" s="99">
        <v>126</v>
      </c>
      <c r="O21" s="99">
        <v>130</v>
      </c>
      <c r="P21" s="159">
        <v>130</v>
      </c>
      <c r="Q21" s="99">
        <v>12</v>
      </c>
      <c r="R21" s="99">
        <v>24</v>
      </c>
      <c r="S21" s="99">
        <v>27</v>
      </c>
      <c r="T21" s="99">
        <v>15</v>
      </c>
      <c r="U21" s="99" t="s">
        <v>625</v>
      </c>
      <c r="V21" s="99">
        <v>11</v>
      </c>
      <c r="W21" s="99">
        <v>16</v>
      </c>
      <c r="X21" s="99">
        <v>17</v>
      </c>
      <c r="Y21" s="99">
        <v>65</v>
      </c>
      <c r="Z21" s="99">
        <v>43</v>
      </c>
      <c r="AA21" s="99" t="s">
        <v>625</v>
      </c>
      <c r="AB21" s="99" t="s">
        <v>625</v>
      </c>
      <c r="AC21" s="99" t="s">
        <v>625</v>
      </c>
      <c r="AD21" s="98" t="s">
        <v>355</v>
      </c>
      <c r="AE21" s="100">
        <v>0.1450366554388746</v>
      </c>
      <c r="AF21" s="100">
        <v>0.27</v>
      </c>
      <c r="AG21" s="98">
        <v>495.3437685753913</v>
      </c>
      <c r="AH21" s="98">
        <v>297.2062611452348</v>
      </c>
      <c r="AI21" s="100">
        <v>0.017</v>
      </c>
      <c r="AJ21" s="100">
        <v>0.544944</v>
      </c>
      <c r="AK21" s="100">
        <v>0.725</v>
      </c>
      <c r="AL21" s="100">
        <v>0.758883</v>
      </c>
      <c r="AM21" s="100">
        <v>0.480519</v>
      </c>
      <c r="AN21" s="100">
        <v>0.482759</v>
      </c>
      <c r="AO21" s="98">
        <v>2575.787596592035</v>
      </c>
      <c r="AP21" s="158">
        <v>1.507102356</v>
      </c>
      <c r="AQ21" s="100">
        <v>0.09230769230769231</v>
      </c>
      <c r="AR21" s="100">
        <v>0.5</v>
      </c>
      <c r="AS21" s="98">
        <v>534.9712700614226</v>
      </c>
      <c r="AT21" s="98">
        <v>297.2062611452348</v>
      </c>
      <c r="AU21" s="98" t="s">
        <v>625</v>
      </c>
      <c r="AV21" s="98">
        <v>217.9512581731722</v>
      </c>
      <c r="AW21" s="98">
        <v>317.02001188825045</v>
      </c>
      <c r="AX21" s="98">
        <v>336.8337626312661</v>
      </c>
      <c r="AY21" s="98">
        <v>1287.8937982960174</v>
      </c>
      <c r="AZ21" s="98">
        <v>851.9912819496731</v>
      </c>
      <c r="BA21" s="100" t="s">
        <v>625</v>
      </c>
      <c r="BB21" s="100" t="s">
        <v>625</v>
      </c>
      <c r="BC21" s="100" t="s">
        <v>625</v>
      </c>
      <c r="BD21" s="158">
        <v>1.259180145</v>
      </c>
      <c r="BE21" s="158">
        <v>1.789561768</v>
      </c>
      <c r="BF21" s="162">
        <v>534</v>
      </c>
      <c r="BG21" s="162">
        <v>40</v>
      </c>
      <c r="BH21" s="162">
        <v>1182</v>
      </c>
      <c r="BI21" s="162">
        <v>462</v>
      </c>
      <c r="BJ21" s="162">
        <v>261</v>
      </c>
      <c r="BK21" s="97"/>
      <c r="BL21" s="97"/>
      <c r="BM21" s="97"/>
      <c r="BN21" s="97"/>
    </row>
    <row r="22" spans="1:66" ht="12.75">
      <c r="A22" s="79" t="s">
        <v>586</v>
      </c>
      <c r="B22" s="79" t="s">
        <v>323</v>
      </c>
      <c r="C22" s="79" t="s">
        <v>229</v>
      </c>
      <c r="D22" s="99">
        <v>12372</v>
      </c>
      <c r="E22" s="99">
        <v>2657</v>
      </c>
      <c r="F22" s="99" t="s">
        <v>379</v>
      </c>
      <c r="G22" s="99">
        <v>73</v>
      </c>
      <c r="H22" s="99">
        <v>32</v>
      </c>
      <c r="I22" s="99">
        <v>195</v>
      </c>
      <c r="J22" s="99">
        <v>1366</v>
      </c>
      <c r="K22" s="99">
        <v>10</v>
      </c>
      <c r="L22" s="99">
        <v>2363</v>
      </c>
      <c r="M22" s="99">
        <v>1103</v>
      </c>
      <c r="N22" s="99">
        <v>590</v>
      </c>
      <c r="O22" s="99">
        <v>313</v>
      </c>
      <c r="P22" s="159">
        <v>313</v>
      </c>
      <c r="Q22" s="99">
        <v>36</v>
      </c>
      <c r="R22" s="99">
        <v>69</v>
      </c>
      <c r="S22" s="99">
        <v>62</v>
      </c>
      <c r="T22" s="99">
        <v>52</v>
      </c>
      <c r="U22" s="99" t="s">
        <v>625</v>
      </c>
      <c r="V22" s="99">
        <v>37</v>
      </c>
      <c r="W22" s="99">
        <v>71</v>
      </c>
      <c r="X22" s="99">
        <v>45</v>
      </c>
      <c r="Y22" s="99">
        <v>125</v>
      </c>
      <c r="Z22" s="99">
        <v>72</v>
      </c>
      <c r="AA22" s="99" t="s">
        <v>625</v>
      </c>
      <c r="AB22" s="99" t="s">
        <v>625</v>
      </c>
      <c r="AC22" s="99" t="s">
        <v>625</v>
      </c>
      <c r="AD22" s="98" t="s">
        <v>355</v>
      </c>
      <c r="AE22" s="100">
        <v>0.21475913352731976</v>
      </c>
      <c r="AF22" s="100">
        <v>0.08</v>
      </c>
      <c r="AG22" s="98">
        <v>590.0420303912059</v>
      </c>
      <c r="AH22" s="98">
        <v>258.64856126737794</v>
      </c>
      <c r="AI22" s="100">
        <v>0.016</v>
      </c>
      <c r="AJ22" s="100">
        <v>0.748083</v>
      </c>
      <c r="AK22" s="100">
        <v>0.625</v>
      </c>
      <c r="AL22" s="100">
        <v>0.762258</v>
      </c>
      <c r="AM22" s="100">
        <v>0.622812</v>
      </c>
      <c r="AN22" s="100">
        <v>0.64978</v>
      </c>
      <c r="AO22" s="98">
        <v>2529.9062398965407</v>
      </c>
      <c r="AP22" s="158">
        <v>1.170953293</v>
      </c>
      <c r="AQ22" s="100">
        <v>0.11501597444089456</v>
      </c>
      <c r="AR22" s="100">
        <v>0.5217391304347826</v>
      </c>
      <c r="AS22" s="98">
        <v>501.1315874555448</v>
      </c>
      <c r="AT22" s="98">
        <v>420.30391205948916</v>
      </c>
      <c r="AU22" s="98" t="s">
        <v>625</v>
      </c>
      <c r="AV22" s="98">
        <v>299.06239896540575</v>
      </c>
      <c r="AW22" s="98">
        <v>573.8764953119949</v>
      </c>
      <c r="AX22" s="98">
        <v>363.72453928225025</v>
      </c>
      <c r="AY22" s="98">
        <v>1010.3459424506951</v>
      </c>
      <c r="AZ22" s="98">
        <v>581.9592628516004</v>
      </c>
      <c r="BA22" s="100" t="s">
        <v>625</v>
      </c>
      <c r="BB22" s="100" t="s">
        <v>625</v>
      </c>
      <c r="BC22" s="100" t="s">
        <v>625</v>
      </c>
      <c r="BD22" s="158">
        <v>1.04480957</v>
      </c>
      <c r="BE22" s="158">
        <v>1.308130188</v>
      </c>
      <c r="BF22" s="162">
        <v>1826</v>
      </c>
      <c r="BG22" s="162">
        <v>16</v>
      </c>
      <c r="BH22" s="162">
        <v>3100</v>
      </c>
      <c r="BI22" s="162">
        <v>1771</v>
      </c>
      <c r="BJ22" s="162">
        <v>908</v>
      </c>
      <c r="BK22" s="97"/>
      <c r="BL22" s="97"/>
      <c r="BM22" s="97"/>
      <c r="BN22" s="97"/>
    </row>
    <row r="23" spans="1:66" ht="12.75">
      <c r="A23" s="79" t="s">
        <v>609</v>
      </c>
      <c r="B23" s="79" t="s">
        <v>346</v>
      </c>
      <c r="C23" s="79" t="s">
        <v>229</v>
      </c>
      <c r="D23" s="99">
        <v>2519</v>
      </c>
      <c r="E23" s="99">
        <v>359</v>
      </c>
      <c r="F23" s="99" t="s">
        <v>376</v>
      </c>
      <c r="G23" s="99">
        <v>11</v>
      </c>
      <c r="H23" s="99">
        <v>7</v>
      </c>
      <c r="I23" s="99">
        <v>28</v>
      </c>
      <c r="J23" s="99">
        <v>125</v>
      </c>
      <c r="K23" s="99" t="s">
        <v>625</v>
      </c>
      <c r="L23" s="99">
        <v>439</v>
      </c>
      <c r="M23" s="99">
        <v>80</v>
      </c>
      <c r="N23" s="99">
        <v>43</v>
      </c>
      <c r="O23" s="99">
        <v>25</v>
      </c>
      <c r="P23" s="159">
        <v>25</v>
      </c>
      <c r="Q23" s="99" t="s">
        <v>625</v>
      </c>
      <c r="R23" s="99">
        <v>9</v>
      </c>
      <c r="S23" s="99">
        <v>11</v>
      </c>
      <c r="T23" s="99" t="s">
        <v>625</v>
      </c>
      <c r="U23" s="99" t="s">
        <v>625</v>
      </c>
      <c r="V23" s="99" t="s">
        <v>625</v>
      </c>
      <c r="W23" s="99" t="s">
        <v>625</v>
      </c>
      <c r="X23" s="99">
        <v>7</v>
      </c>
      <c r="Y23" s="99">
        <v>17</v>
      </c>
      <c r="Z23" s="99">
        <v>15</v>
      </c>
      <c r="AA23" s="99" t="s">
        <v>625</v>
      </c>
      <c r="AB23" s="99" t="s">
        <v>625</v>
      </c>
      <c r="AC23" s="99" t="s">
        <v>625</v>
      </c>
      <c r="AD23" s="98" t="s">
        <v>355</v>
      </c>
      <c r="AE23" s="100">
        <v>0.1425168717745137</v>
      </c>
      <c r="AF23" s="100">
        <v>0.31</v>
      </c>
      <c r="AG23" s="98">
        <v>436.68122270742356</v>
      </c>
      <c r="AH23" s="98">
        <v>277.888050813815</v>
      </c>
      <c r="AI23" s="100">
        <v>0.011000000000000001</v>
      </c>
      <c r="AJ23" s="100">
        <v>0.527426</v>
      </c>
      <c r="AK23" s="100" t="s">
        <v>625</v>
      </c>
      <c r="AL23" s="100">
        <v>0.776991</v>
      </c>
      <c r="AM23" s="100">
        <v>0.382775</v>
      </c>
      <c r="AN23" s="100">
        <v>0.364407</v>
      </c>
      <c r="AO23" s="98">
        <v>992.4573243350536</v>
      </c>
      <c r="AP23" s="158">
        <v>0.593094368</v>
      </c>
      <c r="AQ23" s="100" t="s">
        <v>625</v>
      </c>
      <c r="AR23" s="100" t="s">
        <v>625</v>
      </c>
      <c r="AS23" s="98">
        <v>436.68122270742356</v>
      </c>
      <c r="AT23" s="98" t="s">
        <v>625</v>
      </c>
      <c r="AU23" s="98" t="s">
        <v>625</v>
      </c>
      <c r="AV23" s="98" t="s">
        <v>625</v>
      </c>
      <c r="AW23" s="98" t="s">
        <v>625</v>
      </c>
      <c r="AX23" s="98">
        <v>277.888050813815</v>
      </c>
      <c r="AY23" s="98">
        <v>674.8709805478364</v>
      </c>
      <c r="AZ23" s="98">
        <v>595.4743946010321</v>
      </c>
      <c r="BA23" s="100" t="s">
        <v>625</v>
      </c>
      <c r="BB23" s="100" t="s">
        <v>625</v>
      </c>
      <c r="BC23" s="100" t="s">
        <v>625</v>
      </c>
      <c r="BD23" s="158">
        <v>0.3838193893</v>
      </c>
      <c r="BE23" s="158">
        <v>0.875524292</v>
      </c>
      <c r="BF23" s="162">
        <v>237</v>
      </c>
      <c r="BG23" s="162" t="s">
        <v>625</v>
      </c>
      <c r="BH23" s="162">
        <v>565</v>
      </c>
      <c r="BI23" s="162">
        <v>209</v>
      </c>
      <c r="BJ23" s="162">
        <v>118</v>
      </c>
      <c r="BK23" s="97"/>
      <c r="BL23" s="97"/>
      <c r="BM23" s="97"/>
      <c r="BN23" s="97"/>
    </row>
    <row r="24" spans="1:66" ht="12.75">
      <c r="A24" s="79" t="s">
        <v>571</v>
      </c>
      <c r="B24" s="79" t="s">
        <v>308</v>
      </c>
      <c r="C24" s="79" t="s">
        <v>229</v>
      </c>
      <c r="D24" s="99">
        <v>6995</v>
      </c>
      <c r="E24" s="99">
        <v>1292</v>
      </c>
      <c r="F24" s="99" t="s">
        <v>379</v>
      </c>
      <c r="G24" s="99">
        <v>18</v>
      </c>
      <c r="H24" s="99">
        <v>14</v>
      </c>
      <c r="I24" s="99">
        <v>157</v>
      </c>
      <c r="J24" s="99">
        <v>738</v>
      </c>
      <c r="K24" s="99">
        <v>675</v>
      </c>
      <c r="L24" s="99">
        <v>1427</v>
      </c>
      <c r="M24" s="99">
        <v>500</v>
      </c>
      <c r="N24" s="99">
        <v>270</v>
      </c>
      <c r="O24" s="99">
        <v>120</v>
      </c>
      <c r="P24" s="159">
        <v>120</v>
      </c>
      <c r="Q24" s="99">
        <v>21</v>
      </c>
      <c r="R24" s="99">
        <v>46</v>
      </c>
      <c r="S24" s="99">
        <v>28</v>
      </c>
      <c r="T24" s="99">
        <v>21</v>
      </c>
      <c r="U24" s="99" t="s">
        <v>625</v>
      </c>
      <c r="V24" s="99">
        <v>15</v>
      </c>
      <c r="W24" s="99">
        <v>26</v>
      </c>
      <c r="X24" s="99">
        <v>31</v>
      </c>
      <c r="Y24" s="99">
        <v>64</v>
      </c>
      <c r="Z24" s="99">
        <v>32</v>
      </c>
      <c r="AA24" s="99" t="s">
        <v>625</v>
      </c>
      <c r="AB24" s="99" t="s">
        <v>625</v>
      </c>
      <c r="AC24" s="99" t="s">
        <v>625</v>
      </c>
      <c r="AD24" s="98" t="s">
        <v>355</v>
      </c>
      <c r="AE24" s="100">
        <v>0.18470335954253037</v>
      </c>
      <c r="AF24" s="100">
        <v>0.06</v>
      </c>
      <c r="AG24" s="98">
        <v>257.32666190135814</v>
      </c>
      <c r="AH24" s="98">
        <v>200.14295925661187</v>
      </c>
      <c r="AI24" s="100">
        <v>0.022000000000000002</v>
      </c>
      <c r="AJ24" s="100">
        <v>0.849252</v>
      </c>
      <c r="AK24" s="100">
        <v>0.813253</v>
      </c>
      <c r="AL24" s="100">
        <v>0.826288</v>
      </c>
      <c r="AM24" s="100">
        <v>0.628931</v>
      </c>
      <c r="AN24" s="100">
        <v>0.650602</v>
      </c>
      <c r="AO24" s="98">
        <v>1715.5110793423873</v>
      </c>
      <c r="AP24" s="158">
        <v>0.8666436768</v>
      </c>
      <c r="AQ24" s="100">
        <v>0.175</v>
      </c>
      <c r="AR24" s="100">
        <v>0.45652173913043476</v>
      </c>
      <c r="AS24" s="98">
        <v>400.28591851322375</v>
      </c>
      <c r="AT24" s="98">
        <v>300.2144388849178</v>
      </c>
      <c r="AU24" s="98" t="s">
        <v>625</v>
      </c>
      <c r="AV24" s="98">
        <v>214.43888491779842</v>
      </c>
      <c r="AW24" s="98">
        <v>371.6940671908506</v>
      </c>
      <c r="AX24" s="98">
        <v>443.1736954967834</v>
      </c>
      <c r="AY24" s="98">
        <v>914.93924231594</v>
      </c>
      <c r="AZ24" s="98">
        <v>457.46962115797</v>
      </c>
      <c r="BA24" s="100" t="s">
        <v>625</v>
      </c>
      <c r="BB24" s="100" t="s">
        <v>625</v>
      </c>
      <c r="BC24" s="100" t="s">
        <v>625</v>
      </c>
      <c r="BD24" s="158">
        <v>0.7185337067</v>
      </c>
      <c r="BE24" s="158">
        <v>1.036293411</v>
      </c>
      <c r="BF24" s="162">
        <v>869</v>
      </c>
      <c r="BG24" s="162">
        <v>830</v>
      </c>
      <c r="BH24" s="162">
        <v>1727</v>
      </c>
      <c r="BI24" s="162">
        <v>795</v>
      </c>
      <c r="BJ24" s="162">
        <v>415</v>
      </c>
      <c r="BK24" s="97"/>
      <c r="BL24" s="97"/>
      <c r="BM24" s="97"/>
      <c r="BN24" s="97"/>
    </row>
    <row r="25" spans="1:66" ht="12.75">
      <c r="A25" s="79" t="s">
        <v>568</v>
      </c>
      <c r="B25" s="79" t="s">
        <v>305</v>
      </c>
      <c r="C25" s="79" t="s">
        <v>229</v>
      </c>
      <c r="D25" s="99">
        <v>8165</v>
      </c>
      <c r="E25" s="99">
        <v>1277</v>
      </c>
      <c r="F25" s="99" t="s">
        <v>376</v>
      </c>
      <c r="G25" s="99">
        <v>32</v>
      </c>
      <c r="H25" s="99">
        <v>26</v>
      </c>
      <c r="I25" s="99">
        <v>120</v>
      </c>
      <c r="J25" s="99">
        <v>496</v>
      </c>
      <c r="K25" s="99">
        <v>19</v>
      </c>
      <c r="L25" s="99">
        <v>1361</v>
      </c>
      <c r="M25" s="99">
        <v>334</v>
      </c>
      <c r="N25" s="99">
        <v>186</v>
      </c>
      <c r="O25" s="99">
        <v>61</v>
      </c>
      <c r="P25" s="159">
        <v>61</v>
      </c>
      <c r="Q25" s="99">
        <v>13</v>
      </c>
      <c r="R25" s="99">
        <v>31</v>
      </c>
      <c r="S25" s="99">
        <v>21</v>
      </c>
      <c r="T25" s="99">
        <v>9</v>
      </c>
      <c r="U25" s="99" t="s">
        <v>625</v>
      </c>
      <c r="V25" s="99">
        <v>8</v>
      </c>
      <c r="W25" s="99">
        <v>34</v>
      </c>
      <c r="X25" s="99">
        <v>27</v>
      </c>
      <c r="Y25" s="99">
        <v>50</v>
      </c>
      <c r="Z25" s="99">
        <v>50</v>
      </c>
      <c r="AA25" s="99" t="s">
        <v>625</v>
      </c>
      <c r="AB25" s="99" t="s">
        <v>625</v>
      </c>
      <c r="AC25" s="99" t="s">
        <v>625</v>
      </c>
      <c r="AD25" s="98" t="s">
        <v>355</v>
      </c>
      <c r="AE25" s="100">
        <v>0.15639926515615432</v>
      </c>
      <c r="AF25" s="100">
        <v>0.28</v>
      </c>
      <c r="AG25" s="98">
        <v>391.9167176974893</v>
      </c>
      <c r="AH25" s="98">
        <v>318.43233312921006</v>
      </c>
      <c r="AI25" s="100">
        <v>0.015</v>
      </c>
      <c r="AJ25" s="100">
        <v>0.594724</v>
      </c>
      <c r="AK25" s="100">
        <v>0.826087</v>
      </c>
      <c r="AL25" s="100">
        <v>0.709224</v>
      </c>
      <c r="AM25" s="100">
        <v>0.458791</v>
      </c>
      <c r="AN25" s="100">
        <v>0.472081</v>
      </c>
      <c r="AO25" s="98">
        <v>747.091243110839</v>
      </c>
      <c r="AP25" s="158">
        <v>0.4273805618</v>
      </c>
      <c r="AQ25" s="100">
        <v>0.21311475409836064</v>
      </c>
      <c r="AR25" s="100">
        <v>0.41935483870967744</v>
      </c>
      <c r="AS25" s="98">
        <v>257.19534598897735</v>
      </c>
      <c r="AT25" s="98">
        <v>110.22657685241886</v>
      </c>
      <c r="AU25" s="98" t="s">
        <v>625</v>
      </c>
      <c r="AV25" s="98">
        <v>97.97917942437232</v>
      </c>
      <c r="AW25" s="98">
        <v>416.4115125535824</v>
      </c>
      <c r="AX25" s="98">
        <v>330.67973055725656</v>
      </c>
      <c r="AY25" s="98">
        <v>612.369871402327</v>
      </c>
      <c r="AZ25" s="98">
        <v>612.369871402327</v>
      </c>
      <c r="BA25" s="101" t="s">
        <v>625</v>
      </c>
      <c r="BB25" s="101" t="s">
        <v>625</v>
      </c>
      <c r="BC25" s="101" t="s">
        <v>625</v>
      </c>
      <c r="BD25" s="158">
        <v>0.3269122696</v>
      </c>
      <c r="BE25" s="158">
        <v>0.5489882278</v>
      </c>
      <c r="BF25" s="162">
        <v>834</v>
      </c>
      <c r="BG25" s="162">
        <v>23</v>
      </c>
      <c r="BH25" s="162">
        <v>1919</v>
      </c>
      <c r="BI25" s="162">
        <v>728</v>
      </c>
      <c r="BJ25" s="162">
        <v>394</v>
      </c>
      <c r="BK25" s="97"/>
      <c r="BL25" s="97"/>
      <c r="BM25" s="97"/>
      <c r="BN25" s="97"/>
    </row>
    <row r="26" spans="1:66" ht="12.75">
      <c r="A26" s="79" t="s">
        <v>601</v>
      </c>
      <c r="B26" s="79" t="s">
        <v>338</v>
      </c>
      <c r="C26" s="79" t="s">
        <v>229</v>
      </c>
      <c r="D26" s="99">
        <v>2134</v>
      </c>
      <c r="E26" s="99">
        <v>532</v>
      </c>
      <c r="F26" s="99" t="s">
        <v>377</v>
      </c>
      <c r="G26" s="99">
        <v>8</v>
      </c>
      <c r="H26" s="99">
        <v>10</v>
      </c>
      <c r="I26" s="99">
        <v>33</v>
      </c>
      <c r="J26" s="99">
        <v>217</v>
      </c>
      <c r="K26" s="99">
        <v>162</v>
      </c>
      <c r="L26" s="99">
        <v>320</v>
      </c>
      <c r="M26" s="99">
        <v>167</v>
      </c>
      <c r="N26" s="99">
        <v>84</v>
      </c>
      <c r="O26" s="99" t="s">
        <v>625</v>
      </c>
      <c r="P26" s="159" t="s">
        <v>625</v>
      </c>
      <c r="Q26" s="99" t="s">
        <v>625</v>
      </c>
      <c r="R26" s="99">
        <v>18</v>
      </c>
      <c r="S26" s="99" t="s">
        <v>625</v>
      </c>
      <c r="T26" s="99" t="s">
        <v>625</v>
      </c>
      <c r="U26" s="99" t="s">
        <v>625</v>
      </c>
      <c r="V26" s="99" t="s">
        <v>625</v>
      </c>
      <c r="W26" s="99" t="s">
        <v>625</v>
      </c>
      <c r="X26" s="99">
        <v>7</v>
      </c>
      <c r="Y26" s="99">
        <v>10</v>
      </c>
      <c r="Z26" s="99">
        <v>16</v>
      </c>
      <c r="AA26" s="99" t="s">
        <v>625</v>
      </c>
      <c r="AB26" s="99" t="s">
        <v>625</v>
      </c>
      <c r="AC26" s="99" t="s">
        <v>625</v>
      </c>
      <c r="AD26" s="98" t="s">
        <v>355</v>
      </c>
      <c r="AE26" s="100">
        <v>0.2492970946579194</v>
      </c>
      <c r="AF26" s="100">
        <v>0.1</v>
      </c>
      <c r="AG26" s="98">
        <v>374.88284910965325</v>
      </c>
      <c r="AH26" s="98">
        <v>468.6035613870665</v>
      </c>
      <c r="AI26" s="100">
        <v>0.015</v>
      </c>
      <c r="AJ26" s="100">
        <v>0.794872</v>
      </c>
      <c r="AK26" s="100">
        <v>0.726457</v>
      </c>
      <c r="AL26" s="100">
        <v>0.662526</v>
      </c>
      <c r="AM26" s="100">
        <v>0.566102</v>
      </c>
      <c r="AN26" s="100">
        <v>0.538462</v>
      </c>
      <c r="AO26" s="98" t="s">
        <v>625</v>
      </c>
      <c r="AP26" s="158" t="s">
        <v>625</v>
      </c>
      <c r="AQ26" s="100" t="s">
        <v>625</v>
      </c>
      <c r="AR26" s="100" t="s">
        <v>625</v>
      </c>
      <c r="AS26" s="98" t="s">
        <v>625</v>
      </c>
      <c r="AT26" s="98" t="s">
        <v>625</v>
      </c>
      <c r="AU26" s="98" t="s">
        <v>625</v>
      </c>
      <c r="AV26" s="98" t="s">
        <v>625</v>
      </c>
      <c r="AW26" s="98" t="s">
        <v>625</v>
      </c>
      <c r="AX26" s="98">
        <v>328.0224929709466</v>
      </c>
      <c r="AY26" s="98">
        <v>468.6035613870665</v>
      </c>
      <c r="AZ26" s="98">
        <v>749.7656982193065</v>
      </c>
      <c r="BA26" s="100" t="s">
        <v>625</v>
      </c>
      <c r="BB26" s="100" t="s">
        <v>625</v>
      </c>
      <c r="BC26" s="100" t="s">
        <v>625</v>
      </c>
      <c r="BD26" s="158" t="s">
        <v>625</v>
      </c>
      <c r="BE26" s="158" t="s">
        <v>625</v>
      </c>
      <c r="BF26" s="162">
        <v>273</v>
      </c>
      <c r="BG26" s="162">
        <v>223</v>
      </c>
      <c r="BH26" s="162">
        <v>483</v>
      </c>
      <c r="BI26" s="162">
        <v>295</v>
      </c>
      <c r="BJ26" s="162">
        <v>156</v>
      </c>
      <c r="BK26" s="97"/>
      <c r="BL26" s="97"/>
      <c r="BM26" s="97"/>
      <c r="BN26" s="97"/>
    </row>
    <row r="27" spans="1:66" ht="12.75">
      <c r="A27" s="79" t="s">
        <v>603</v>
      </c>
      <c r="B27" s="79" t="s">
        <v>340</v>
      </c>
      <c r="C27" s="79" t="s">
        <v>229</v>
      </c>
      <c r="D27" s="99">
        <v>1917</v>
      </c>
      <c r="E27" s="99">
        <v>270</v>
      </c>
      <c r="F27" s="99" t="s">
        <v>375</v>
      </c>
      <c r="G27" s="99">
        <v>6</v>
      </c>
      <c r="H27" s="99" t="s">
        <v>625</v>
      </c>
      <c r="I27" s="99">
        <v>27</v>
      </c>
      <c r="J27" s="99">
        <v>131</v>
      </c>
      <c r="K27" s="99">
        <v>126</v>
      </c>
      <c r="L27" s="99">
        <v>320</v>
      </c>
      <c r="M27" s="99">
        <v>79</v>
      </c>
      <c r="N27" s="99">
        <v>46</v>
      </c>
      <c r="O27" s="99">
        <v>16</v>
      </c>
      <c r="P27" s="159">
        <v>16</v>
      </c>
      <c r="Q27" s="99">
        <v>6</v>
      </c>
      <c r="R27" s="99">
        <v>12</v>
      </c>
      <c r="S27" s="99" t="s">
        <v>625</v>
      </c>
      <c r="T27" s="99" t="s">
        <v>625</v>
      </c>
      <c r="U27" s="99" t="s">
        <v>625</v>
      </c>
      <c r="V27" s="99" t="s">
        <v>625</v>
      </c>
      <c r="W27" s="99" t="s">
        <v>625</v>
      </c>
      <c r="X27" s="99" t="s">
        <v>625</v>
      </c>
      <c r="Y27" s="99">
        <v>18</v>
      </c>
      <c r="Z27" s="99">
        <v>8</v>
      </c>
      <c r="AA27" s="99" t="s">
        <v>625</v>
      </c>
      <c r="AB27" s="99" t="s">
        <v>625</v>
      </c>
      <c r="AC27" s="99" t="s">
        <v>625</v>
      </c>
      <c r="AD27" s="98" t="s">
        <v>355</v>
      </c>
      <c r="AE27" s="100">
        <v>0.14084507042253522</v>
      </c>
      <c r="AF27" s="100">
        <v>0.21</v>
      </c>
      <c r="AG27" s="98">
        <v>312.98904538341156</v>
      </c>
      <c r="AH27" s="98" t="s">
        <v>625</v>
      </c>
      <c r="AI27" s="100">
        <v>0.013999999999999999</v>
      </c>
      <c r="AJ27" s="100">
        <v>0.71978</v>
      </c>
      <c r="AK27" s="100">
        <v>0.707865</v>
      </c>
      <c r="AL27" s="100">
        <v>0.73903</v>
      </c>
      <c r="AM27" s="100">
        <v>0.475904</v>
      </c>
      <c r="AN27" s="100">
        <v>0.541176</v>
      </c>
      <c r="AO27" s="98">
        <v>834.6374543557642</v>
      </c>
      <c r="AP27" s="158">
        <v>0.5205226517</v>
      </c>
      <c r="AQ27" s="100">
        <v>0.375</v>
      </c>
      <c r="AR27" s="100">
        <v>0.5</v>
      </c>
      <c r="AS27" s="98" t="s">
        <v>625</v>
      </c>
      <c r="AT27" s="98" t="s">
        <v>625</v>
      </c>
      <c r="AU27" s="98" t="s">
        <v>625</v>
      </c>
      <c r="AV27" s="98" t="s">
        <v>625</v>
      </c>
      <c r="AW27" s="98" t="s">
        <v>625</v>
      </c>
      <c r="AX27" s="98" t="s">
        <v>625</v>
      </c>
      <c r="AY27" s="98">
        <v>938.9671361502348</v>
      </c>
      <c r="AZ27" s="98">
        <v>417.3187271778821</v>
      </c>
      <c r="BA27" s="100" t="s">
        <v>625</v>
      </c>
      <c r="BB27" s="100" t="s">
        <v>625</v>
      </c>
      <c r="BC27" s="100" t="s">
        <v>625</v>
      </c>
      <c r="BD27" s="158">
        <v>0.29752367020000003</v>
      </c>
      <c r="BE27" s="158">
        <v>0.8452961731</v>
      </c>
      <c r="BF27" s="162">
        <v>182</v>
      </c>
      <c r="BG27" s="162">
        <v>178</v>
      </c>
      <c r="BH27" s="162">
        <v>433</v>
      </c>
      <c r="BI27" s="162">
        <v>166</v>
      </c>
      <c r="BJ27" s="162">
        <v>85</v>
      </c>
      <c r="BK27" s="97"/>
      <c r="BL27" s="97"/>
      <c r="BM27" s="97"/>
      <c r="BN27" s="97"/>
    </row>
    <row r="28" spans="1:66" ht="12.75">
      <c r="A28" s="79" t="s">
        <v>550</v>
      </c>
      <c r="B28" s="79" t="s">
        <v>288</v>
      </c>
      <c r="C28" s="79" t="s">
        <v>229</v>
      </c>
      <c r="D28" s="99">
        <v>5768</v>
      </c>
      <c r="E28" s="99">
        <v>929</v>
      </c>
      <c r="F28" s="99" t="s">
        <v>376</v>
      </c>
      <c r="G28" s="99">
        <v>28</v>
      </c>
      <c r="H28" s="99">
        <v>26</v>
      </c>
      <c r="I28" s="99">
        <v>90</v>
      </c>
      <c r="J28" s="99">
        <v>398</v>
      </c>
      <c r="K28" s="99">
        <v>19</v>
      </c>
      <c r="L28" s="99">
        <v>899</v>
      </c>
      <c r="M28" s="99">
        <v>272</v>
      </c>
      <c r="N28" s="99">
        <v>163</v>
      </c>
      <c r="O28" s="99">
        <v>77</v>
      </c>
      <c r="P28" s="159">
        <v>77</v>
      </c>
      <c r="Q28" s="99">
        <v>11</v>
      </c>
      <c r="R28" s="99">
        <v>30</v>
      </c>
      <c r="S28" s="99">
        <v>18</v>
      </c>
      <c r="T28" s="99">
        <v>10</v>
      </c>
      <c r="U28" s="99" t="s">
        <v>625</v>
      </c>
      <c r="V28" s="99">
        <v>10</v>
      </c>
      <c r="W28" s="99">
        <v>26</v>
      </c>
      <c r="X28" s="99">
        <v>17</v>
      </c>
      <c r="Y28" s="99">
        <v>56</v>
      </c>
      <c r="Z28" s="99">
        <v>55</v>
      </c>
      <c r="AA28" s="99" t="s">
        <v>625</v>
      </c>
      <c r="AB28" s="99" t="s">
        <v>625</v>
      </c>
      <c r="AC28" s="99" t="s">
        <v>625</v>
      </c>
      <c r="AD28" s="98" t="s">
        <v>355</v>
      </c>
      <c r="AE28" s="100">
        <v>0.1610610263522885</v>
      </c>
      <c r="AF28" s="100">
        <v>0.28</v>
      </c>
      <c r="AG28" s="98">
        <v>485.43689320388347</v>
      </c>
      <c r="AH28" s="98">
        <v>450.7628294036061</v>
      </c>
      <c r="AI28" s="100">
        <v>0.016</v>
      </c>
      <c r="AJ28" s="100">
        <v>0.607634</v>
      </c>
      <c r="AK28" s="100">
        <v>0.655172</v>
      </c>
      <c r="AL28" s="100">
        <v>0.658608</v>
      </c>
      <c r="AM28" s="100">
        <v>0.464164</v>
      </c>
      <c r="AN28" s="100">
        <v>0.503086</v>
      </c>
      <c r="AO28" s="98">
        <v>1334.9514563106795</v>
      </c>
      <c r="AP28" s="158">
        <v>0.7517636871000001</v>
      </c>
      <c r="AQ28" s="100">
        <v>0.14285714285714285</v>
      </c>
      <c r="AR28" s="100">
        <v>0.36666666666666664</v>
      </c>
      <c r="AS28" s="98">
        <v>312.06657420249655</v>
      </c>
      <c r="AT28" s="98">
        <v>173.37031900138697</v>
      </c>
      <c r="AU28" s="98" t="s">
        <v>625</v>
      </c>
      <c r="AV28" s="98">
        <v>173.37031900138697</v>
      </c>
      <c r="AW28" s="98">
        <v>450.7628294036061</v>
      </c>
      <c r="AX28" s="98">
        <v>294.72954230235786</v>
      </c>
      <c r="AY28" s="98">
        <v>970.8737864077669</v>
      </c>
      <c r="AZ28" s="98">
        <v>953.5367545076283</v>
      </c>
      <c r="BA28" s="100" t="s">
        <v>625</v>
      </c>
      <c r="BB28" s="100" t="s">
        <v>625</v>
      </c>
      <c r="BC28" s="100" t="s">
        <v>625</v>
      </c>
      <c r="BD28" s="158">
        <v>0.5932801056</v>
      </c>
      <c r="BE28" s="158">
        <v>0.9395755767999999</v>
      </c>
      <c r="BF28" s="162">
        <v>655</v>
      </c>
      <c r="BG28" s="162">
        <v>29</v>
      </c>
      <c r="BH28" s="162">
        <v>1365</v>
      </c>
      <c r="BI28" s="162">
        <v>586</v>
      </c>
      <c r="BJ28" s="162">
        <v>324</v>
      </c>
      <c r="BK28" s="97"/>
      <c r="BL28" s="97"/>
      <c r="BM28" s="97"/>
      <c r="BN28" s="97"/>
    </row>
    <row r="29" spans="1:66" ht="12.75">
      <c r="A29" s="79" t="s">
        <v>583</v>
      </c>
      <c r="B29" s="79" t="s">
        <v>320</v>
      </c>
      <c r="C29" s="79" t="s">
        <v>229</v>
      </c>
      <c r="D29" s="99">
        <v>2316</v>
      </c>
      <c r="E29" s="99">
        <v>432</v>
      </c>
      <c r="F29" s="99" t="s">
        <v>375</v>
      </c>
      <c r="G29" s="99">
        <v>14</v>
      </c>
      <c r="H29" s="99" t="s">
        <v>625</v>
      </c>
      <c r="I29" s="99">
        <v>51</v>
      </c>
      <c r="J29" s="99">
        <v>203</v>
      </c>
      <c r="K29" s="99">
        <v>63</v>
      </c>
      <c r="L29" s="99">
        <v>397</v>
      </c>
      <c r="M29" s="99">
        <v>137</v>
      </c>
      <c r="N29" s="99">
        <v>74</v>
      </c>
      <c r="O29" s="99">
        <v>21</v>
      </c>
      <c r="P29" s="159">
        <v>21</v>
      </c>
      <c r="Q29" s="99" t="s">
        <v>625</v>
      </c>
      <c r="R29" s="99">
        <v>14</v>
      </c>
      <c r="S29" s="99">
        <v>7</v>
      </c>
      <c r="T29" s="99" t="s">
        <v>625</v>
      </c>
      <c r="U29" s="99" t="s">
        <v>625</v>
      </c>
      <c r="V29" s="99" t="s">
        <v>625</v>
      </c>
      <c r="W29" s="99" t="s">
        <v>625</v>
      </c>
      <c r="X29" s="99">
        <v>10</v>
      </c>
      <c r="Y29" s="99">
        <v>18</v>
      </c>
      <c r="Z29" s="99">
        <v>8</v>
      </c>
      <c r="AA29" s="99" t="s">
        <v>625</v>
      </c>
      <c r="AB29" s="99" t="s">
        <v>625</v>
      </c>
      <c r="AC29" s="99" t="s">
        <v>625</v>
      </c>
      <c r="AD29" s="98" t="s">
        <v>355</v>
      </c>
      <c r="AE29" s="100">
        <v>0.18652849740932642</v>
      </c>
      <c r="AF29" s="100">
        <v>0.19</v>
      </c>
      <c r="AG29" s="98">
        <v>604.4905008635578</v>
      </c>
      <c r="AH29" s="98" t="s">
        <v>625</v>
      </c>
      <c r="AI29" s="100">
        <v>0.022000000000000002</v>
      </c>
      <c r="AJ29" s="100">
        <v>0.719858</v>
      </c>
      <c r="AK29" s="100">
        <v>0.797468</v>
      </c>
      <c r="AL29" s="100">
        <v>0.721818</v>
      </c>
      <c r="AM29" s="100">
        <v>0.528958</v>
      </c>
      <c r="AN29" s="100">
        <v>0.548148</v>
      </c>
      <c r="AO29" s="98">
        <v>906.7357512953367</v>
      </c>
      <c r="AP29" s="158">
        <v>0.465316391</v>
      </c>
      <c r="AQ29" s="100" t="s">
        <v>625</v>
      </c>
      <c r="AR29" s="100" t="s">
        <v>625</v>
      </c>
      <c r="AS29" s="98">
        <v>302.2452504317789</v>
      </c>
      <c r="AT29" s="98" t="s">
        <v>625</v>
      </c>
      <c r="AU29" s="98" t="s">
        <v>625</v>
      </c>
      <c r="AV29" s="98" t="s">
        <v>625</v>
      </c>
      <c r="AW29" s="98" t="s">
        <v>625</v>
      </c>
      <c r="AX29" s="98">
        <v>431.77892918825563</v>
      </c>
      <c r="AY29" s="98">
        <v>777.2020725388601</v>
      </c>
      <c r="AZ29" s="98">
        <v>345.4231433506045</v>
      </c>
      <c r="BA29" s="100" t="s">
        <v>625</v>
      </c>
      <c r="BB29" s="100" t="s">
        <v>625</v>
      </c>
      <c r="BC29" s="100" t="s">
        <v>625</v>
      </c>
      <c r="BD29" s="158">
        <v>0.2880381775</v>
      </c>
      <c r="BE29" s="158">
        <v>0.7112855530000001</v>
      </c>
      <c r="BF29" s="162">
        <v>282</v>
      </c>
      <c r="BG29" s="162">
        <v>79</v>
      </c>
      <c r="BH29" s="162">
        <v>550</v>
      </c>
      <c r="BI29" s="162">
        <v>259</v>
      </c>
      <c r="BJ29" s="162">
        <v>135</v>
      </c>
      <c r="BK29" s="97"/>
      <c r="BL29" s="97"/>
      <c r="BM29" s="97"/>
      <c r="BN29" s="97"/>
    </row>
    <row r="30" spans="1:66" ht="12.75">
      <c r="A30" s="79" t="s">
        <v>611</v>
      </c>
      <c r="B30" s="79" t="s">
        <v>348</v>
      </c>
      <c r="C30" s="79" t="s">
        <v>229</v>
      </c>
      <c r="D30" s="99">
        <v>1785</v>
      </c>
      <c r="E30" s="99">
        <v>286</v>
      </c>
      <c r="F30" s="99" t="s">
        <v>376</v>
      </c>
      <c r="G30" s="99">
        <v>14</v>
      </c>
      <c r="H30" s="99">
        <v>6</v>
      </c>
      <c r="I30" s="99">
        <v>17</v>
      </c>
      <c r="J30" s="99">
        <v>132</v>
      </c>
      <c r="K30" s="99" t="s">
        <v>625</v>
      </c>
      <c r="L30" s="99">
        <v>298</v>
      </c>
      <c r="M30" s="99">
        <v>83</v>
      </c>
      <c r="N30" s="99">
        <v>42</v>
      </c>
      <c r="O30" s="99">
        <v>23</v>
      </c>
      <c r="P30" s="159">
        <v>23</v>
      </c>
      <c r="Q30" s="99" t="s">
        <v>625</v>
      </c>
      <c r="R30" s="99" t="s">
        <v>625</v>
      </c>
      <c r="S30" s="99">
        <v>9</v>
      </c>
      <c r="T30" s="99" t="s">
        <v>625</v>
      </c>
      <c r="U30" s="99" t="s">
        <v>625</v>
      </c>
      <c r="V30" s="99" t="s">
        <v>625</v>
      </c>
      <c r="W30" s="99">
        <v>7</v>
      </c>
      <c r="X30" s="99" t="s">
        <v>625</v>
      </c>
      <c r="Y30" s="99">
        <v>12</v>
      </c>
      <c r="Z30" s="99">
        <v>10</v>
      </c>
      <c r="AA30" s="99" t="s">
        <v>625</v>
      </c>
      <c r="AB30" s="99" t="s">
        <v>625</v>
      </c>
      <c r="AC30" s="99" t="s">
        <v>625</v>
      </c>
      <c r="AD30" s="98" t="s">
        <v>355</v>
      </c>
      <c r="AE30" s="100">
        <v>0.16022408963585436</v>
      </c>
      <c r="AF30" s="100">
        <v>0.24</v>
      </c>
      <c r="AG30" s="98">
        <v>784.3137254901961</v>
      </c>
      <c r="AH30" s="98">
        <v>336.1344537815126</v>
      </c>
      <c r="AI30" s="100">
        <v>0.01</v>
      </c>
      <c r="AJ30" s="100">
        <v>0.680412</v>
      </c>
      <c r="AK30" s="100" t="s">
        <v>625</v>
      </c>
      <c r="AL30" s="100">
        <v>0.735802</v>
      </c>
      <c r="AM30" s="100">
        <v>0.419192</v>
      </c>
      <c r="AN30" s="100">
        <v>0.42</v>
      </c>
      <c r="AO30" s="98">
        <v>1288.515406162465</v>
      </c>
      <c r="AP30" s="158">
        <v>0.7200415039000001</v>
      </c>
      <c r="AQ30" s="100" t="s">
        <v>625</v>
      </c>
      <c r="AR30" s="100" t="s">
        <v>625</v>
      </c>
      <c r="AS30" s="98">
        <v>504.20168067226894</v>
      </c>
      <c r="AT30" s="98" t="s">
        <v>625</v>
      </c>
      <c r="AU30" s="98" t="s">
        <v>625</v>
      </c>
      <c r="AV30" s="98" t="s">
        <v>625</v>
      </c>
      <c r="AW30" s="98">
        <v>392.15686274509807</v>
      </c>
      <c r="AX30" s="98" t="s">
        <v>625</v>
      </c>
      <c r="AY30" s="98">
        <v>672.2689075630252</v>
      </c>
      <c r="AZ30" s="98">
        <v>560.2240896358544</v>
      </c>
      <c r="BA30" s="101" t="s">
        <v>625</v>
      </c>
      <c r="BB30" s="101" t="s">
        <v>625</v>
      </c>
      <c r="BC30" s="101" t="s">
        <v>625</v>
      </c>
      <c r="BD30" s="158">
        <v>0.45644454959999997</v>
      </c>
      <c r="BE30" s="158">
        <v>1.080415802</v>
      </c>
      <c r="BF30" s="162">
        <v>194</v>
      </c>
      <c r="BG30" s="162" t="s">
        <v>625</v>
      </c>
      <c r="BH30" s="162">
        <v>405</v>
      </c>
      <c r="BI30" s="162">
        <v>198</v>
      </c>
      <c r="BJ30" s="162">
        <v>100</v>
      </c>
      <c r="BK30" s="97"/>
      <c r="BL30" s="97"/>
      <c r="BM30" s="97"/>
      <c r="BN30" s="97"/>
    </row>
    <row r="31" spans="1:66" ht="12.75">
      <c r="A31" s="79" t="s">
        <v>557</v>
      </c>
      <c r="B31" s="79" t="s">
        <v>296</v>
      </c>
      <c r="C31" s="79" t="s">
        <v>229</v>
      </c>
      <c r="D31" s="99">
        <v>10683</v>
      </c>
      <c r="E31" s="99">
        <v>2229</v>
      </c>
      <c r="F31" s="99" t="s">
        <v>378</v>
      </c>
      <c r="G31" s="99">
        <v>54</v>
      </c>
      <c r="H31" s="99">
        <v>37</v>
      </c>
      <c r="I31" s="99">
        <v>159</v>
      </c>
      <c r="J31" s="99">
        <v>896</v>
      </c>
      <c r="K31" s="99">
        <v>430</v>
      </c>
      <c r="L31" s="99">
        <v>1930</v>
      </c>
      <c r="M31" s="99">
        <v>616</v>
      </c>
      <c r="N31" s="99">
        <v>340</v>
      </c>
      <c r="O31" s="99">
        <v>172</v>
      </c>
      <c r="P31" s="159">
        <v>172</v>
      </c>
      <c r="Q31" s="99">
        <v>23</v>
      </c>
      <c r="R31" s="99">
        <v>43</v>
      </c>
      <c r="S31" s="99">
        <v>42</v>
      </c>
      <c r="T31" s="99">
        <v>27</v>
      </c>
      <c r="U31" s="99" t="s">
        <v>625</v>
      </c>
      <c r="V31" s="99">
        <v>23</v>
      </c>
      <c r="W31" s="99">
        <v>41</v>
      </c>
      <c r="X31" s="99">
        <v>38</v>
      </c>
      <c r="Y31" s="99">
        <v>108</v>
      </c>
      <c r="Z31" s="99">
        <v>61</v>
      </c>
      <c r="AA31" s="99" t="s">
        <v>625</v>
      </c>
      <c r="AB31" s="99" t="s">
        <v>625</v>
      </c>
      <c r="AC31" s="99" t="s">
        <v>625</v>
      </c>
      <c r="AD31" s="98" t="s">
        <v>355</v>
      </c>
      <c r="AE31" s="100">
        <v>0.20864925582701488</v>
      </c>
      <c r="AF31" s="100">
        <v>0.14</v>
      </c>
      <c r="AG31" s="98">
        <v>505.4759898904802</v>
      </c>
      <c r="AH31" s="98">
        <v>346.3446597397735</v>
      </c>
      <c r="AI31" s="100">
        <v>0.015</v>
      </c>
      <c r="AJ31" s="100">
        <v>0.708861</v>
      </c>
      <c r="AK31" s="100">
        <v>0.82218</v>
      </c>
      <c r="AL31" s="100">
        <v>0.765873</v>
      </c>
      <c r="AM31" s="100">
        <v>0.537053</v>
      </c>
      <c r="AN31" s="100">
        <v>0.537975</v>
      </c>
      <c r="AO31" s="98">
        <v>1610.034634465974</v>
      </c>
      <c r="AP31" s="158">
        <v>0.7961556244000001</v>
      </c>
      <c r="AQ31" s="100">
        <v>0.13372093023255813</v>
      </c>
      <c r="AR31" s="100">
        <v>0.5348837209302325</v>
      </c>
      <c r="AS31" s="98">
        <v>393.14799213704015</v>
      </c>
      <c r="AT31" s="98">
        <v>252.7379949452401</v>
      </c>
      <c r="AU31" s="98" t="s">
        <v>625</v>
      </c>
      <c r="AV31" s="98">
        <v>215.29532902742676</v>
      </c>
      <c r="AW31" s="98">
        <v>383.78732565758685</v>
      </c>
      <c r="AX31" s="98">
        <v>355.70532621922683</v>
      </c>
      <c r="AY31" s="98">
        <v>1010.9519797809604</v>
      </c>
      <c r="AZ31" s="98">
        <v>571.0006552466535</v>
      </c>
      <c r="BA31" s="100" t="s">
        <v>625</v>
      </c>
      <c r="BB31" s="100" t="s">
        <v>625</v>
      </c>
      <c r="BC31" s="100" t="s">
        <v>625</v>
      </c>
      <c r="BD31" s="158">
        <v>0.6816164398</v>
      </c>
      <c r="BE31" s="158">
        <v>0.9244338989</v>
      </c>
      <c r="BF31" s="162">
        <v>1264</v>
      </c>
      <c r="BG31" s="162">
        <v>523</v>
      </c>
      <c r="BH31" s="162">
        <v>2520</v>
      </c>
      <c r="BI31" s="162">
        <v>1147</v>
      </c>
      <c r="BJ31" s="162">
        <v>632</v>
      </c>
      <c r="BK31" s="97"/>
      <c r="BL31" s="97"/>
      <c r="BM31" s="97"/>
      <c r="BN31" s="97"/>
    </row>
    <row r="32" spans="1:66" ht="12.75">
      <c r="A32" s="79" t="s">
        <v>612</v>
      </c>
      <c r="B32" s="79" t="s">
        <v>349</v>
      </c>
      <c r="C32" s="79" t="s">
        <v>229</v>
      </c>
      <c r="D32" s="99">
        <v>2352</v>
      </c>
      <c r="E32" s="99">
        <v>387</v>
      </c>
      <c r="F32" s="99" t="s">
        <v>377</v>
      </c>
      <c r="G32" s="99">
        <v>8</v>
      </c>
      <c r="H32" s="99" t="s">
        <v>625</v>
      </c>
      <c r="I32" s="99">
        <v>34</v>
      </c>
      <c r="J32" s="99">
        <v>227</v>
      </c>
      <c r="K32" s="99">
        <v>109</v>
      </c>
      <c r="L32" s="99">
        <v>449</v>
      </c>
      <c r="M32" s="99">
        <v>140</v>
      </c>
      <c r="N32" s="99">
        <v>77</v>
      </c>
      <c r="O32" s="99">
        <v>65</v>
      </c>
      <c r="P32" s="159">
        <v>65</v>
      </c>
      <c r="Q32" s="99" t="s">
        <v>625</v>
      </c>
      <c r="R32" s="99">
        <v>13</v>
      </c>
      <c r="S32" s="99">
        <v>20</v>
      </c>
      <c r="T32" s="99" t="s">
        <v>625</v>
      </c>
      <c r="U32" s="99" t="s">
        <v>625</v>
      </c>
      <c r="V32" s="99">
        <v>10</v>
      </c>
      <c r="W32" s="99">
        <v>12</v>
      </c>
      <c r="X32" s="99" t="s">
        <v>625</v>
      </c>
      <c r="Y32" s="99">
        <v>26</v>
      </c>
      <c r="Z32" s="99">
        <v>6</v>
      </c>
      <c r="AA32" s="99" t="s">
        <v>625</v>
      </c>
      <c r="AB32" s="99" t="s">
        <v>625</v>
      </c>
      <c r="AC32" s="99" t="s">
        <v>625</v>
      </c>
      <c r="AD32" s="98" t="s">
        <v>355</v>
      </c>
      <c r="AE32" s="100">
        <v>0.16454081632653061</v>
      </c>
      <c r="AF32" s="100">
        <v>0.11</v>
      </c>
      <c r="AG32" s="98">
        <v>340.13605442176873</v>
      </c>
      <c r="AH32" s="98" t="s">
        <v>625</v>
      </c>
      <c r="AI32" s="100">
        <v>0.013999999999999999</v>
      </c>
      <c r="AJ32" s="100">
        <v>0.790941</v>
      </c>
      <c r="AK32" s="100">
        <v>0.813433</v>
      </c>
      <c r="AL32" s="100">
        <v>0.770154</v>
      </c>
      <c r="AM32" s="100">
        <v>0.571429</v>
      </c>
      <c r="AN32" s="100">
        <v>0.606299</v>
      </c>
      <c r="AO32" s="98">
        <v>2763.605442176871</v>
      </c>
      <c r="AP32" s="158">
        <v>1.512642365</v>
      </c>
      <c r="AQ32" s="100" t="s">
        <v>625</v>
      </c>
      <c r="AR32" s="100" t="s">
        <v>625</v>
      </c>
      <c r="AS32" s="98">
        <v>850.3401360544218</v>
      </c>
      <c r="AT32" s="98" t="s">
        <v>625</v>
      </c>
      <c r="AU32" s="98" t="s">
        <v>625</v>
      </c>
      <c r="AV32" s="98">
        <v>425.1700680272109</v>
      </c>
      <c r="AW32" s="98">
        <v>510.2040816326531</v>
      </c>
      <c r="AX32" s="98" t="s">
        <v>625</v>
      </c>
      <c r="AY32" s="98">
        <v>1105.4421768707482</v>
      </c>
      <c r="AZ32" s="98">
        <v>255.10204081632654</v>
      </c>
      <c r="BA32" s="101" t="s">
        <v>625</v>
      </c>
      <c r="BB32" s="101" t="s">
        <v>625</v>
      </c>
      <c r="BC32" s="101" t="s">
        <v>625</v>
      </c>
      <c r="BD32" s="158">
        <v>1.1674254609999999</v>
      </c>
      <c r="BE32" s="158">
        <v>1.927986908</v>
      </c>
      <c r="BF32" s="162">
        <v>287</v>
      </c>
      <c r="BG32" s="162">
        <v>134</v>
      </c>
      <c r="BH32" s="162">
        <v>583</v>
      </c>
      <c r="BI32" s="162">
        <v>245</v>
      </c>
      <c r="BJ32" s="162">
        <v>127</v>
      </c>
      <c r="BK32" s="97"/>
      <c r="BL32" s="97"/>
      <c r="BM32" s="97"/>
      <c r="BN32" s="97"/>
    </row>
    <row r="33" spans="1:66" ht="12.75">
      <c r="A33" s="79" t="s">
        <v>560</v>
      </c>
      <c r="B33" s="79" t="s">
        <v>298</v>
      </c>
      <c r="C33" s="79" t="s">
        <v>229</v>
      </c>
      <c r="D33" s="99">
        <v>10497</v>
      </c>
      <c r="E33" s="99">
        <v>1672</v>
      </c>
      <c r="F33" s="99" t="s">
        <v>375</v>
      </c>
      <c r="G33" s="99">
        <v>44</v>
      </c>
      <c r="H33" s="99">
        <v>33</v>
      </c>
      <c r="I33" s="99">
        <v>193</v>
      </c>
      <c r="J33" s="99">
        <v>779</v>
      </c>
      <c r="K33" s="99" t="s">
        <v>625</v>
      </c>
      <c r="L33" s="99">
        <v>2073</v>
      </c>
      <c r="M33" s="99">
        <v>486</v>
      </c>
      <c r="N33" s="99">
        <v>279</v>
      </c>
      <c r="O33" s="99">
        <v>228</v>
      </c>
      <c r="P33" s="159">
        <v>228</v>
      </c>
      <c r="Q33" s="99">
        <v>31</v>
      </c>
      <c r="R33" s="99">
        <v>56</v>
      </c>
      <c r="S33" s="99">
        <v>45</v>
      </c>
      <c r="T33" s="99">
        <v>26</v>
      </c>
      <c r="U33" s="99">
        <v>7</v>
      </c>
      <c r="V33" s="99">
        <v>28</v>
      </c>
      <c r="W33" s="99">
        <v>49</v>
      </c>
      <c r="X33" s="99">
        <v>50</v>
      </c>
      <c r="Y33" s="99">
        <v>125</v>
      </c>
      <c r="Z33" s="99">
        <v>60</v>
      </c>
      <c r="AA33" s="99" t="s">
        <v>625</v>
      </c>
      <c r="AB33" s="99" t="s">
        <v>625</v>
      </c>
      <c r="AC33" s="99" t="s">
        <v>625</v>
      </c>
      <c r="AD33" s="98" t="s">
        <v>355</v>
      </c>
      <c r="AE33" s="100">
        <v>0.15928360483947795</v>
      </c>
      <c r="AF33" s="100">
        <v>0.18</v>
      </c>
      <c r="AG33" s="98">
        <v>419.1673811565209</v>
      </c>
      <c r="AH33" s="98">
        <v>314.3755358673907</v>
      </c>
      <c r="AI33" s="100">
        <v>0.018000000000000002</v>
      </c>
      <c r="AJ33" s="100">
        <v>0.663543</v>
      </c>
      <c r="AK33" s="100" t="s">
        <v>625</v>
      </c>
      <c r="AL33" s="100">
        <v>0.744078</v>
      </c>
      <c r="AM33" s="100">
        <v>0.481665</v>
      </c>
      <c r="AN33" s="100">
        <v>0.510989</v>
      </c>
      <c r="AO33" s="98">
        <v>2172.049156901972</v>
      </c>
      <c r="AP33" s="158">
        <v>1.178019562</v>
      </c>
      <c r="AQ33" s="100">
        <v>0.13596491228070176</v>
      </c>
      <c r="AR33" s="100">
        <v>0.5535714285714286</v>
      </c>
      <c r="AS33" s="98">
        <v>428.6939125464418</v>
      </c>
      <c r="AT33" s="98">
        <v>247.68981613794418</v>
      </c>
      <c r="AU33" s="98">
        <v>66.6857197294465</v>
      </c>
      <c r="AV33" s="98">
        <v>266.742878917786</v>
      </c>
      <c r="AW33" s="98">
        <v>466.80003810612556</v>
      </c>
      <c r="AX33" s="98">
        <v>476.3265694960465</v>
      </c>
      <c r="AY33" s="98">
        <v>1190.8164237401163</v>
      </c>
      <c r="AZ33" s="98">
        <v>571.5918833952558</v>
      </c>
      <c r="BA33" s="100" t="s">
        <v>625</v>
      </c>
      <c r="BB33" s="100" t="s">
        <v>625</v>
      </c>
      <c r="BC33" s="100" t="s">
        <v>625</v>
      </c>
      <c r="BD33" s="158">
        <v>1.030061417</v>
      </c>
      <c r="BE33" s="158">
        <v>1.3412637330000001</v>
      </c>
      <c r="BF33" s="162">
        <v>1174</v>
      </c>
      <c r="BG33" s="162" t="s">
        <v>625</v>
      </c>
      <c r="BH33" s="162">
        <v>2786</v>
      </c>
      <c r="BI33" s="162">
        <v>1009</v>
      </c>
      <c r="BJ33" s="162">
        <v>546</v>
      </c>
      <c r="BK33" s="97"/>
      <c r="BL33" s="97"/>
      <c r="BM33" s="97"/>
      <c r="BN33" s="97"/>
    </row>
    <row r="34" spans="1:66" ht="12.75">
      <c r="A34" s="79" t="s">
        <v>565</v>
      </c>
      <c r="B34" s="79" t="s">
        <v>302</v>
      </c>
      <c r="C34" s="79" t="s">
        <v>229</v>
      </c>
      <c r="D34" s="99">
        <v>6882</v>
      </c>
      <c r="E34" s="99">
        <v>1178</v>
      </c>
      <c r="F34" s="99" t="s">
        <v>376</v>
      </c>
      <c r="G34" s="99">
        <v>37</v>
      </c>
      <c r="H34" s="99">
        <v>20</v>
      </c>
      <c r="I34" s="99">
        <v>105</v>
      </c>
      <c r="J34" s="99">
        <v>519</v>
      </c>
      <c r="K34" s="99">
        <v>424</v>
      </c>
      <c r="L34" s="99">
        <v>1164</v>
      </c>
      <c r="M34" s="99">
        <v>269</v>
      </c>
      <c r="N34" s="99">
        <v>149</v>
      </c>
      <c r="O34" s="99">
        <v>157</v>
      </c>
      <c r="P34" s="159">
        <v>157</v>
      </c>
      <c r="Q34" s="99">
        <v>15</v>
      </c>
      <c r="R34" s="99">
        <v>31</v>
      </c>
      <c r="S34" s="99">
        <v>37</v>
      </c>
      <c r="T34" s="99">
        <v>19</v>
      </c>
      <c r="U34" s="99" t="s">
        <v>625</v>
      </c>
      <c r="V34" s="99">
        <v>18</v>
      </c>
      <c r="W34" s="99">
        <v>31</v>
      </c>
      <c r="X34" s="99">
        <v>21</v>
      </c>
      <c r="Y34" s="99">
        <v>108</v>
      </c>
      <c r="Z34" s="99">
        <v>48</v>
      </c>
      <c r="AA34" s="99" t="s">
        <v>625</v>
      </c>
      <c r="AB34" s="99" t="s">
        <v>625</v>
      </c>
      <c r="AC34" s="99" t="s">
        <v>625</v>
      </c>
      <c r="AD34" s="98" t="s">
        <v>355</v>
      </c>
      <c r="AE34" s="100">
        <v>0.17117117117117117</v>
      </c>
      <c r="AF34" s="100">
        <v>0.32</v>
      </c>
      <c r="AG34" s="98">
        <v>537.6344086021505</v>
      </c>
      <c r="AH34" s="98">
        <v>290.6131938390003</v>
      </c>
      <c r="AI34" s="100">
        <v>0.015</v>
      </c>
      <c r="AJ34" s="100">
        <v>0.760997</v>
      </c>
      <c r="AK34" s="100">
        <v>0.634731</v>
      </c>
      <c r="AL34" s="100">
        <v>0.70674</v>
      </c>
      <c r="AM34" s="100">
        <v>0.447587</v>
      </c>
      <c r="AN34" s="100">
        <v>0.442136</v>
      </c>
      <c r="AO34" s="98">
        <v>2281.313571636152</v>
      </c>
      <c r="AP34" s="158">
        <v>1.275603561</v>
      </c>
      <c r="AQ34" s="100">
        <v>0.09554140127388536</v>
      </c>
      <c r="AR34" s="100">
        <v>0.4838709677419355</v>
      </c>
      <c r="AS34" s="98">
        <v>537.6344086021505</v>
      </c>
      <c r="AT34" s="98">
        <v>276.0825341470503</v>
      </c>
      <c r="AU34" s="98" t="s">
        <v>625</v>
      </c>
      <c r="AV34" s="98">
        <v>261.5518744551003</v>
      </c>
      <c r="AW34" s="98">
        <v>450.45045045045043</v>
      </c>
      <c r="AX34" s="98">
        <v>305.1438535309503</v>
      </c>
      <c r="AY34" s="98">
        <v>1569.3112467306016</v>
      </c>
      <c r="AZ34" s="98">
        <v>697.4716652136007</v>
      </c>
      <c r="BA34" s="100" t="s">
        <v>625</v>
      </c>
      <c r="BB34" s="100" t="s">
        <v>625</v>
      </c>
      <c r="BC34" s="100" t="s">
        <v>625</v>
      </c>
      <c r="BD34" s="158">
        <v>1.083874207</v>
      </c>
      <c r="BE34" s="158">
        <v>1.4914764400000002</v>
      </c>
      <c r="BF34" s="162">
        <v>682</v>
      </c>
      <c r="BG34" s="162">
        <v>668</v>
      </c>
      <c r="BH34" s="162">
        <v>1647</v>
      </c>
      <c r="BI34" s="162">
        <v>601</v>
      </c>
      <c r="BJ34" s="162">
        <v>337</v>
      </c>
      <c r="BK34" s="97"/>
      <c r="BL34" s="97"/>
      <c r="BM34" s="97"/>
      <c r="BN34" s="97"/>
    </row>
    <row r="35" spans="1:66" ht="12.75">
      <c r="A35" s="79" t="s">
        <v>591</v>
      </c>
      <c r="B35" s="79" t="s">
        <v>328</v>
      </c>
      <c r="C35" s="79" t="s">
        <v>229</v>
      </c>
      <c r="D35" s="99">
        <v>4406</v>
      </c>
      <c r="E35" s="99">
        <v>233</v>
      </c>
      <c r="F35" s="99" t="s">
        <v>376</v>
      </c>
      <c r="G35" s="99" t="s">
        <v>625</v>
      </c>
      <c r="H35" s="99" t="s">
        <v>625</v>
      </c>
      <c r="I35" s="99">
        <v>20</v>
      </c>
      <c r="J35" s="99">
        <v>98</v>
      </c>
      <c r="K35" s="99">
        <v>93</v>
      </c>
      <c r="L35" s="99">
        <v>597</v>
      </c>
      <c r="M35" s="99">
        <v>36</v>
      </c>
      <c r="N35" s="99">
        <v>17</v>
      </c>
      <c r="O35" s="99">
        <v>13</v>
      </c>
      <c r="P35" s="159">
        <v>13</v>
      </c>
      <c r="Q35" s="99" t="s">
        <v>625</v>
      </c>
      <c r="R35" s="99">
        <v>10</v>
      </c>
      <c r="S35" s="99" t="s">
        <v>625</v>
      </c>
      <c r="T35" s="99" t="s">
        <v>625</v>
      </c>
      <c r="U35" s="99" t="s">
        <v>625</v>
      </c>
      <c r="V35" s="99" t="s">
        <v>625</v>
      </c>
      <c r="W35" s="99" t="s">
        <v>625</v>
      </c>
      <c r="X35" s="99">
        <v>12</v>
      </c>
      <c r="Y35" s="99">
        <v>26</v>
      </c>
      <c r="Z35" s="99">
        <v>16</v>
      </c>
      <c r="AA35" s="99" t="s">
        <v>625</v>
      </c>
      <c r="AB35" s="99" t="s">
        <v>625</v>
      </c>
      <c r="AC35" s="99" t="s">
        <v>625</v>
      </c>
      <c r="AD35" s="98" t="s">
        <v>355</v>
      </c>
      <c r="AE35" s="100">
        <v>0.052882433045846576</v>
      </c>
      <c r="AF35" s="100">
        <v>0.45</v>
      </c>
      <c r="AG35" s="98" t="s">
        <v>625</v>
      </c>
      <c r="AH35" s="98" t="s">
        <v>625</v>
      </c>
      <c r="AI35" s="100">
        <v>0.005</v>
      </c>
      <c r="AJ35" s="100">
        <v>0.513089</v>
      </c>
      <c r="AK35" s="100">
        <v>0.516667</v>
      </c>
      <c r="AL35" s="100">
        <v>0.712411</v>
      </c>
      <c r="AM35" s="100">
        <v>0.28125</v>
      </c>
      <c r="AN35" s="100">
        <v>0.236111</v>
      </c>
      <c r="AO35" s="98">
        <v>295.05220154334995</v>
      </c>
      <c r="AP35" s="158">
        <v>0.306946907</v>
      </c>
      <c r="AQ35" s="100" t="s">
        <v>625</v>
      </c>
      <c r="AR35" s="100" t="s">
        <v>625</v>
      </c>
      <c r="AS35" s="98" t="s">
        <v>625</v>
      </c>
      <c r="AT35" s="98" t="s">
        <v>625</v>
      </c>
      <c r="AU35" s="98" t="s">
        <v>625</v>
      </c>
      <c r="AV35" s="98" t="s">
        <v>625</v>
      </c>
      <c r="AW35" s="98" t="s">
        <v>625</v>
      </c>
      <c r="AX35" s="98">
        <v>272.3558783477077</v>
      </c>
      <c r="AY35" s="98">
        <v>590.1044030866999</v>
      </c>
      <c r="AZ35" s="98">
        <v>363.1411711302769</v>
      </c>
      <c r="BA35" s="100" t="s">
        <v>625</v>
      </c>
      <c r="BB35" s="100" t="s">
        <v>625</v>
      </c>
      <c r="BC35" s="100" t="s">
        <v>625</v>
      </c>
      <c r="BD35" s="158">
        <v>0.16343629839999999</v>
      </c>
      <c r="BE35" s="158">
        <v>0.5248885345000001</v>
      </c>
      <c r="BF35" s="162">
        <v>191</v>
      </c>
      <c r="BG35" s="162">
        <v>180</v>
      </c>
      <c r="BH35" s="162">
        <v>838</v>
      </c>
      <c r="BI35" s="162">
        <v>128</v>
      </c>
      <c r="BJ35" s="162">
        <v>72</v>
      </c>
      <c r="BK35" s="97"/>
      <c r="BL35" s="97"/>
      <c r="BM35" s="97"/>
      <c r="BN35" s="97"/>
    </row>
    <row r="36" spans="1:66" ht="12.75">
      <c r="A36" s="79" t="s">
        <v>573</v>
      </c>
      <c r="B36" s="79" t="s">
        <v>310</v>
      </c>
      <c r="C36" s="79" t="s">
        <v>229</v>
      </c>
      <c r="D36" s="99">
        <v>2785</v>
      </c>
      <c r="E36" s="99">
        <v>246</v>
      </c>
      <c r="F36" s="99" t="s">
        <v>376</v>
      </c>
      <c r="G36" s="99">
        <v>9</v>
      </c>
      <c r="H36" s="99" t="s">
        <v>625</v>
      </c>
      <c r="I36" s="99">
        <v>27</v>
      </c>
      <c r="J36" s="99">
        <v>136</v>
      </c>
      <c r="K36" s="99">
        <v>134</v>
      </c>
      <c r="L36" s="99">
        <v>395</v>
      </c>
      <c r="M36" s="99">
        <v>53</v>
      </c>
      <c r="N36" s="99">
        <v>26</v>
      </c>
      <c r="O36" s="99">
        <v>43</v>
      </c>
      <c r="P36" s="159">
        <v>43</v>
      </c>
      <c r="Q36" s="99" t="s">
        <v>625</v>
      </c>
      <c r="R36" s="99">
        <v>10</v>
      </c>
      <c r="S36" s="99">
        <v>18</v>
      </c>
      <c r="T36" s="99" t="s">
        <v>625</v>
      </c>
      <c r="U36" s="99" t="s">
        <v>625</v>
      </c>
      <c r="V36" s="99" t="s">
        <v>625</v>
      </c>
      <c r="W36" s="99">
        <v>7</v>
      </c>
      <c r="X36" s="99">
        <v>11</v>
      </c>
      <c r="Y36" s="99">
        <v>25</v>
      </c>
      <c r="Z36" s="99">
        <v>14</v>
      </c>
      <c r="AA36" s="99" t="s">
        <v>625</v>
      </c>
      <c r="AB36" s="99" t="s">
        <v>625</v>
      </c>
      <c r="AC36" s="99" t="s">
        <v>625</v>
      </c>
      <c r="AD36" s="98" t="s">
        <v>355</v>
      </c>
      <c r="AE36" s="100">
        <v>0.08833034111310592</v>
      </c>
      <c r="AF36" s="100">
        <v>0.35</v>
      </c>
      <c r="AG36" s="98">
        <v>323.15978456014363</v>
      </c>
      <c r="AH36" s="98" t="s">
        <v>625</v>
      </c>
      <c r="AI36" s="100">
        <v>0.01</v>
      </c>
      <c r="AJ36" s="100">
        <v>0.607143</v>
      </c>
      <c r="AK36" s="100">
        <v>0.611872</v>
      </c>
      <c r="AL36" s="100">
        <v>0.603976</v>
      </c>
      <c r="AM36" s="100">
        <v>0.333333</v>
      </c>
      <c r="AN36" s="100">
        <v>0.320988</v>
      </c>
      <c r="AO36" s="98">
        <v>1543.9856373429084</v>
      </c>
      <c r="AP36" s="158">
        <v>1.169480209</v>
      </c>
      <c r="AQ36" s="100" t="s">
        <v>625</v>
      </c>
      <c r="AR36" s="100" t="s">
        <v>625</v>
      </c>
      <c r="AS36" s="98">
        <v>646.3195691202873</v>
      </c>
      <c r="AT36" s="98" t="s">
        <v>625</v>
      </c>
      <c r="AU36" s="98" t="s">
        <v>625</v>
      </c>
      <c r="AV36" s="98" t="s">
        <v>625</v>
      </c>
      <c r="AW36" s="98">
        <v>251.34649910233392</v>
      </c>
      <c r="AX36" s="98">
        <v>394.9730700179533</v>
      </c>
      <c r="AY36" s="98">
        <v>897.6660682226212</v>
      </c>
      <c r="AZ36" s="98">
        <v>502.69299820466784</v>
      </c>
      <c r="BA36" s="100" t="s">
        <v>625</v>
      </c>
      <c r="BB36" s="100" t="s">
        <v>625</v>
      </c>
      <c r="BC36" s="100" t="s">
        <v>625</v>
      </c>
      <c r="BD36" s="158">
        <v>0.8463585663000001</v>
      </c>
      <c r="BE36" s="158">
        <v>1.575282135</v>
      </c>
      <c r="BF36" s="162">
        <v>224</v>
      </c>
      <c r="BG36" s="162">
        <v>219</v>
      </c>
      <c r="BH36" s="162">
        <v>654</v>
      </c>
      <c r="BI36" s="162">
        <v>159</v>
      </c>
      <c r="BJ36" s="162">
        <v>81</v>
      </c>
      <c r="BK36" s="97"/>
      <c r="BL36" s="97"/>
      <c r="BM36" s="97"/>
      <c r="BN36" s="97"/>
    </row>
    <row r="37" spans="1:66" ht="12.75">
      <c r="A37" s="79" t="s">
        <v>593</v>
      </c>
      <c r="B37" s="79" t="s">
        <v>330</v>
      </c>
      <c r="C37" s="79" t="s">
        <v>229</v>
      </c>
      <c r="D37" s="99">
        <v>2302</v>
      </c>
      <c r="E37" s="99">
        <v>335</v>
      </c>
      <c r="F37" s="99" t="s">
        <v>375</v>
      </c>
      <c r="G37" s="99">
        <v>10</v>
      </c>
      <c r="H37" s="99">
        <v>6</v>
      </c>
      <c r="I37" s="99">
        <v>46</v>
      </c>
      <c r="J37" s="99">
        <v>155</v>
      </c>
      <c r="K37" s="99" t="s">
        <v>625</v>
      </c>
      <c r="L37" s="99">
        <v>390</v>
      </c>
      <c r="M37" s="99">
        <v>101</v>
      </c>
      <c r="N37" s="99">
        <v>58</v>
      </c>
      <c r="O37" s="99">
        <v>9</v>
      </c>
      <c r="P37" s="159">
        <v>9</v>
      </c>
      <c r="Q37" s="99" t="s">
        <v>625</v>
      </c>
      <c r="R37" s="99" t="s">
        <v>625</v>
      </c>
      <c r="S37" s="99" t="s">
        <v>625</v>
      </c>
      <c r="T37" s="99" t="s">
        <v>625</v>
      </c>
      <c r="U37" s="99" t="s">
        <v>625</v>
      </c>
      <c r="V37" s="99" t="s">
        <v>625</v>
      </c>
      <c r="W37" s="99">
        <v>10</v>
      </c>
      <c r="X37" s="99" t="s">
        <v>625</v>
      </c>
      <c r="Y37" s="99">
        <v>17</v>
      </c>
      <c r="Z37" s="99">
        <v>23</v>
      </c>
      <c r="AA37" s="99" t="s">
        <v>625</v>
      </c>
      <c r="AB37" s="99" t="s">
        <v>625</v>
      </c>
      <c r="AC37" s="99" t="s">
        <v>625</v>
      </c>
      <c r="AD37" s="98" t="s">
        <v>355</v>
      </c>
      <c r="AE37" s="100">
        <v>0.14552562988705472</v>
      </c>
      <c r="AF37" s="100">
        <v>0.2</v>
      </c>
      <c r="AG37" s="98">
        <v>434.4048653344918</v>
      </c>
      <c r="AH37" s="98">
        <v>260.6429192006951</v>
      </c>
      <c r="AI37" s="100">
        <v>0.02</v>
      </c>
      <c r="AJ37" s="100">
        <v>0.63786</v>
      </c>
      <c r="AK37" s="100" t="s">
        <v>625</v>
      </c>
      <c r="AL37" s="100">
        <v>0.722222</v>
      </c>
      <c r="AM37" s="100">
        <v>0.492683</v>
      </c>
      <c r="AN37" s="100">
        <v>0.504348</v>
      </c>
      <c r="AO37" s="98">
        <v>390.9643788010426</v>
      </c>
      <c r="AP37" s="158">
        <v>0.2246174431</v>
      </c>
      <c r="AQ37" s="100" t="s">
        <v>625</v>
      </c>
      <c r="AR37" s="100" t="s">
        <v>625</v>
      </c>
      <c r="AS37" s="98" t="s">
        <v>625</v>
      </c>
      <c r="AT37" s="98" t="s">
        <v>625</v>
      </c>
      <c r="AU37" s="98" t="s">
        <v>625</v>
      </c>
      <c r="AV37" s="98" t="s">
        <v>625</v>
      </c>
      <c r="AW37" s="98">
        <v>434.4048653344918</v>
      </c>
      <c r="AX37" s="98" t="s">
        <v>625</v>
      </c>
      <c r="AY37" s="98">
        <v>738.488271068636</v>
      </c>
      <c r="AZ37" s="98">
        <v>999.131190269331</v>
      </c>
      <c r="BA37" s="100" t="s">
        <v>625</v>
      </c>
      <c r="BB37" s="100" t="s">
        <v>625</v>
      </c>
      <c r="BC37" s="100" t="s">
        <v>625</v>
      </c>
      <c r="BD37" s="158">
        <v>0.10270939829999999</v>
      </c>
      <c r="BE37" s="158">
        <v>0.42639385220000003</v>
      </c>
      <c r="BF37" s="162">
        <v>243</v>
      </c>
      <c r="BG37" s="162" t="s">
        <v>625</v>
      </c>
      <c r="BH37" s="162">
        <v>540</v>
      </c>
      <c r="BI37" s="162">
        <v>205</v>
      </c>
      <c r="BJ37" s="162">
        <v>115</v>
      </c>
      <c r="BK37" s="97"/>
      <c r="BL37" s="97"/>
      <c r="BM37" s="97"/>
      <c r="BN37" s="97"/>
    </row>
    <row r="38" spans="1:66" ht="12.75">
      <c r="A38" s="79" t="s">
        <v>584</v>
      </c>
      <c r="B38" s="79" t="s">
        <v>321</v>
      </c>
      <c r="C38" s="79" t="s">
        <v>229</v>
      </c>
      <c r="D38" s="99">
        <v>3394</v>
      </c>
      <c r="E38" s="99">
        <v>436</v>
      </c>
      <c r="F38" s="99" t="s">
        <v>376</v>
      </c>
      <c r="G38" s="99" t="s">
        <v>625</v>
      </c>
      <c r="H38" s="99">
        <v>6</v>
      </c>
      <c r="I38" s="99">
        <v>20</v>
      </c>
      <c r="J38" s="99">
        <v>121</v>
      </c>
      <c r="K38" s="99">
        <v>8</v>
      </c>
      <c r="L38" s="99">
        <v>343</v>
      </c>
      <c r="M38" s="99">
        <v>45</v>
      </c>
      <c r="N38" s="99">
        <v>29</v>
      </c>
      <c r="O38" s="99">
        <v>9</v>
      </c>
      <c r="P38" s="159">
        <v>9</v>
      </c>
      <c r="Q38" s="99" t="s">
        <v>625</v>
      </c>
      <c r="R38" s="99" t="s">
        <v>625</v>
      </c>
      <c r="S38" s="99" t="s">
        <v>625</v>
      </c>
      <c r="T38" s="99" t="s">
        <v>625</v>
      </c>
      <c r="U38" s="99" t="s">
        <v>625</v>
      </c>
      <c r="V38" s="99" t="s">
        <v>625</v>
      </c>
      <c r="W38" s="99">
        <v>7</v>
      </c>
      <c r="X38" s="99">
        <v>9</v>
      </c>
      <c r="Y38" s="99">
        <v>31</v>
      </c>
      <c r="Z38" s="99">
        <v>15</v>
      </c>
      <c r="AA38" s="99" t="s">
        <v>625</v>
      </c>
      <c r="AB38" s="99" t="s">
        <v>625</v>
      </c>
      <c r="AC38" s="99" t="s">
        <v>625</v>
      </c>
      <c r="AD38" s="98" t="s">
        <v>355</v>
      </c>
      <c r="AE38" s="100">
        <v>0.12846199175014733</v>
      </c>
      <c r="AF38" s="100">
        <v>0.42</v>
      </c>
      <c r="AG38" s="98" t="s">
        <v>625</v>
      </c>
      <c r="AH38" s="98">
        <v>176.78255745433117</v>
      </c>
      <c r="AI38" s="100">
        <v>0.006</v>
      </c>
      <c r="AJ38" s="100">
        <v>0.443223</v>
      </c>
      <c r="AK38" s="100">
        <v>0.275862</v>
      </c>
      <c r="AL38" s="100">
        <v>0.534268</v>
      </c>
      <c r="AM38" s="100">
        <v>0.188285</v>
      </c>
      <c r="AN38" s="100">
        <v>0.218045</v>
      </c>
      <c r="AO38" s="98">
        <v>265.17383618149677</v>
      </c>
      <c r="AP38" s="158">
        <v>0.17765251159999998</v>
      </c>
      <c r="AQ38" s="100" t="s">
        <v>625</v>
      </c>
      <c r="AR38" s="100" t="s">
        <v>625</v>
      </c>
      <c r="AS38" s="98" t="s">
        <v>625</v>
      </c>
      <c r="AT38" s="98" t="s">
        <v>625</v>
      </c>
      <c r="AU38" s="98" t="s">
        <v>625</v>
      </c>
      <c r="AV38" s="98" t="s">
        <v>625</v>
      </c>
      <c r="AW38" s="98">
        <v>206.24631703005304</v>
      </c>
      <c r="AX38" s="98">
        <v>265.17383618149677</v>
      </c>
      <c r="AY38" s="98">
        <v>913.3765468473778</v>
      </c>
      <c r="AZ38" s="98">
        <v>441.9563936358279</v>
      </c>
      <c r="BA38" s="100" t="s">
        <v>625</v>
      </c>
      <c r="BB38" s="100" t="s">
        <v>625</v>
      </c>
      <c r="BC38" s="100" t="s">
        <v>625</v>
      </c>
      <c r="BD38" s="158">
        <v>0.08123403549000001</v>
      </c>
      <c r="BE38" s="158">
        <v>0.3372397995</v>
      </c>
      <c r="BF38" s="162">
        <v>273</v>
      </c>
      <c r="BG38" s="162">
        <v>29</v>
      </c>
      <c r="BH38" s="162">
        <v>642</v>
      </c>
      <c r="BI38" s="162">
        <v>239</v>
      </c>
      <c r="BJ38" s="162">
        <v>133</v>
      </c>
      <c r="BK38" s="97"/>
      <c r="BL38" s="97"/>
      <c r="BM38" s="97"/>
      <c r="BN38" s="97"/>
    </row>
    <row r="39" spans="1:66" ht="12.75">
      <c r="A39" s="79" t="s">
        <v>595</v>
      </c>
      <c r="B39" s="79" t="s">
        <v>332</v>
      </c>
      <c r="C39" s="79" t="s">
        <v>229</v>
      </c>
      <c r="D39" s="99">
        <v>2824</v>
      </c>
      <c r="E39" s="99">
        <v>349</v>
      </c>
      <c r="F39" s="99" t="s">
        <v>376</v>
      </c>
      <c r="G39" s="99">
        <v>10</v>
      </c>
      <c r="H39" s="99" t="s">
        <v>625</v>
      </c>
      <c r="I39" s="99">
        <v>41</v>
      </c>
      <c r="J39" s="99">
        <v>116</v>
      </c>
      <c r="K39" s="99" t="s">
        <v>625</v>
      </c>
      <c r="L39" s="99">
        <v>480</v>
      </c>
      <c r="M39" s="99">
        <v>67</v>
      </c>
      <c r="N39" s="99">
        <v>34</v>
      </c>
      <c r="O39" s="99">
        <v>13</v>
      </c>
      <c r="P39" s="159">
        <v>13</v>
      </c>
      <c r="Q39" s="99" t="s">
        <v>625</v>
      </c>
      <c r="R39" s="99">
        <v>10</v>
      </c>
      <c r="S39" s="99" t="s">
        <v>625</v>
      </c>
      <c r="T39" s="99" t="s">
        <v>625</v>
      </c>
      <c r="U39" s="99" t="s">
        <v>625</v>
      </c>
      <c r="V39" s="99" t="s">
        <v>625</v>
      </c>
      <c r="W39" s="99">
        <v>7</v>
      </c>
      <c r="X39" s="99" t="s">
        <v>625</v>
      </c>
      <c r="Y39" s="99">
        <v>30</v>
      </c>
      <c r="Z39" s="99">
        <v>15</v>
      </c>
      <c r="AA39" s="99" t="s">
        <v>625</v>
      </c>
      <c r="AB39" s="99" t="s">
        <v>625</v>
      </c>
      <c r="AC39" s="99" t="s">
        <v>625</v>
      </c>
      <c r="AD39" s="98" t="s">
        <v>355</v>
      </c>
      <c r="AE39" s="100">
        <v>0.12358356940509915</v>
      </c>
      <c r="AF39" s="100">
        <v>0.27</v>
      </c>
      <c r="AG39" s="98">
        <v>354.10764872521247</v>
      </c>
      <c r="AH39" s="98" t="s">
        <v>625</v>
      </c>
      <c r="AI39" s="100">
        <v>0.015</v>
      </c>
      <c r="AJ39" s="100">
        <v>0.610526</v>
      </c>
      <c r="AK39" s="100" t="s">
        <v>625</v>
      </c>
      <c r="AL39" s="100">
        <v>0.779221</v>
      </c>
      <c r="AM39" s="100">
        <v>0.360215</v>
      </c>
      <c r="AN39" s="100">
        <v>0.333333</v>
      </c>
      <c r="AO39" s="98">
        <v>460.3399433427762</v>
      </c>
      <c r="AP39" s="158">
        <v>0.3120846748</v>
      </c>
      <c r="AQ39" s="100" t="s">
        <v>625</v>
      </c>
      <c r="AR39" s="100" t="s">
        <v>625</v>
      </c>
      <c r="AS39" s="98" t="s">
        <v>625</v>
      </c>
      <c r="AT39" s="98" t="s">
        <v>625</v>
      </c>
      <c r="AU39" s="98" t="s">
        <v>625</v>
      </c>
      <c r="AV39" s="98" t="s">
        <v>625</v>
      </c>
      <c r="AW39" s="98">
        <v>247.87535410764872</v>
      </c>
      <c r="AX39" s="98" t="s">
        <v>625</v>
      </c>
      <c r="AY39" s="98">
        <v>1062.3229461756373</v>
      </c>
      <c r="AZ39" s="98">
        <v>531.1614730878186</v>
      </c>
      <c r="BA39" s="100" t="s">
        <v>625</v>
      </c>
      <c r="BB39" s="100" t="s">
        <v>625</v>
      </c>
      <c r="BC39" s="100" t="s">
        <v>625</v>
      </c>
      <c r="BD39" s="158">
        <v>0.16617195129999998</v>
      </c>
      <c r="BE39" s="158">
        <v>0.5336743164</v>
      </c>
      <c r="BF39" s="162">
        <v>190</v>
      </c>
      <c r="BG39" s="162" t="s">
        <v>625</v>
      </c>
      <c r="BH39" s="162">
        <v>616</v>
      </c>
      <c r="BI39" s="162">
        <v>186</v>
      </c>
      <c r="BJ39" s="162">
        <v>102</v>
      </c>
      <c r="BK39" s="97"/>
      <c r="BL39" s="97"/>
      <c r="BM39" s="97"/>
      <c r="BN39" s="97"/>
    </row>
    <row r="40" spans="1:66" ht="12.75">
      <c r="A40" s="79" t="s">
        <v>617</v>
      </c>
      <c r="B40" s="79" t="s">
        <v>539</v>
      </c>
      <c r="C40" s="79" t="s">
        <v>229</v>
      </c>
      <c r="D40" s="99">
        <v>1432</v>
      </c>
      <c r="E40" s="99">
        <v>181</v>
      </c>
      <c r="F40" s="99" t="s">
        <v>376</v>
      </c>
      <c r="G40" s="99" t="s">
        <v>625</v>
      </c>
      <c r="H40" s="99" t="s">
        <v>625</v>
      </c>
      <c r="I40" s="99">
        <v>8</v>
      </c>
      <c r="J40" s="99">
        <v>82</v>
      </c>
      <c r="K40" s="99">
        <v>71</v>
      </c>
      <c r="L40" s="99">
        <v>316</v>
      </c>
      <c r="M40" s="99">
        <v>43</v>
      </c>
      <c r="N40" s="99">
        <v>27</v>
      </c>
      <c r="O40" s="99">
        <v>33</v>
      </c>
      <c r="P40" s="159">
        <v>33</v>
      </c>
      <c r="Q40" s="99" t="s">
        <v>625</v>
      </c>
      <c r="R40" s="99">
        <v>6</v>
      </c>
      <c r="S40" s="99" t="s">
        <v>625</v>
      </c>
      <c r="T40" s="99">
        <v>6</v>
      </c>
      <c r="U40" s="99" t="s">
        <v>625</v>
      </c>
      <c r="V40" s="99">
        <v>9</v>
      </c>
      <c r="W40" s="99">
        <v>6</v>
      </c>
      <c r="X40" s="99">
        <v>7</v>
      </c>
      <c r="Y40" s="99">
        <v>11</v>
      </c>
      <c r="Z40" s="99">
        <v>9</v>
      </c>
      <c r="AA40" s="99" t="s">
        <v>625</v>
      </c>
      <c r="AB40" s="99" t="s">
        <v>625</v>
      </c>
      <c r="AC40" s="99" t="s">
        <v>625</v>
      </c>
      <c r="AD40" s="98" t="s">
        <v>355</v>
      </c>
      <c r="AE40" s="100">
        <v>0.12639664804469275</v>
      </c>
      <c r="AF40" s="100">
        <v>0.33</v>
      </c>
      <c r="AG40" s="98" t="s">
        <v>625</v>
      </c>
      <c r="AH40" s="98" t="s">
        <v>625</v>
      </c>
      <c r="AI40" s="100">
        <v>0.006</v>
      </c>
      <c r="AJ40" s="100">
        <v>0.66129</v>
      </c>
      <c r="AK40" s="100">
        <v>0.628319</v>
      </c>
      <c r="AL40" s="100">
        <v>0.808184</v>
      </c>
      <c r="AM40" s="100">
        <v>0.398148</v>
      </c>
      <c r="AN40" s="100">
        <v>0.428571</v>
      </c>
      <c r="AO40" s="98">
        <v>2304.469273743017</v>
      </c>
      <c r="AP40" s="158">
        <v>1.511799469</v>
      </c>
      <c r="AQ40" s="100" t="s">
        <v>625</v>
      </c>
      <c r="AR40" s="100" t="s">
        <v>625</v>
      </c>
      <c r="AS40" s="98" t="s">
        <v>625</v>
      </c>
      <c r="AT40" s="98">
        <v>418.99441340782124</v>
      </c>
      <c r="AU40" s="98" t="s">
        <v>625</v>
      </c>
      <c r="AV40" s="98">
        <v>628.4916201117319</v>
      </c>
      <c r="AW40" s="98">
        <v>418.99441340782124</v>
      </c>
      <c r="AX40" s="98">
        <v>488.8268156424581</v>
      </c>
      <c r="AY40" s="98">
        <v>768.1564245810056</v>
      </c>
      <c r="AZ40" s="98">
        <v>628.4916201117319</v>
      </c>
      <c r="BA40" s="100" t="s">
        <v>625</v>
      </c>
      <c r="BB40" s="100" t="s">
        <v>625</v>
      </c>
      <c r="BC40" s="100" t="s">
        <v>625</v>
      </c>
      <c r="BD40" s="158">
        <v>1.040653152</v>
      </c>
      <c r="BE40" s="158">
        <v>2.12312851</v>
      </c>
      <c r="BF40" s="162">
        <v>124</v>
      </c>
      <c r="BG40" s="162">
        <v>113</v>
      </c>
      <c r="BH40" s="162">
        <v>391</v>
      </c>
      <c r="BI40" s="162">
        <v>108</v>
      </c>
      <c r="BJ40" s="162">
        <v>63</v>
      </c>
      <c r="BK40" s="97"/>
      <c r="BL40" s="97"/>
      <c r="BM40" s="97"/>
      <c r="BN40" s="97"/>
    </row>
    <row r="41" spans="1:66" ht="12.75">
      <c r="A41" s="79" t="s">
        <v>606</v>
      </c>
      <c r="B41" s="79" t="s">
        <v>343</v>
      </c>
      <c r="C41" s="79" t="s">
        <v>229</v>
      </c>
      <c r="D41" s="99">
        <v>1332</v>
      </c>
      <c r="E41" s="99">
        <v>206</v>
      </c>
      <c r="F41" s="99" t="s">
        <v>375</v>
      </c>
      <c r="G41" s="99" t="s">
        <v>625</v>
      </c>
      <c r="H41" s="99" t="s">
        <v>625</v>
      </c>
      <c r="I41" s="99">
        <v>23</v>
      </c>
      <c r="J41" s="99">
        <v>136</v>
      </c>
      <c r="K41" s="99">
        <v>94</v>
      </c>
      <c r="L41" s="99">
        <v>211</v>
      </c>
      <c r="M41" s="99">
        <v>51</v>
      </c>
      <c r="N41" s="99">
        <v>30</v>
      </c>
      <c r="O41" s="99">
        <v>10</v>
      </c>
      <c r="P41" s="159">
        <v>10</v>
      </c>
      <c r="Q41" s="99" t="s">
        <v>625</v>
      </c>
      <c r="R41" s="99" t="s">
        <v>625</v>
      </c>
      <c r="S41" s="99" t="s">
        <v>625</v>
      </c>
      <c r="T41" s="99" t="s">
        <v>625</v>
      </c>
      <c r="U41" s="99" t="s">
        <v>625</v>
      </c>
      <c r="V41" s="99" t="s">
        <v>625</v>
      </c>
      <c r="W41" s="99" t="s">
        <v>625</v>
      </c>
      <c r="X41" s="99">
        <v>8</v>
      </c>
      <c r="Y41" s="99">
        <v>16</v>
      </c>
      <c r="Z41" s="99" t="s">
        <v>625</v>
      </c>
      <c r="AA41" s="99" t="s">
        <v>625</v>
      </c>
      <c r="AB41" s="99" t="s">
        <v>625</v>
      </c>
      <c r="AC41" s="99" t="s">
        <v>625</v>
      </c>
      <c r="AD41" s="98" t="s">
        <v>355</v>
      </c>
      <c r="AE41" s="100">
        <v>0.15465465465465467</v>
      </c>
      <c r="AF41" s="100">
        <v>0.2</v>
      </c>
      <c r="AG41" s="98" t="s">
        <v>625</v>
      </c>
      <c r="AH41" s="98" t="s">
        <v>625</v>
      </c>
      <c r="AI41" s="100">
        <v>0.017</v>
      </c>
      <c r="AJ41" s="100">
        <v>0.751381</v>
      </c>
      <c r="AK41" s="100">
        <v>0.543353</v>
      </c>
      <c r="AL41" s="100">
        <v>0.643293</v>
      </c>
      <c r="AM41" s="100">
        <v>0.398438</v>
      </c>
      <c r="AN41" s="100">
        <v>0.428571</v>
      </c>
      <c r="AO41" s="98">
        <v>750.7507507507507</v>
      </c>
      <c r="AP41" s="158">
        <v>0.3931746674</v>
      </c>
      <c r="AQ41" s="100" t="s">
        <v>625</v>
      </c>
      <c r="AR41" s="100" t="s">
        <v>625</v>
      </c>
      <c r="AS41" s="98" t="s">
        <v>625</v>
      </c>
      <c r="AT41" s="98" t="s">
        <v>625</v>
      </c>
      <c r="AU41" s="98" t="s">
        <v>625</v>
      </c>
      <c r="AV41" s="98" t="s">
        <v>625</v>
      </c>
      <c r="AW41" s="98" t="s">
        <v>625</v>
      </c>
      <c r="AX41" s="98">
        <v>600.6006006006006</v>
      </c>
      <c r="AY41" s="98">
        <v>1201.2012012012012</v>
      </c>
      <c r="AZ41" s="98" t="s">
        <v>625</v>
      </c>
      <c r="BA41" s="100" t="s">
        <v>625</v>
      </c>
      <c r="BB41" s="100" t="s">
        <v>625</v>
      </c>
      <c r="BC41" s="100" t="s">
        <v>625</v>
      </c>
      <c r="BD41" s="158">
        <v>0.18854253769999998</v>
      </c>
      <c r="BE41" s="158">
        <v>0.7230622101</v>
      </c>
      <c r="BF41" s="162">
        <v>181</v>
      </c>
      <c r="BG41" s="162">
        <v>173</v>
      </c>
      <c r="BH41" s="162">
        <v>328</v>
      </c>
      <c r="BI41" s="162">
        <v>128</v>
      </c>
      <c r="BJ41" s="162">
        <v>70</v>
      </c>
      <c r="BK41" s="97"/>
      <c r="BL41" s="97"/>
      <c r="BM41" s="97"/>
      <c r="BN41" s="97"/>
    </row>
    <row r="42" spans="1:66" ht="12.75">
      <c r="A42" s="79" t="s">
        <v>564</v>
      </c>
      <c r="B42" s="79" t="s">
        <v>538</v>
      </c>
      <c r="C42" s="79" t="s">
        <v>229</v>
      </c>
      <c r="D42" s="99">
        <v>13845</v>
      </c>
      <c r="E42" s="99">
        <v>2499</v>
      </c>
      <c r="F42" s="99" t="s">
        <v>378</v>
      </c>
      <c r="G42" s="99">
        <v>62</v>
      </c>
      <c r="H42" s="99">
        <v>27</v>
      </c>
      <c r="I42" s="99">
        <v>171</v>
      </c>
      <c r="J42" s="99">
        <v>1096</v>
      </c>
      <c r="K42" s="99">
        <v>48</v>
      </c>
      <c r="L42" s="99">
        <v>77</v>
      </c>
      <c r="M42" s="99">
        <v>31</v>
      </c>
      <c r="N42" s="99">
        <v>15</v>
      </c>
      <c r="O42" s="99">
        <v>229</v>
      </c>
      <c r="P42" s="159">
        <v>229</v>
      </c>
      <c r="Q42" s="99">
        <v>28</v>
      </c>
      <c r="R42" s="99">
        <v>64</v>
      </c>
      <c r="S42" s="99">
        <v>51</v>
      </c>
      <c r="T42" s="99">
        <v>57</v>
      </c>
      <c r="U42" s="99" t="s">
        <v>625</v>
      </c>
      <c r="V42" s="99">
        <v>32</v>
      </c>
      <c r="W42" s="99">
        <v>59</v>
      </c>
      <c r="X42" s="99">
        <v>70</v>
      </c>
      <c r="Y42" s="99">
        <v>108</v>
      </c>
      <c r="Z42" s="99">
        <v>80</v>
      </c>
      <c r="AA42" s="99" t="s">
        <v>625</v>
      </c>
      <c r="AB42" s="99" t="s">
        <v>625</v>
      </c>
      <c r="AC42" s="99" t="s">
        <v>625</v>
      </c>
      <c r="AD42" s="98" t="s">
        <v>355</v>
      </c>
      <c r="AE42" s="100">
        <v>0.18049837486457204</v>
      </c>
      <c r="AF42" s="100">
        <v>0.17</v>
      </c>
      <c r="AG42" s="98">
        <v>447.8150957024196</v>
      </c>
      <c r="AH42" s="98">
        <v>195.01625135427952</v>
      </c>
      <c r="AI42" s="100">
        <v>0.012</v>
      </c>
      <c r="AJ42" s="100">
        <v>0.669517</v>
      </c>
      <c r="AK42" s="100">
        <v>0.716418</v>
      </c>
      <c r="AL42" s="100">
        <v>0.827957</v>
      </c>
      <c r="AM42" s="100">
        <v>0.688889</v>
      </c>
      <c r="AN42" s="100">
        <v>0.625</v>
      </c>
      <c r="AO42" s="98">
        <v>1654.0267244492597</v>
      </c>
      <c r="AP42" s="158">
        <v>0.8628838348</v>
      </c>
      <c r="AQ42" s="100">
        <v>0.1222707423580786</v>
      </c>
      <c r="AR42" s="100">
        <v>0.4375</v>
      </c>
      <c r="AS42" s="98">
        <v>368.36403033586134</v>
      </c>
      <c r="AT42" s="98">
        <v>411.7009750812568</v>
      </c>
      <c r="AU42" s="98" t="s">
        <v>625</v>
      </c>
      <c r="AV42" s="98">
        <v>231.1303719754424</v>
      </c>
      <c r="AW42" s="98">
        <v>426.14662332972193</v>
      </c>
      <c r="AX42" s="98">
        <v>505.5976886962803</v>
      </c>
      <c r="AY42" s="98">
        <v>780.0650054171181</v>
      </c>
      <c r="AZ42" s="98">
        <v>577.825929938606</v>
      </c>
      <c r="BA42" s="100" t="s">
        <v>625</v>
      </c>
      <c r="BB42" s="100" t="s">
        <v>625</v>
      </c>
      <c r="BC42" s="100" t="s">
        <v>625</v>
      </c>
      <c r="BD42" s="158">
        <v>0.7547354126000001</v>
      </c>
      <c r="BE42" s="158">
        <v>0.9821797943</v>
      </c>
      <c r="BF42" s="162">
        <v>1637</v>
      </c>
      <c r="BG42" s="162">
        <v>67</v>
      </c>
      <c r="BH42" s="162">
        <v>93</v>
      </c>
      <c r="BI42" s="162">
        <v>45</v>
      </c>
      <c r="BJ42" s="162">
        <v>24</v>
      </c>
      <c r="BK42" s="97"/>
      <c r="BL42" s="97"/>
      <c r="BM42" s="97"/>
      <c r="BN42" s="97"/>
    </row>
    <row r="43" spans="1:66" ht="12.75">
      <c r="A43" s="79" t="s">
        <v>590</v>
      </c>
      <c r="B43" s="79" t="s">
        <v>327</v>
      </c>
      <c r="C43" s="79" t="s">
        <v>229</v>
      </c>
      <c r="D43" s="99">
        <v>2975</v>
      </c>
      <c r="E43" s="99">
        <v>130</v>
      </c>
      <c r="F43" s="99" t="s">
        <v>376</v>
      </c>
      <c r="G43" s="99" t="s">
        <v>625</v>
      </c>
      <c r="H43" s="99" t="s">
        <v>625</v>
      </c>
      <c r="I43" s="99">
        <v>5</v>
      </c>
      <c r="J43" s="99">
        <v>50</v>
      </c>
      <c r="K43" s="99">
        <v>49</v>
      </c>
      <c r="L43" s="99">
        <v>288</v>
      </c>
      <c r="M43" s="99">
        <v>16</v>
      </c>
      <c r="N43" s="99">
        <v>9</v>
      </c>
      <c r="O43" s="99" t="s">
        <v>625</v>
      </c>
      <c r="P43" s="159" t="s">
        <v>625</v>
      </c>
      <c r="Q43" s="99" t="s">
        <v>625</v>
      </c>
      <c r="R43" s="99" t="s">
        <v>625</v>
      </c>
      <c r="S43" s="99" t="s">
        <v>625</v>
      </c>
      <c r="T43" s="99" t="s">
        <v>625</v>
      </c>
      <c r="U43" s="99" t="s">
        <v>625</v>
      </c>
      <c r="V43" s="99" t="s">
        <v>625</v>
      </c>
      <c r="W43" s="99" t="s">
        <v>625</v>
      </c>
      <c r="X43" s="99" t="s">
        <v>625</v>
      </c>
      <c r="Y43" s="99">
        <v>14</v>
      </c>
      <c r="Z43" s="99" t="s">
        <v>625</v>
      </c>
      <c r="AA43" s="99" t="s">
        <v>625</v>
      </c>
      <c r="AB43" s="99" t="s">
        <v>625</v>
      </c>
      <c r="AC43" s="99" t="s">
        <v>625</v>
      </c>
      <c r="AD43" s="98" t="s">
        <v>355</v>
      </c>
      <c r="AE43" s="100">
        <v>0.043697478991596636</v>
      </c>
      <c r="AF43" s="100">
        <v>0.45</v>
      </c>
      <c r="AG43" s="98" t="s">
        <v>625</v>
      </c>
      <c r="AH43" s="98" t="s">
        <v>625</v>
      </c>
      <c r="AI43" s="100">
        <v>0.002</v>
      </c>
      <c r="AJ43" s="100">
        <v>0.438596</v>
      </c>
      <c r="AK43" s="100">
        <v>0.445455</v>
      </c>
      <c r="AL43" s="100">
        <v>0.571429</v>
      </c>
      <c r="AM43" s="100">
        <v>0.258065</v>
      </c>
      <c r="AN43" s="100">
        <v>0.225</v>
      </c>
      <c r="AO43" s="98" t="s">
        <v>625</v>
      </c>
      <c r="AP43" s="158" t="s">
        <v>625</v>
      </c>
      <c r="AQ43" s="100" t="s">
        <v>625</v>
      </c>
      <c r="AR43" s="100" t="s">
        <v>625</v>
      </c>
      <c r="AS43" s="98" t="s">
        <v>625</v>
      </c>
      <c r="AT43" s="98" t="s">
        <v>625</v>
      </c>
      <c r="AU43" s="98" t="s">
        <v>625</v>
      </c>
      <c r="AV43" s="98" t="s">
        <v>625</v>
      </c>
      <c r="AW43" s="98" t="s">
        <v>625</v>
      </c>
      <c r="AX43" s="98" t="s">
        <v>625</v>
      </c>
      <c r="AY43" s="98">
        <v>470.5882352941176</v>
      </c>
      <c r="AZ43" s="98" t="s">
        <v>625</v>
      </c>
      <c r="BA43" s="100" t="s">
        <v>625</v>
      </c>
      <c r="BB43" s="100" t="s">
        <v>625</v>
      </c>
      <c r="BC43" s="100" t="s">
        <v>625</v>
      </c>
      <c r="BD43" s="158" t="s">
        <v>625</v>
      </c>
      <c r="BE43" s="158" t="s">
        <v>625</v>
      </c>
      <c r="BF43" s="162">
        <v>114</v>
      </c>
      <c r="BG43" s="162">
        <v>110</v>
      </c>
      <c r="BH43" s="162">
        <v>504</v>
      </c>
      <c r="BI43" s="162">
        <v>62</v>
      </c>
      <c r="BJ43" s="162">
        <v>40</v>
      </c>
      <c r="BK43" s="97"/>
      <c r="BL43" s="97"/>
      <c r="BM43" s="97"/>
      <c r="BN43" s="97"/>
    </row>
    <row r="44" spans="1:66" ht="12.75">
      <c r="A44" s="79" t="s">
        <v>549</v>
      </c>
      <c r="B44" s="79" t="s">
        <v>287</v>
      </c>
      <c r="C44" s="79" t="s">
        <v>229</v>
      </c>
      <c r="D44" s="99">
        <v>2973</v>
      </c>
      <c r="E44" s="99">
        <v>444</v>
      </c>
      <c r="F44" s="99" t="s">
        <v>376</v>
      </c>
      <c r="G44" s="99">
        <v>9</v>
      </c>
      <c r="H44" s="99">
        <v>6</v>
      </c>
      <c r="I44" s="99">
        <v>41</v>
      </c>
      <c r="J44" s="99">
        <v>179</v>
      </c>
      <c r="K44" s="99" t="s">
        <v>625</v>
      </c>
      <c r="L44" s="99">
        <v>503</v>
      </c>
      <c r="M44" s="99">
        <v>118</v>
      </c>
      <c r="N44" s="99">
        <v>79</v>
      </c>
      <c r="O44" s="99">
        <v>118</v>
      </c>
      <c r="P44" s="159">
        <v>118</v>
      </c>
      <c r="Q44" s="99">
        <v>9</v>
      </c>
      <c r="R44" s="99">
        <v>15</v>
      </c>
      <c r="S44" s="99">
        <v>27</v>
      </c>
      <c r="T44" s="99">
        <v>9</v>
      </c>
      <c r="U44" s="99" t="s">
        <v>625</v>
      </c>
      <c r="V44" s="99">
        <v>18</v>
      </c>
      <c r="W44" s="99">
        <v>15</v>
      </c>
      <c r="X44" s="99">
        <v>11</v>
      </c>
      <c r="Y44" s="99">
        <v>50</v>
      </c>
      <c r="Z44" s="99">
        <v>12</v>
      </c>
      <c r="AA44" s="99" t="s">
        <v>625</v>
      </c>
      <c r="AB44" s="99" t="s">
        <v>625</v>
      </c>
      <c r="AC44" s="99" t="s">
        <v>625</v>
      </c>
      <c r="AD44" s="98" t="s">
        <v>355</v>
      </c>
      <c r="AE44" s="100">
        <v>0.14934409687184663</v>
      </c>
      <c r="AF44" s="100">
        <v>0.27</v>
      </c>
      <c r="AG44" s="98">
        <v>302.7245206861756</v>
      </c>
      <c r="AH44" s="98">
        <v>201.81634712411704</v>
      </c>
      <c r="AI44" s="100">
        <v>0.013999999999999999</v>
      </c>
      <c r="AJ44" s="100">
        <v>0.634752</v>
      </c>
      <c r="AK44" s="100" t="s">
        <v>625</v>
      </c>
      <c r="AL44" s="100">
        <v>0.765601</v>
      </c>
      <c r="AM44" s="100">
        <v>0.448669</v>
      </c>
      <c r="AN44" s="100">
        <v>0.530201</v>
      </c>
      <c r="AO44" s="98">
        <v>3969.054826774302</v>
      </c>
      <c r="AP44" s="158">
        <v>2.375644073</v>
      </c>
      <c r="AQ44" s="100">
        <v>0.07627118644067797</v>
      </c>
      <c r="AR44" s="100">
        <v>0.6</v>
      </c>
      <c r="AS44" s="98">
        <v>908.1735620585267</v>
      </c>
      <c r="AT44" s="98">
        <v>302.7245206861756</v>
      </c>
      <c r="AU44" s="98" t="s">
        <v>625</v>
      </c>
      <c r="AV44" s="98">
        <v>605.4490413723512</v>
      </c>
      <c r="AW44" s="98">
        <v>504.54086781029264</v>
      </c>
      <c r="AX44" s="98">
        <v>369.9966363942146</v>
      </c>
      <c r="AY44" s="98">
        <v>1681.8028927009755</v>
      </c>
      <c r="AZ44" s="98">
        <v>403.6326942482341</v>
      </c>
      <c r="BA44" s="100" t="s">
        <v>625</v>
      </c>
      <c r="BB44" s="100" t="s">
        <v>625</v>
      </c>
      <c r="BC44" s="100" t="s">
        <v>625</v>
      </c>
      <c r="BD44" s="158">
        <v>1.966383362</v>
      </c>
      <c r="BE44" s="158">
        <v>2.84496521</v>
      </c>
      <c r="BF44" s="162">
        <v>282</v>
      </c>
      <c r="BG44" s="162" t="s">
        <v>625</v>
      </c>
      <c r="BH44" s="162">
        <v>657</v>
      </c>
      <c r="BI44" s="162">
        <v>263</v>
      </c>
      <c r="BJ44" s="162">
        <v>149</v>
      </c>
      <c r="BK44" s="97"/>
      <c r="BL44" s="97"/>
      <c r="BM44" s="97"/>
      <c r="BN44" s="97"/>
    </row>
    <row r="45" spans="1:66" ht="12.75">
      <c r="A45" s="79" t="s">
        <v>608</v>
      </c>
      <c r="B45" s="79" t="s">
        <v>345</v>
      </c>
      <c r="C45" s="79" t="s">
        <v>229</v>
      </c>
      <c r="D45" s="99">
        <v>2209</v>
      </c>
      <c r="E45" s="99">
        <v>365</v>
      </c>
      <c r="F45" s="99" t="s">
        <v>376</v>
      </c>
      <c r="G45" s="99">
        <v>9</v>
      </c>
      <c r="H45" s="99" t="s">
        <v>625</v>
      </c>
      <c r="I45" s="99">
        <v>28</v>
      </c>
      <c r="J45" s="99">
        <v>110</v>
      </c>
      <c r="K45" s="99">
        <v>16</v>
      </c>
      <c r="L45" s="99">
        <v>306</v>
      </c>
      <c r="M45" s="99">
        <v>86</v>
      </c>
      <c r="N45" s="99">
        <v>48</v>
      </c>
      <c r="O45" s="99">
        <v>11</v>
      </c>
      <c r="P45" s="159">
        <v>11</v>
      </c>
      <c r="Q45" s="99" t="s">
        <v>625</v>
      </c>
      <c r="R45" s="99">
        <v>10</v>
      </c>
      <c r="S45" s="99">
        <v>7</v>
      </c>
      <c r="T45" s="99" t="s">
        <v>625</v>
      </c>
      <c r="U45" s="99" t="s">
        <v>625</v>
      </c>
      <c r="V45" s="99" t="s">
        <v>625</v>
      </c>
      <c r="W45" s="99">
        <v>7</v>
      </c>
      <c r="X45" s="99" t="s">
        <v>625</v>
      </c>
      <c r="Y45" s="99">
        <v>23</v>
      </c>
      <c r="Z45" s="99">
        <v>14</v>
      </c>
      <c r="AA45" s="99" t="s">
        <v>625</v>
      </c>
      <c r="AB45" s="99" t="s">
        <v>625</v>
      </c>
      <c r="AC45" s="99" t="s">
        <v>625</v>
      </c>
      <c r="AD45" s="98" t="s">
        <v>355</v>
      </c>
      <c r="AE45" s="100">
        <v>0.16523313716613852</v>
      </c>
      <c r="AF45" s="100">
        <v>0.33</v>
      </c>
      <c r="AG45" s="98">
        <v>407.42417383431416</v>
      </c>
      <c r="AH45" s="98" t="s">
        <v>625</v>
      </c>
      <c r="AI45" s="100">
        <v>0.013000000000000001</v>
      </c>
      <c r="AJ45" s="100">
        <v>0.552764</v>
      </c>
      <c r="AK45" s="100">
        <v>0.615385</v>
      </c>
      <c r="AL45" s="100">
        <v>0.615694</v>
      </c>
      <c r="AM45" s="100">
        <v>0.421569</v>
      </c>
      <c r="AN45" s="100">
        <v>0.466019</v>
      </c>
      <c r="AO45" s="98">
        <v>497.9628791308284</v>
      </c>
      <c r="AP45" s="158">
        <v>0.287748661</v>
      </c>
      <c r="AQ45" s="100" t="s">
        <v>625</v>
      </c>
      <c r="AR45" s="100" t="s">
        <v>625</v>
      </c>
      <c r="AS45" s="98">
        <v>316.8854685377999</v>
      </c>
      <c r="AT45" s="98" t="s">
        <v>625</v>
      </c>
      <c r="AU45" s="98" t="s">
        <v>625</v>
      </c>
      <c r="AV45" s="98" t="s">
        <v>625</v>
      </c>
      <c r="AW45" s="98">
        <v>316.8854685377999</v>
      </c>
      <c r="AX45" s="98" t="s">
        <v>625</v>
      </c>
      <c r="AY45" s="98">
        <v>1041.195110909914</v>
      </c>
      <c r="AZ45" s="98">
        <v>633.7709370755998</v>
      </c>
      <c r="BA45" s="100" t="s">
        <v>625</v>
      </c>
      <c r="BB45" s="100" t="s">
        <v>625</v>
      </c>
      <c r="BC45" s="100" t="s">
        <v>625</v>
      </c>
      <c r="BD45" s="158">
        <v>0.1436431026</v>
      </c>
      <c r="BE45" s="158">
        <v>0.5148618698</v>
      </c>
      <c r="BF45" s="162">
        <v>199</v>
      </c>
      <c r="BG45" s="162">
        <v>26</v>
      </c>
      <c r="BH45" s="162">
        <v>497</v>
      </c>
      <c r="BI45" s="162">
        <v>204</v>
      </c>
      <c r="BJ45" s="162">
        <v>103</v>
      </c>
      <c r="BK45" s="97"/>
      <c r="BL45" s="97"/>
      <c r="BM45" s="97"/>
      <c r="BN45" s="97"/>
    </row>
    <row r="46" spans="1:66" ht="12.75">
      <c r="A46" s="79" t="s">
        <v>567</v>
      </c>
      <c r="B46" s="79" t="s">
        <v>304</v>
      </c>
      <c r="C46" s="79" t="s">
        <v>229</v>
      </c>
      <c r="D46" s="99">
        <v>11813</v>
      </c>
      <c r="E46" s="99">
        <v>2948</v>
      </c>
      <c r="F46" s="99" t="s">
        <v>379</v>
      </c>
      <c r="G46" s="99">
        <v>62</v>
      </c>
      <c r="H46" s="99">
        <v>41</v>
      </c>
      <c r="I46" s="99">
        <v>246</v>
      </c>
      <c r="J46" s="99">
        <v>1437</v>
      </c>
      <c r="K46" s="99">
        <v>1229</v>
      </c>
      <c r="L46" s="99">
        <v>2231</v>
      </c>
      <c r="M46" s="99">
        <v>1094</v>
      </c>
      <c r="N46" s="99">
        <v>553</v>
      </c>
      <c r="O46" s="99">
        <v>407</v>
      </c>
      <c r="P46" s="159">
        <v>407</v>
      </c>
      <c r="Q46" s="99">
        <v>32</v>
      </c>
      <c r="R46" s="99">
        <v>71</v>
      </c>
      <c r="S46" s="99">
        <v>68</v>
      </c>
      <c r="T46" s="99">
        <v>66</v>
      </c>
      <c r="U46" s="99">
        <v>10</v>
      </c>
      <c r="V46" s="99">
        <v>74</v>
      </c>
      <c r="W46" s="99">
        <v>76</v>
      </c>
      <c r="X46" s="99">
        <v>41</v>
      </c>
      <c r="Y46" s="99">
        <v>159</v>
      </c>
      <c r="Z46" s="99">
        <v>87</v>
      </c>
      <c r="AA46" s="99" t="s">
        <v>625</v>
      </c>
      <c r="AB46" s="99" t="s">
        <v>625</v>
      </c>
      <c r="AC46" s="99" t="s">
        <v>625</v>
      </c>
      <c r="AD46" s="98" t="s">
        <v>355</v>
      </c>
      <c r="AE46" s="100">
        <v>0.24955557436722256</v>
      </c>
      <c r="AF46" s="100">
        <v>0.06</v>
      </c>
      <c r="AG46" s="98">
        <v>524.8455091847964</v>
      </c>
      <c r="AH46" s="98">
        <v>347.075256073817</v>
      </c>
      <c r="AI46" s="100">
        <v>0.021</v>
      </c>
      <c r="AJ46" s="100">
        <v>0.814626</v>
      </c>
      <c r="AK46" s="100">
        <v>0.823175</v>
      </c>
      <c r="AL46" s="100">
        <v>0.798783</v>
      </c>
      <c r="AM46" s="100">
        <v>0.657057</v>
      </c>
      <c r="AN46" s="100">
        <v>0.655213</v>
      </c>
      <c r="AO46" s="98">
        <v>3445.3568102937443</v>
      </c>
      <c r="AP46" s="158">
        <v>1.497333221</v>
      </c>
      <c r="AQ46" s="100">
        <v>0.07862407862407862</v>
      </c>
      <c r="AR46" s="100">
        <v>0.4507042253521127</v>
      </c>
      <c r="AS46" s="98">
        <v>575.6370100736477</v>
      </c>
      <c r="AT46" s="98">
        <v>558.706509777364</v>
      </c>
      <c r="AU46" s="98">
        <v>84.65250148141878</v>
      </c>
      <c r="AV46" s="98">
        <v>626.428510962499</v>
      </c>
      <c r="AW46" s="98">
        <v>643.3590112587827</v>
      </c>
      <c r="AX46" s="98">
        <v>347.075256073817</v>
      </c>
      <c r="AY46" s="98">
        <v>1345.9747735545586</v>
      </c>
      <c r="AZ46" s="98">
        <v>736.4767628883434</v>
      </c>
      <c r="BA46" s="100" t="s">
        <v>625</v>
      </c>
      <c r="BB46" s="100" t="s">
        <v>625</v>
      </c>
      <c r="BC46" s="100" t="s">
        <v>625</v>
      </c>
      <c r="BD46" s="158">
        <v>1.35537674</v>
      </c>
      <c r="BE46" s="158">
        <v>1.6501144410000002</v>
      </c>
      <c r="BF46" s="162">
        <v>1764</v>
      </c>
      <c r="BG46" s="162">
        <v>1493</v>
      </c>
      <c r="BH46" s="162">
        <v>2793</v>
      </c>
      <c r="BI46" s="162">
        <v>1665</v>
      </c>
      <c r="BJ46" s="162">
        <v>844</v>
      </c>
      <c r="BK46" s="97"/>
      <c r="BL46" s="97"/>
      <c r="BM46" s="97"/>
      <c r="BN46" s="97"/>
    </row>
    <row r="47" spans="1:66" ht="12.75">
      <c r="A47" s="79" t="s">
        <v>604</v>
      </c>
      <c r="B47" s="79" t="s">
        <v>341</v>
      </c>
      <c r="C47" s="79" t="s">
        <v>229</v>
      </c>
      <c r="D47" s="99">
        <v>2106</v>
      </c>
      <c r="E47" s="99">
        <v>254</v>
      </c>
      <c r="F47" s="99" t="s">
        <v>376</v>
      </c>
      <c r="G47" s="99">
        <v>8</v>
      </c>
      <c r="H47" s="99" t="s">
        <v>625</v>
      </c>
      <c r="I47" s="99">
        <v>25</v>
      </c>
      <c r="J47" s="99">
        <v>92</v>
      </c>
      <c r="K47" s="99" t="s">
        <v>625</v>
      </c>
      <c r="L47" s="99">
        <v>327</v>
      </c>
      <c r="M47" s="99">
        <v>45</v>
      </c>
      <c r="N47" s="99">
        <v>27</v>
      </c>
      <c r="O47" s="99">
        <v>32</v>
      </c>
      <c r="P47" s="159">
        <v>32</v>
      </c>
      <c r="Q47" s="99" t="s">
        <v>625</v>
      </c>
      <c r="R47" s="99">
        <v>8</v>
      </c>
      <c r="S47" s="99">
        <v>7</v>
      </c>
      <c r="T47" s="99" t="s">
        <v>625</v>
      </c>
      <c r="U47" s="99" t="s">
        <v>625</v>
      </c>
      <c r="V47" s="99">
        <v>11</v>
      </c>
      <c r="W47" s="99">
        <v>9</v>
      </c>
      <c r="X47" s="99" t="s">
        <v>625</v>
      </c>
      <c r="Y47" s="99">
        <v>24</v>
      </c>
      <c r="Z47" s="99">
        <v>16</v>
      </c>
      <c r="AA47" s="99" t="s">
        <v>625</v>
      </c>
      <c r="AB47" s="99" t="s">
        <v>625</v>
      </c>
      <c r="AC47" s="99" t="s">
        <v>625</v>
      </c>
      <c r="AD47" s="98" t="s">
        <v>355</v>
      </c>
      <c r="AE47" s="100">
        <v>0.12060778727445394</v>
      </c>
      <c r="AF47" s="100">
        <v>0.34</v>
      </c>
      <c r="AG47" s="98">
        <v>379.8670465337132</v>
      </c>
      <c r="AH47" s="98" t="s">
        <v>625</v>
      </c>
      <c r="AI47" s="100">
        <v>0.012</v>
      </c>
      <c r="AJ47" s="100">
        <v>0.511111</v>
      </c>
      <c r="AK47" s="100" t="s">
        <v>625</v>
      </c>
      <c r="AL47" s="100">
        <v>0.701717</v>
      </c>
      <c r="AM47" s="100">
        <v>0.319149</v>
      </c>
      <c r="AN47" s="100">
        <v>0.364865</v>
      </c>
      <c r="AO47" s="98">
        <v>1519.4681861348529</v>
      </c>
      <c r="AP47" s="158">
        <v>1.013548203</v>
      </c>
      <c r="AQ47" s="100" t="s">
        <v>625</v>
      </c>
      <c r="AR47" s="100" t="s">
        <v>625</v>
      </c>
      <c r="AS47" s="98">
        <v>332.3836657169991</v>
      </c>
      <c r="AT47" s="98" t="s">
        <v>625</v>
      </c>
      <c r="AU47" s="98" t="s">
        <v>625</v>
      </c>
      <c r="AV47" s="98">
        <v>522.3171889838557</v>
      </c>
      <c r="AW47" s="98">
        <v>427.35042735042737</v>
      </c>
      <c r="AX47" s="98" t="s">
        <v>625</v>
      </c>
      <c r="AY47" s="98">
        <v>1139.6011396011395</v>
      </c>
      <c r="AZ47" s="98">
        <v>759.7340930674264</v>
      </c>
      <c r="BA47" s="100" t="s">
        <v>625</v>
      </c>
      <c r="BB47" s="100" t="s">
        <v>625</v>
      </c>
      <c r="BC47" s="100" t="s">
        <v>625</v>
      </c>
      <c r="BD47" s="158">
        <v>0.6932662200999999</v>
      </c>
      <c r="BE47" s="158">
        <v>1.430827637</v>
      </c>
      <c r="BF47" s="162">
        <v>180</v>
      </c>
      <c r="BG47" s="162" t="s">
        <v>625</v>
      </c>
      <c r="BH47" s="162">
        <v>466</v>
      </c>
      <c r="BI47" s="162">
        <v>141</v>
      </c>
      <c r="BJ47" s="162">
        <v>74</v>
      </c>
      <c r="BK47" s="97"/>
      <c r="BL47" s="97"/>
      <c r="BM47" s="97"/>
      <c r="BN47" s="97"/>
    </row>
    <row r="48" spans="1:66" ht="12.75">
      <c r="A48" s="79" t="s">
        <v>546</v>
      </c>
      <c r="B48" s="79" t="s">
        <v>284</v>
      </c>
      <c r="C48" s="79" t="s">
        <v>229</v>
      </c>
      <c r="D48" s="99">
        <v>2855</v>
      </c>
      <c r="E48" s="99">
        <v>398</v>
      </c>
      <c r="F48" s="99" t="s">
        <v>376</v>
      </c>
      <c r="G48" s="99">
        <v>20</v>
      </c>
      <c r="H48" s="99">
        <v>6</v>
      </c>
      <c r="I48" s="99">
        <v>40</v>
      </c>
      <c r="J48" s="99">
        <v>181</v>
      </c>
      <c r="K48" s="99">
        <v>25</v>
      </c>
      <c r="L48" s="99">
        <v>491</v>
      </c>
      <c r="M48" s="99">
        <v>118</v>
      </c>
      <c r="N48" s="99">
        <v>63</v>
      </c>
      <c r="O48" s="99">
        <v>180</v>
      </c>
      <c r="P48" s="159">
        <v>180</v>
      </c>
      <c r="Q48" s="99">
        <v>6</v>
      </c>
      <c r="R48" s="99">
        <v>14</v>
      </c>
      <c r="S48" s="99">
        <v>21</v>
      </c>
      <c r="T48" s="99">
        <v>20</v>
      </c>
      <c r="U48" s="99" t="s">
        <v>625</v>
      </c>
      <c r="V48" s="99">
        <v>57</v>
      </c>
      <c r="W48" s="99">
        <v>28</v>
      </c>
      <c r="X48" s="99">
        <v>7</v>
      </c>
      <c r="Y48" s="99">
        <v>50</v>
      </c>
      <c r="Z48" s="99">
        <v>24</v>
      </c>
      <c r="AA48" s="99" t="s">
        <v>625</v>
      </c>
      <c r="AB48" s="99" t="s">
        <v>625</v>
      </c>
      <c r="AC48" s="99" t="s">
        <v>625</v>
      </c>
      <c r="AD48" s="98" t="s">
        <v>355</v>
      </c>
      <c r="AE48" s="100">
        <v>0.1394045534150613</v>
      </c>
      <c r="AF48" s="100">
        <v>0.33</v>
      </c>
      <c r="AG48" s="98">
        <v>700.5253940455342</v>
      </c>
      <c r="AH48" s="98">
        <v>210.15761821366024</v>
      </c>
      <c r="AI48" s="100">
        <v>0.013999999999999999</v>
      </c>
      <c r="AJ48" s="100">
        <v>0.560372</v>
      </c>
      <c r="AK48" s="100">
        <v>0.581395</v>
      </c>
      <c r="AL48" s="100">
        <v>0.724189</v>
      </c>
      <c r="AM48" s="100">
        <v>0.390728</v>
      </c>
      <c r="AN48" s="100">
        <v>0.411765</v>
      </c>
      <c r="AO48" s="98">
        <v>6304.728546409808</v>
      </c>
      <c r="AP48" s="158">
        <v>3.789405823</v>
      </c>
      <c r="AQ48" s="100">
        <v>0.03333333333333333</v>
      </c>
      <c r="AR48" s="100">
        <v>0.42857142857142855</v>
      </c>
      <c r="AS48" s="98">
        <v>735.5516637478108</v>
      </c>
      <c r="AT48" s="98">
        <v>700.5253940455342</v>
      </c>
      <c r="AU48" s="98" t="s">
        <v>625</v>
      </c>
      <c r="AV48" s="98">
        <v>1996.4973730297722</v>
      </c>
      <c r="AW48" s="98">
        <v>980.7355516637479</v>
      </c>
      <c r="AX48" s="98">
        <v>245.18388791593696</v>
      </c>
      <c r="AY48" s="98">
        <v>1751.3134851138354</v>
      </c>
      <c r="AZ48" s="98">
        <v>840.630472854641</v>
      </c>
      <c r="BA48" s="100" t="s">
        <v>625</v>
      </c>
      <c r="BB48" s="100" t="s">
        <v>625</v>
      </c>
      <c r="BC48" s="100" t="s">
        <v>625</v>
      </c>
      <c r="BD48" s="158">
        <v>3.2560238650000004</v>
      </c>
      <c r="BE48" s="158">
        <v>4.385240173000001</v>
      </c>
      <c r="BF48" s="162">
        <v>323</v>
      </c>
      <c r="BG48" s="162">
        <v>43</v>
      </c>
      <c r="BH48" s="162">
        <v>678</v>
      </c>
      <c r="BI48" s="162">
        <v>302</v>
      </c>
      <c r="BJ48" s="162">
        <v>153</v>
      </c>
      <c r="BK48" s="97"/>
      <c r="BL48" s="97"/>
      <c r="BM48" s="97"/>
      <c r="BN48" s="97"/>
    </row>
    <row r="49" spans="1:66" ht="12.75">
      <c r="A49" s="79" t="s">
        <v>559</v>
      </c>
      <c r="B49" s="79" t="s">
        <v>537</v>
      </c>
      <c r="C49" s="79" t="s">
        <v>229</v>
      </c>
      <c r="D49" s="99">
        <v>23920</v>
      </c>
      <c r="E49" s="99">
        <v>3438</v>
      </c>
      <c r="F49" s="99" t="s">
        <v>375</v>
      </c>
      <c r="G49" s="99">
        <v>90</v>
      </c>
      <c r="H49" s="99">
        <v>51</v>
      </c>
      <c r="I49" s="99">
        <v>344</v>
      </c>
      <c r="J49" s="99">
        <v>1492</v>
      </c>
      <c r="K49" s="99">
        <v>23</v>
      </c>
      <c r="L49" s="99">
        <v>6517</v>
      </c>
      <c r="M49" s="99">
        <v>1709</v>
      </c>
      <c r="N49" s="99">
        <v>963</v>
      </c>
      <c r="O49" s="99">
        <v>476</v>
      </c>
      <c r="P49" s="159">
        <v>476</v>
      </c>
      <c r="Q49" s="99">
        <v>42</v>
      </c>
      <c r="R49" s="99">
        <v>104</v>
      </c>
      <c r="S49" s="99">
        <v>116</v>
      </c>
      <c r="T49" s="99">
        <v>84</v>
      </c>
      <c r="U49" s="99">
        <v>20</v>
      </c>
      <c r="V49" s="99">
        <v>71</v>
      </c>
      <c r="W49" s="99">
        <v>92</v>
      </c>
      <c r="X49" s="99">
        <v>81</v>
      </c>
      <c r="Y49" s="99">
        <v>250</v>
      </c>
      <c r="Z49" s="99">
        <v>158</v>
      </c>
      <c r="AA49" s="99" t="s">
        <v>625</v>
      </c>
      <c r="AB49" s="99" t="s">
        <v>625</v>
      </c>
      <c r="AC49" s="99" t="s">
        <v>625</v>
      </c>
      <c r="AD49" s="98" t="s">
        <v>355</v>
      </c>
      <c r="AE49" s="100">
        <v>0.14372909698996655</v>
      </c>
      <c r="AF49" s="100">
        <v>0.23</v>
      </c>
      <c r="AG49" s="98">
        <v>376.25418060200667</v>
      </c>
      <c r="AH49" s="98">
        <v>213.21070234113714</v>
      </c>
      <c r="AI49" s="100">
        <v>0.013999999999999999</v>
      </c>
      <c r="AJ49" s="100">
        <v>0.619859</v>
      </c>
      <c r="AK49" s="100">
        <v>0.469388</v>
      </c>
      <c r="AL49" s="100">
        <v>0.692046</v>
      </c>
      <c r="AM49" s="100">
        <v>0.492933</v>
      </c>
      <c r="AN49" s="100">
        <v>0.507644</v>
      </c>
      <c r="AO49" s="98">
        <v>1989.9665551839464</v>
      </c>
      <c r="AP49" s="158">
        <v>1.159671402</v>
      </c>
      <c r="AQ49" s="100">
        <v>0.08823529411764706</v>
      </c>
      <c r="AR49" s="100">
        <v>0.40384615384615385</v>
      </c>
      <c r="AS49" s="98">
        <v>484.94983277591973</v>
      </c>
      <c r="AT49" s="98">
        <v>351.1705685618729</v>
      </c>
      <c r="AU49" s="98">
        <v>83.61204013377926</v>
      </c>
      <c r="AV49" s="98">
        <v>296.82274247491637</v>
      </c>
      <c r="AW49" s="98">
        <v>384.61538461538464</v>
      </c>
      <c r="AX49" s="98">
        <v>338.628762541806</v>
      </c>
      <c r="AY49" s="98">
        <v>1045.1505016722408</v>
      </c>
      <c r="AZ49" s="98">
        <v>660.5351170568562</v>
      </c>
      <c r="BA49" s="100" t="s">
        <v>625</v>
      </c>
      <c r="BB49" s="100" t="s">
        <v>625</v>
      </c>
      <c r="BC49" s="100" t="s">
        <v>625</v>
      </c>
      <c r="BD49" s="158">
        <v>1.0578170009999999</v>
      </c>
      <c r="BE49" s="158">
        <v>1.2686853790000001</v>
      </c>
      <c r="BF49" s="162">
        <v>2407</v>
      </c>
      <c r="BG49" s="162">
        <v>49</v>
      </c>
      <c r="BH49" s="162">
        <v>9417</v>
      </c>
      <c r="BI49" s="162">
        <v>3467</v>
      </c>
      <c r="BJ49" s="162">
        <v>1897</v>
      </c>
      <c r="BK49" s="97"/>
      <c r="BL49" s="97"/>
      <c r="BM49" s="97"/>
      <c r="BN49" s="97"/>
    </row>
    <row r="50" spans="1:66" ht="12.75">
      <c r="A50" s="79" t="s">
        <v>598</v>
      </c>
      <c r="B50" s="79" t="s">
        <v>335</v>
      </c>
      <c r="C50" s="79" t="s">
        <v>229</v>
      </c>
      <c r="D50" s="99">
        <v>5070</v>
      </c>
      <c r="E50" s="99">
        <v>290</v>
      </c>
      <c r="F50" s="99" t="s">
        <v>376</v>
      </c>
      <c r="G50" s="99">
        <v>6</v>
      </c>
      <c r="H50" s="99" t="s">
        <v>625</v>
      </c>
      <c r="I50" s="99">
        <v>16</v>
      </c>
      <c r="J50" s="99">
        <v>87</v>
      </c>
      <c r="K50" s="99">
        <v>84</v>
      </c>
      <c r="L50" s="99">
        <v>517</v>
      </c>
      <c r="M50" s="99">
        <v>19</v>
      </c>
      <c r="N50" s="99">
        <v>11</v>
      </c>
      <c r="O50" s="99">
        <v>6</v>
      </c>
      <c r="P50" s="159">
        <v>6</v>
      </c>
      <c r="Q50" s="99" t="s">
        <v>625</v>
      </c>
      <c r="R50" s="99" t="s">
        <v>625</v>
      </c>
      <c r="S50" s="99" t="s">
        <v>625</v>
      </c>
      <c r="T50" s="99" t="s">
        <v>625</v>
      </c>
      <c r="U50" s="99" t="s">
        <v>625</v>
      </c>
      <c r="V50" s="99" t="s">
        <v>625</v>
      </c>
      <c r="W50" s="99" t="s">
        <v>625</v>
      </c>
      <c r="X50" s="99">
        <v>6</v>
      </c>
      <c r="Y50" s="99">
        <v>17</v>
      </c>
      <c r="Z50" s="99" t="s">
        <v>625</v>
      </c>
      <c r="AA50" s="99" t="s">
        <v>625</v>
      </c>
      <c r="AB50" s="99" t="s">
        <v>625</v>
      </c>
      <c r="AC50" s="99" t="s">
        <v>625</v>
      </c>
      <c r="AD50" s="98" t="s">
        <v>355</v>
      </c>
      <c r="AE50" s="100">
        <v>0.05719921104536489</v>
      </c>
      <c r="AF50" s="100">
        <v>0.43</v>
      </c>
      <c r="AG50" s="98">
        <v>118.34319526627219</v>
      </c>
      <c r="AH50" s="98" t="s">
        <v>625</v>
      </c>
      <c r="AI50" s="100">
        <v>0.003</v>
      </c>
      <c r="AJ50" s="100">
        <v>0.379913</v>
      </c>
      <c r="AK50" s="100">
        <v>0.368421</v>
      </c>
      <c r="AL50" s="100">
        <v>0.484082</v>
      </c>
      <c r="AM50" s="100">
        <v>0.145038</v>
      </c>
      <c r="AN50" s="100">
        <v>0.13253</v>
      </c>
      <c r="AO50" s="98">
        <v>118.34319526627219</v>
      </c>
      <c r="AP50" s="158">
        <v>0.11841097830000001</v>
      </c>
      <c r="AQ50" s="100" t="s">
        <v>625</v>
      </c>
      <c r="AR50" s="100" t="s">
        <v>625</v>
      </c>
      <c r="AS50" s="98" t="s">
        <v>625</v>
      </c>
      <c r="AT50" s="98" t="s">
        <v>625</v>
      </c>
      <c r="AU50" s="98" t="s">
        <v>625</v>
      </c>
      <c r="AV50" s="98" t="s">
        <v>625</v>
      </c>
      <c r="AW50" s="98" t="s">
        <v>625</v>
      </c>
      <c r="AX50" s="98">
        <v>118.34319526627219</v>
      </c>
      <c r="AY50" s="98">
        <v>335.3057199211045</v>
      </c>
      <c r="AZ50" s="98" t="s">
        <v>625</v>
      </c>
      <c r="BA50" s="100" t="s">
        <v>625</v>
      </c>
      <c r="BB50" s="100" t="s">
        <v>625</v>
      </c>
      <c r="BC50" s="100" t="s">
        <v>625</v>
      </c>
      <c r="BD50" s="158">
        <v>0.04345474243</v>
      </c>
      <c r="BE50" s="158">
        <v>0.25773086549999996</v>
      </c>
      <c r="BF50" s="162">
        <v>229</v>
      </c>
      <c r="BG50" s="162">
        <v>228</v>
      </c>
      <c r="BH50" s="162">
        <v>1068</v>
      </c>
      <c r="BI50" s="162">
        <v>131</v>
      </c>
      <c r="BJ50" s="162">
        <v>83</v>
      </c>
      <c r="BK50" s="97"/>
      <c r="BL50" s="97"/>
      <c r="BM50" s="97"/>
      <c r="BN50" s="97"/>
    </row>
    <row r="51" spans="1:66" ht="12.75">
      <c r="A51" s="79" t="s">
        <v>554</v>
      </c>
      <c r="B51" s="79" t="s">
        <v>292</v>
      </c>
      <c r="C51" s="79" t="s">
        <v>229</v>
      </c>
      <c r="D51" s="99">
        <v>13904</v>
      </c>
      <c r="E51" s="99">
        <v>1015</v>
      </c>
      <c r="F51" s="99" t="s">
        <v>376</v>
      </c>
      <c r="G51" s="99">
        <v>28</v>
      </c>
      <c r="H51" s="99">
        <v>25</v>
      </c>
      <c r="I51" s="99">
        <v>103</v>
      </c>
      <c r="J51" s="99">
        <v>543</v>
      </c>
      <c r="K51" s="99">
        <v>508</v>
      </c>
      <c r="L51" s="99">
        <v>2161</v>
      </c>
      <c r="M51" s="99">
        <v>222</v>
      </c>
      <c r="N51" s="99">
        <v>134</v>
      </c>
      <c r="O51" s="99">
        <v>168</v>
      </c>
      <c r="P51" s="159">
        <v>168</v>
      </c>
      <c r="Q51" s="99">
        <v>12</v>
      </c>
      <c r="R51" s="99">
        <v>37</v>
      </c>
      <c r="S51" s="99">
        <v>34</v>
      </c>
      <c r="T51" s="99">
        <v>28</v>
      </c>
      <c r="U51" s="99">
        <v>8</v>
      </c>
      <c r="V51" s="99">
        <v>27</v>
      </c>
      <c r="W51" s="99">
        <v>41</v>
      </c>
      <c r="X51" s="99">
        <v>31</v>
      </c>
      <c r="Y51" s="99">
        <v>113</v>
      </c>
      <c r="Z51" s="99">
        <v>58</v>
      </c>
      <c r="AA51" s="99" t="s">
        <v>625</v>
      </c>
      <c r="AB51" s="99" t="s">
        <v>625</v>
      </c>
      <c r="AC51" s="99" t="s">
        <v>625</v>
      </c>
      <c r="AD51" s="98" t="s">
        <v>355</v>
      </c>
      <c r="AE51" s="100">
        <v>0.0730005753739931</v>
      </c>
      <c r="AF51" s="100">
        <v>0.38</v>
      </c>
      <c r="AG51" s="98">
        <v>201.38089758342923</v>
      </c>
      <c r="AH51" s="98">
        <v>179.80437284234753</v>
      </c>
      <c r="AI51" s="100">
        <v>0.006999999999999999</v>
      </c>
      <c r="AJ51" s="100">
        <v>0.624856</v>
      </c>
      <c r="AK51" s="100">
        <v>0.621027</v>
      </c>
      <c r="AL51" s="100">
        <v>0.693963</v>
      </c>
      <c r="AM51" s="100">
        <v>0.365132</v>
      </c>
      <c r="AN51" s="100">
        <v>0.39881</v>
      </c>
      <c r="AO51" s="98">
        <v>1208.2853855005753</v>
      </c>
      <c r="AP51" s="158">
        <v>1.039972076</v>
      </c>
      <c r="AQ51" s="100">
        <v>0.07142857142857142</v>
      </c>
      <c r="AR51" s="100">
        <v>0.32432432432432434</v>
      </c>
      <c r="AS51" s="98">
        <v>244.53394706559263</v>
      </c>
      <c r="AT51" s="98">
        <v>201.38089758342923</v>
      </c>
      <c r="AU51" s="98">
        <v>57.537399309551205</v>
      </c>
      <c r="AV51" s="98">
        <v>194.18872266973534</v>
      </c>
      <c r="AW51" s="98">
        <v>294.8791714614499</v>
      </c>
      <c r="AX51" s="98">
        <v>222.95742232451093</v>
      </c>
      <c r="AY51" s="98">
        <v>812.7157652474108</v>
      </c>
      <c r="AZ51" s="98">
        <v>417.14614499424624</v>
      </c>
      <c r="BA51" s="100" t="s">
        <v>625</v>
      </c>
      <c r="BB51" s="100" t="s">
        <v>625</v>
      </c>
      <c r="BC51" s="100" t="s">
        <v>625</v>
      </c>
      <c r="BD51" s="158">
        <v>0.8886559296000001</v>
      </c>
      <c r="BE51" s="158">
        <v>1.209667435</v>
      </c>
      <c r="BF51" s="162">
        <v>869</v>
      </c>
      <c r="BG51" s="162">
        <v>818</v>
      </c>
      <c r="BH51" s="162">
        <v>3114</v>
      </c>
      <c r="BI51" s="162">
        <v>608</v>
      </c>
      <c r="BJ51" s="162">
        <v>336</v>
      </c>
      <c r="BK51" s="97"/>
      <c r="BL51" s="97"/>
      <c r="BM51" s="97"/>
      <c r="BN51" s="97"/>
    </row>
    <row r="52" spans="1:66" ht="12.75">
      <c r="A52" s="79" t="s">
        <v>602</v>
      </c>
      <c r="B52" s="79" t="s">
        <v>339</v>
      </c>
      <c r="C52" s="79" t="s">
        <v>229</v>
      </c>
      <c r="D52" s="99">
        <v>4343</v>
      </c>
      <c r="E52" s="99">
        <v>192</v>
      </c>
      <c r="F52" s="99" t="s">
        <v>376</v>
      </c>
      <c r="G52" s="99" t="s">
        <v>625</v>
      </c>
      <c r="H52" s="99" t="s">
        <v>625</v>
      </c>
      <c r="I52" s="99">
        <v>25</v>
      </c>
      <c r="J52" s="99">
        <v>73</v>
      </c>
      <c r="K52" s="99" t="s">
        <v>625</v>
      </c>
      <c r="L52" s="99">
        <v>604</v>
      </c>
      <c r="M52" s="99">
        <v>23</v>
      </c>
      <c r="N52" s="99">
        <v>11</v>
      </c>
      <c r="O52" s="99" t="s">
        <v>625</v>
      </c>
      <c r="P52" s="159" t="s">
        <v>625</v>
      </c>
      <c r="Q52" s="99" t="s">
        <v>625</v>
      </c>
      <c r="R52" s="99" t="s">
        <v>625</v>
      </c>
      <c r="S52" s="99" t="s">
        <v>625</v>
      </c>
      <c r="T52" s="99" t="s">
        <v>625</v>
      </c>
      <c r="U52" s="99" t="s">
        <v>625</v>
      </c>
      <c r="V52" s="99" t="s">
        <v>625</v>
      </c>
      <c r="W52" s="99">
        <v>7</v>
      </c>
      <c r="X52" s="99">
        <v>6</v>
      </c>
      <c r="Y52" s="99">
        <v>14</v>
      </c>
      <c r="Z52" s="99" t="s">
        <v>625</v>
      </c>
      <c r="AA52" s="99" t="s">
        <v>625</v>
      </c>
      <c r="AB52" s="99" t="s">
        <v>625</v>
      </c>
      <c r="AC52" s="99" t="s">
        <v>625</v>
      </c>
      <c r="AD52" s="98" t="s">
        <v>355</v>
      </c>
      <c r="AE52" s="100">
        <v>0.0442090720699977</v>
      </c>
      <c r="AF52" s="100">
        <v>0.42</v>
      </c>
      <c r="AG52" s="98" t="s">
        <v>625</v>
      </c>
      <c r="AH52" s="98" t="s">
        <v>625</v>
      </c>
      <c r="AI52" s="100">
        <v>0.006</v>
      </c>
      <c r="AJ52" s="100">
        <v>0.384211</v>
      </c>
      <c r="AK52" s="100" t="s">
        <v>625</v>
      </c>
      <c r="AL52" s="100">
        <v>0.657952</v>
      </c>
      <c r="AM52" s="100">
        <v>0.153333</v>
      </c>
      <c r="AN52" s="100">
        <v>0.130952</v>
      </c>
      <c r="AO52" s="98" t="s">
        <v>625</v>
      </c>
      <c r="AP52" s="158" t="s">
        <v>625</v>
      </c>
      <c r="AQ52" s="100" t="s">
        <v>625</v>
      </c>
      <c r="AR52" s="100" t="s">
        <v>625</v>
      </c>
      <c r="AS52" s="98" t="s">
        <v>625</v>
      </c>
      <c r="AT52" s="98" t="s">
        <v>625</v>
      </c>
      <c r="AU52" s="98" t="s">
        <v>625</v>
      </c>
      <c r="AV52" s="98" t="s">
        <v>625</v>
      </c>
      <c r="AW52" s="98">
        <v>161.17890858853326</v>
      </c>
      <c r="AX52" s="98">
        <v>138.15335021874282</v>
      </c>
      <c r="AY52" s="98">
        <v>322.3578171770665</v>
      </c>
      <c r="AZ52" s="98" t="s">
        <v>625</v>
      </c>
      <c r="BA52" s="100" t="s">
        <v>625</v>
      </c>
      <c r="BB52" s="100" t="s">
        <v>625</v>
      </c>
      <c r="BC52" s="100" t="s">
        <v>625</v>
      </c>
      <c r="BD52" s="158" t="s">
        <v>625</v>
      </c>
      <c r="BE52" s="158" t="s">
        <v>625</v>
      </c>
      <c r="BF52" s="162">
        <v>190</v>
      </c>
      <c r="BG52" s="162" t="s">
        <v>625</v>
      </c>
      <c r="BH52" s="162">
        <v>918</v>
      </c>
      <c r="BI52" s="162">
        <v>150</v>
      </c>
      <c r="BJ52" s="162">
        <v>84</v>
      </c>
      <c r="BK52" s="97"/>
      <c r="BL52" s="97"/>
      <c r="BM52" s="97"/>
      <c r="BN52" s="97"/>
    </row>
    <row r="53" spans="1:66" ht="12.75">
      <c r="A53" s="79" t="s">
        <v>579</v>
      </c>
      <c r="B53" s="79" t="s">
        <v>316</v>
      </c>
      <c r="C53" s="79" t="s">
        <v>229</v>
      </c>
      <c r="D53" s="99">
        <v>5065</v>
      </c>
      <c r="E53" s="99">
        <v>277</v>
      </c>
      <c r="F53" s="99" t="s">
        <v>376</v>
      </c>
      <c r="G53" s="99" t="s">
        <v>625</v>
      </c>
      <c r="H53" s="99" t="s">
        <v>625</v>
      </c>
      <c r="I53" s="99">
        <v>22</v>
      </c>
      <c r="J53" s="99">
        <v>118</v>
      </c>
      <c r="K53" s="99" t="s">
        <v>625</v>
      </c>
      <c r="L53" s="99">
        <v>702</v>
      </c>
      <c r="M53" s="99">
        <v>32</v>
      </c>
      <c r="N53" s="99">
        <v>13</v>
      </c>
      <c r="O53" s="99">
        <v>29</v>
      </c>
      <c r="P53" s="159">
        <v>29</v>
      </c>
      <c r="Q53" s="99" t="s">
        <v>625</v>
      </c>
      <c r="R53" s="99">
        <v>11</v>
      </c>
      <c r="S53" s="99">
        <v>15</v>
      </c>
      <c r="T53" s="99" t="s">
        <v>625</v>
      </c>
      <c r="U53" s="99" t="s">
        <v>625</v>
      </c>
      <c r="V53" s="99" t="s">
        <v>625</v>
      </c>
      <c r="W53" s="99">
        <v>6</v>
      </c>
      <c r="X53" s="99">
        <v>7</v>
      </c>
      <c r="Y53" s="99">
        <v>21</v>
      </c>
      <c r="Z53" s="99">
        <v>8</v>
      </c>
      <c r="AA53" s="99" t="s">
        <v>625</v>
      </c>
      <c r="AB53" s="99" t="s">
        <v>625</v>
      </c>
      <c r="AC53" s="99" t="s">
        <v>625</v>
      </c>
      <c r="AD53" s="98" t="s">
        <v>355</v>
      </c>
      <c r="AE53" s="100">
        <v>0.05468904244817374</v>
      </c>
      <c r="AF53" s="100">
        <v>0.44</v>
      </c>
      <c r="AG53" s="98" t="s">
        <v>625</v>
      </c>
      <c r="AH53" s="98" t="s">
        <v>625</v>
      </c>
      <c r="AI53" s="100">
        <v>0.004</v>
      </c>
      <c r="AJ53" s="100">
        <v>0.455598</v>
      </c>
      <c r="AK53" s="100" t="s">
        <v>625</v>
      </c>
      <c r="AL53" s="100">
        <v>0.654851</v>
      </c>
      <c r="AM53" s="100">
        <v>0.211921</v>
      </c>
      <c r="AN53" s="100">
        <v>0.158537</v>
      </c>
      <c r="AO53" s="98">
        <v>572.5567620927936</v>
      </c>
      <c r="AP53" s="158">
        <v>0.5584732437000001</v>
      </c>
      <c r="AQ53" s="100" t="s">
        <v>625</v>
      </c>
      <c r="AR53" s="100" t="s">
        <v>625</v>
      </c>
      <c r="AS53" s="98">
        <v>296.15004935834156</v>
      </c>
      <c r="AT53" s="98" t="s">
        <v>625</v>
      </c>
      <c r="AU53" s="98" t="s">
        <v>625</v>
      </c>
      <c r="AV53" s="98" t="s">
        <v>625</v>
      </c>
      <c r="AW53" s="98">
        <v>118.46001974333663</v>
      </c>
      <c r="AX53" s="98">
        <v>138.20335636722606</v>
      </c>
      <c r="AY53" s="98">
        <v>414.61006910167816</v>
      </c>
      <c r="AZ53" s="98">
        <v>157.9466929911155</v>
      </c>
      <c r="BA53" s="100" t="s">
        <v>625</v>
      </c>
      <c r="BB53" s="100" t="s">
        <v>625</v>
      </c>
      <c r="BC53" s="100" t="s">
        <v>625</v>
      </c>
      <c r="BD53" s="158">
        <v>0.3740182877</v>
      </c>
      <c r="BE53" s="158">
        <v>0.8020606995</v>
      </c>
      <c r="BF53" s="162">
        <v>259</v>
      </c>
      <c r="BG53" s="162" t="s">
        <v>625</v>
      </c>
      <c r="BH53" s="162">
        <v>1072</v>
      </c>
      <c r="BI53" s="162">
        <v>151</v>
      </c>
      <c r="BJ53" s="162">
        <v>82</v>
      </c>
      <c r="BK53" s="97"/>
      <c r="BL53" s="97"/>
      <c r="BM53" s="97"/>
      <c r="BN53" s="97"/>
    </row>
    <row r="54" spans="1:66" ht="12.75">
      <c r="A54" s="79" t="s">
        <v>615</v>
      </c>
      <c r="B54" s="79" t="s">
        <v>352</v>
      </c>
      <c r="C54" s="79" t="s">
        <v>229</v>
      </c>
      <c r="D54" s="99">
        <v>9485</v>
      </c>
      <c r="E54" s="99">
        <v>394</v>
      </c>
      <c r="F54" s="99" t="s">
        <v>376</v>
      </c>
      <c r="G54" s="99">
        <v>8</v>
      </c>
      <c r="H54" s="99" t="s">
        <v>625</v>
      </c>
      <c r="I54" s="99">
        <v>26</v>
      </c>
      <c r="J54" s="99">
        <v>179</v>
      </c>
      <c r="K54" s="99">
        <v>142</v>
      </c>
      <c r="L54" s="99">
        <v>1040</v>
      </c>
      <c r="M54" s="99">
        <v>56</v>
      </c>
      <c r="N54" s="99">
        <v>31</v>
      </c>
      <c r="O54" s="99">
        <v>46</v>
      </c>
      <c r="P54" s="159">
        <v>46</v>
      </c>
      <c r="Q54" s="99" t="s">
        <v>625</v>
      </c>
      <c r="R54" s="99">
        <v>16</v>
      </c>
      <c r="S54" s="99">
        <v>15</v>
      </c>
      <c r="T54" s="99">
        <v>7</v>
      </c>
      <c r="U54" s="99" t="s">
        <v>625</v>
      </c>
      <c r="V54" s="99">
        <v>6</v>
      </c>
      <c r="W54" s="99">
        <v>9</v>
      </c>
      <c r="X54" s="99">
        <v>16</v>
      </c>
      <c r="Y54" s="99">
        <v>56</v>
      </c>
      <c r="Z54" s="99">
        <v>24</v>
      </c>
      <c r="AA54" s="99" t="s">
        <v>625</v>
      </c>
      <c r="AB54" s="99" t="s">
        <v>625</v>
      </c>
      <c r="AC54" s="99" t="s">
        <v>625</v>
      </c>
      <c r="AD54" s="98" t="s">
        <v>355</v>
      </c>
      <c r="AE54" s="100">
        <v>0.0415392725355825</v>
      </c>
      <c r="AF54" s="100">
        <v>0.4</v>
      </c>
      <c r="AG54" s="98">
        <v>84.34370057986294</v>
      </c>
      <c r="AH54" s="98" t="s">
        <v>625</v>
      </c>
      <c r="AI54" s="100">
        <v>0.003</v>
      </c>
      <c r="AJ54" s="100">
        <v>0.477333</v>
      </c>
      <c r="AK54" s="100">
        <v>0.397759</v>
      </c>
      <c r="AL54" s="100">
        <v>0.556447</v>
      </c>
      <c r="AM54" s="100">
        <v>0.228571</v>
      </c>
      <c r="AN54" s="100">
        <v>0.208054</v>
      </c>
      <c r="AO54" s="98">
        <v>484.97627833421194</v>
      </c>
      <c r="AP54" s="158">
        <v>0.5516664505</v>
      </c>
      <c r="AQ54" s="100" t="s">
        <v>625</v>
      </c>
      <c r="AR54" s="100" t="s">
        <v>625</v>
      </c>
      <c r="AS54" s="98">
        <v>158.144438587243</v>
      </c>
      <c r="AT54" s="98">
        <v>73.80073800738008</v>
      </c>
      <c r="AU54" s="98" t="s">
        <v>625</v>
      </c>
      <c r="AV54" s="98">
        <v>63.257775434897205</v>
      </c>
      <c r="AW54" s="98">
        <v>94.8866631523458</v>
      </c>
      <c r="AX54" s="98">
        <v>168.68740115972588</v>
      </c>
      <c r="AY54" s="98">
        <v>590.4059040590406</v>
      </c>
      <c r="AZ54" s="98">
        <v>253.03110173958882</v>
      </c>
      <c r="BA54" s="100" t="s">
        <v>625</v>
      </c>
      <c r="BB54" s="100" t="s">
        <v>625</v>
      </c>
      <c r="BC54" s="100" t="s">
        <v>625</v>
      </c>
      <c r="BD54" s="158">
        <v>0.40388916020000004</v>
      </c>
      <c r="BE54" s="158">
        <v>0.7358457183999999</v>
      </c>
      <c r="BF54" s="162">
        <v>375</v>
      </c>
      <c r="BG54" s="162">
        <v>357</v>
      </c>
      <c r="BH54" s="162">
        <v>1869</v>
      </c>
      <c r="BI54" s="162">
        <v>245</v>
      </c>
      <c r="BJ54" s="162">
        <v>149</v>
      </c>
      <c r="BK54" s="97"/>
      <c r="BL54" s="97"/>
      <c r="BM54" s="97"/>
      <c r="BN54" s="97"/>
    </row>
    <row r="55" spans="1:66" ht="12.75">
      <c r="A55" s="79" t="s">
        <v>588</v>
      </c>
      <c r="B55" s="79" t="s">
        <v>325</v>
      </c>
      <c r="C55" s="79" t="s">
        <v>229</v>
      </c>
      <c r="D55" s="99">
        <v>5804</v>
      </c>
      <c r="E55" s="99">
        <v>778</v>
      </c>
      <c r="F55" s="99" t="s">
        <v>375</v>
      </c>
      <c r="G55" s="99">
        <v>28</v>
      </c>
      <c r="H55" s="99">
        <v>9</v>
      </c>
      <c r="I55" s="99">
        <v>81</v>
      </c>
      <c r="J55" s="99">
        <v>384</v>
      </c>
      <c r="K55" s="99">
        <v>23</v>
      </c>
      <c r="L55" s="99">
        <v>978</v>
      </c>
      <c r="M55" s="99">
        <v>248</v>
      </c>
      <c r="N55" s="99">
        <v>146</v>
      </c>
      <c r="O55" s="99">
        <v>96</v>
      </c>
      <c r="P55" s="159">
        <v>96</v>
      </c>
      <c r="Q55" s="99">
        <v>11</v>
      </c>
      <c r="R55" s="99">
        <v>22</v>
      </c>
      <c r="S55" s="99">
        <v>18</v>
      </c>
      <c r="T55" s="99">
        <v>20</v>
      </c>
      <c r="U55" s="99" t="s">
        <v>625</v>
      </c>
      <c r="V55" s="99">
        <v>10</v>
      </c>
      <c r="W55" s="99">
        <v>19</v>
      </c>
      <c r="X55" s="99">
        <v>31</v>
      </c>
      <c r="Y55" s="99">
        <v>39</v>
      </c>
      <c r="Z55" s="99">
        <v>27</v>
      </c>
      <c r="AA55" s="99" t="s">
        <v>625</v>
      </c>
      <c r="AB55" s="99" t="s">
        <v>625</v>
      </c>
      <c r="AC55" s="99" t="s">
        <v>625</v>
      </c>
      <c r="AD55" s="98" t="s">
        <v>355</v>
      </c>
      <c r="AE55" s="100">
        <v>0.13404548587181253</v>
      </c>
      <c r="AF55" s="100">
        <v>0.21</v>
      </c>
      <c r="AG55" s="98">
        <v>482.4259131633356</v>
      </c>
      <c r="AH55" s="98">
        <v>155.06547208821502</v>
      </c>
      <c r="AI55" s="100">
        <v>0.013999999999999999</v>
      </c>
      <c r="AJ55" s="100">
        <v>0.637874</v>
      </c>
      <c r="AK55" s="100">
        <v>0.793103</v>
      </c>
      <c r="AL55" s="100">
        <v>0.674483</v>
      </c>
      <c r="AM55" s="100">
        <v>0.478764</v>
      </c>
      <c r="AN55" s="100">
        <v>0.489933</v>
      </c>
      <c r="AO55" s="98">
        <v>1654.0317022742936</v>
      </c>
      <c r="AP55" s="158">
        <v>0.9966107178</v>
      </c>
      <c r="AQ55" s="100">
        <v>0.11458333333333333</v>
      </c>
      <c r="AR55" s="100">
        <v>0.5</v>
      </c>
      <c r="AS55" s="98">
        <v>310.13094417643003</v>
      </c>
      <c r="AT55" s="98">
        <v>344.5899379738112</v>
      </c>
      <c r="AU55" s="98" t="s">
        <v>625</v>
      </c>
      <c r="AV55" s="98">
        <v>172.2949689869056</v>
      </c>
      <c r="AW55" s="98">
        <v>327.3604410751206</v>
      </c>
      <c r="AX55" s="98">
        <v>534.1144038594073</v>
      </c>
      <c r="AY55" s="98">
        <v>671.9503790489317</v>
      </c>
      <c r="AZ55" s="98">
        <v>465.19641626464505</v>
      </c>
      <c r="BA55" s="100" t="s">
        <v>625</v>
      </c>
      <c r="BB55" s="100" t="s">
        <v>625</v>
      </c>
      <c r="BC55" s="100" t="s">
        <v>625</v>
      </c>
      <c r="BD55" s="158">
        <v>0.8072579193</v>
      </c>
      <c r="BE55" s="158">
        <v>1.217032318</v>
      </c>
      <c r="BF55" s="162">
        <v>602</v>
      </c>
      <c r="BG55" s="162">
        <v>29</v>
      </c>
      <c r="BH55" s="162">
        <v>1450</v>
      </c>
      <c r="BI55" s="162">
        <v>518</v>
      </c>
      <c r="BJ55" s="162">
        <v>298</v>
      </c>
      <c r="BK55" s="97"/>
      <c r="BL55" s="97"/>
      <c r="BM55" s="97"/>
      <c r="BN55" s="97"/>
    </row>
    <row r="56" spans="1:66" ht="12.75">
      <c r="A56" s="79" t="s">
        <v>563</v>
      </c>
      <c r="B56" s="79" t="s">
        <v>301</v>
      </c>
      <c r="C56" s="79" t="s">
        <v>229</v>
      </c>
      <c r="D56" s="99">
        <v>9376</v>
      </c>
      <c r="E56" s="99">
        <v>1500</v>
      </c>
      <c r="F56" s="99" t="s">
        <v>376</v>
      </c>
      <c r="G56" s="99">
        <v>37</v>
      </c>
      <c r="H56" s="99">
        <v>14</v>
      </c>
      <c r="I56" s="99">
        <v>138</v>
      </c>
      <c r="J56" s="99">
        <v>537</v>
      </c>
      <c r="K56" s="99">
        <v>10</v>
      </c>
      <c r="L56" s="99">
        <v>1674</v>
      </c>
      <c r="M56" s="99">
        <v>348</v>
      </c>
      <c r="N56" s="99">
        <v>203</v>
      </c>
      <c r="O56" s="99">
        <v>130</v>
      </c>
      <c r="P56" s="159">
        <v>130</v>
      </c>
      <c r="Q56" s="99">
        <v>24</v>
      </c>
      <c r="R56" s="99">
        <v>43</v>
      </c>
      <c r="S56" s="99">
        <v>33</v>
      </c>
      <c r="T56" s="99">
        <v>22</v>
      </c>
      <c r="U56" s="99" t="s">
        <v>625</v>
      </c>
      <c r="V56" s="99">
        <v>21</v>
      </c>
      <c r="W56" s="99">
        <v>29</v>
      </c>
      <c r="X56" s="99">
        <v>37</v>
      </c>
      <c r="Y56" s="99">
        <v>90</v>
      </c>
      <c r="Z56" s="99">
        <v>44</v>
      </c>
      <c r="AA56" s="99" t="s">
        <v>625</v>
      </c>
      <c r="AB56" s="99" t="s">
        <v>625</v>
      </c>
      <c r="AC56" s="99" t="s">
        <v>625</v>
      </c>
      <c r="AD56" s="98" t="s">
        <v>355</v>
      </c>
      <c r="AE56" s="100">
        <v>0.1599829351535836</v>
      </c>
      <c r="AF56" s="100">
        <v>0.25</v>
      </c>
      <c r="AG56" s="98">
        <v>394.6245733788396</v>
      </c>
      <c r="AH56" s="98">
        <v>149.3174061433447</v>
      </c>
      <c r="AI56" s="100">
        <v>0.015</v>
      </c>
      <c r="AJ56" s="100">
        <v>0.59733</v>
      </c>
      <c r="AK56" s="100">
        <v>0.333333</v>
      </c>
      <c r="AL56" s="100">
        <v>0.692021</v>
      </c>
      <c r="AM56" s="100">
        <v>0.451948</v>
      </c>
      <c r="AN56" s="100">
        <v>0.473193</v>
      </c>
      <c r="AO56" s="98">
        <v>1386.5187713310581</v>
      </c>
      <c r="AP56" s="158">
        <v>0.7807200623</v>
      </c>
      <c r="AQ56" s="100">
        <v>0.18461538461538463</v>
      </c>
      <c r="AR56" s="100">
        <v>0.5581395348837209</v>
      </c>
      <c r="AS56" s="98">
        <v>351.96245733788396</v>
      </c>
      <c r="AT56" s="98">
        <v>234.64163822525597</v>
      </c>
      <c r="AU56" s="98" t="s">
        <v>625</v>
      </c>
      <c r="AV56" s="98">
        <v>223.97610921501706</v>
      </c>
      <c r="AW56" s="98">
        <v>309.3003412969283</v>
      </c>
      <c r="AX56" s="98">
        <v>394.6245733788396</v>
      </c>
      <c r="AY56" s="98">
        <v>959.8976109215017</v>
      </c>
      <c r="AZ56" s="98">
        <v>469.28327645051195</v>
      </c>
      <c r="BA56" s="100" t="s">
        <v>625</v>
      </c>
      <c r="BB56" s="100" t="s">
        <v>625</v>
      </c>
      <c r="BC56" s="100" t="s">
        <v>625</v>
      </c>
      <c r="BD56" s="158">
        <v>0.6522895812999999</v>
      </c>
      <c r="BE56" s="158">
        <v>0.9270417023</v>
      </c>
      <c r="BF56" s="162">
        <v>899</v>
      </c>
      <c r="BG56" s="162">
        <v>30</v>
      </c>
      <c r="BH56" s="162">
        <v>2419</v>
      </c>
      <c r="BI56" s="162">
        <v>770</v>
      </c>
      <c r="BJ56" s="162">
        <v>429</v>
      </c>
      <c r="BK56" s="97"/>
      <c r="BL56" s="97"/>
      <c r="BM56" s="97"/>
      <c r="BN56" s="97"/>
    </row>
    <row r="57" spans="1:66" ht="12.75">
      <c r="A57" s="79" t="s">
        <v>585</v>
      </c>
      <c r="B57" s="79" t="s">
        <v>322</v>
      </c>
      <c r="C57" s="79" t="s">
        <v>229</v>
      </c>
      <c r="D57" s="99">
        <v>1910</v>
      </c>
      <c r="E57" s="99">
        <v>297</v>
      </c>
      <c r="F57" s="99" t="s">
        <v>378</v>
      </c>
      <c r="G57" s="99" t="s">
        <v>625</v>
      </c>
      <c r="H57" s="99" t="s">
        <v>625</v>
      </c>
      <c r="I57" s="99">
        <v>31</v>
      </c>
      <c r="J57" s="99">
        <v>132</v>
      </c>
      <c r="K57" s="99">
        <v>12</v>
      </c>
      <c r="L57" s="99">
        <v>308</v>
      </c>
      <c r="M57" s="99">
        <v>72</v>
      </c>
      <c r="N57" s="99">
        <v>41</v>
      </c>
      <c r="O57" s="99">
        <v>23</v>
      </c>
      <c r="P57" s="159">
        <v>23</v>
      </c>
      <c r="Q57" s="99" t="s">
        <v>625</v>
      </c>
      <c r="R57" s="99">
        <v>14</v>
      </c>
      <c r="S57" s="99" t="s">
        <v>625</v>
      </c>
      <c r="T57" s="99" t="s">
        <v>625</v>
      </c>
      <c r="U57" s="99" t="s">
        <v>625</v>
      </c>
      <c r="V57" s="99" t="s">
        <v>625</v>
      </c>
      <c r="W57" s="99">
        <v>10</v>
      </c>
      <c r="X57" s="99">
        <v>7</v>
      </c>
      <c r="Y57" s="99">
        <v>11</v>
      </c>
      <c r="Z57" s="99">
        <v>12</v>
      </c>
      <c r="AA57" s="99" t="s">
        <v>625</v>
      </c>
      <c r="AB57" s="99" t="s">
        <v>625</v>
      </c>
      <c r="AC57" s="99" t="s">
        <v>625</v>
      </c>
      <c r="AD57" s="98" t="s">
        <v>355</v>
      </c>
      <c r="AE57" s="100">
        <v>0.15549738219895287</v>
      </c>
      <c r="AF57" s="100">
        <v>0.17</v>
      </c>
      <c r="AG57" s="98" t="s">
        <v>625</v>
      </c>
      <c r="AH57" s="98" t="s">
        <v>625</v>
      </c>
      <c r="AI57" s="100">
        <v>0.016</v>
      </c>
      <c r="AJ57" s="100">
        <v>0.640777</v>
      </c>
      <c r="AK57" s="100">
        <v>0.705882</v>
      </c>
      <c r="AL57" s="100">
        <v>0.684444</v>
      </c>
      <c r="AM57" s="100">
        <v>0.426036</v>
      </c>
      <c r="AN57" s="100">
        <v>0.44086</v>
      </c>
      <c r="AO57" s="98">
        <v>1204.1884816753927</v>
      </c>
      <c r="AP57" s="158">
        <v>0.6732366943</v>
      </c>
      <c r="AQ57" s="100" t="s">
        <v>625</v>
      </c>
      <c r="AR57" s="100" t="s">
        <v>625</v>
      </c>
      <c r="AS57" s="98" t="s">
        <v>625</v>
      </c>
      <c r="AT57" s="98" t="s">
        <v>625</v>
      </c>
      <c r="AU57" s="98" t="s">
        <v>625</v>
      </c>
      <c r="AV57" s="98" t="s">
        <v>625</v>
      </c>
      <c r="AW57" s="98">
        <v>523.5602094240837</v>
      </c>
      <c r="AX57" s="98">
        <v>366.4921465968586</v>
      </c>
      <c r="AY57" s="98">
        <v>575.9162303664922</v>
      </c>
      <c r="AZ57" s="98">
        <v>628.2722513089005</v>
      </c>
      <c r="BA57" s="100" t="s">
        <v>625</v>
      </c>
      <c r="BB57" s="100" t="s">
        <v>625</v>
      </c>
      <c r="BC57" s="100" t="s">
        <v>625</v>
      </c>
      <c r="BD57" s="158">
        <v>0.426774292</v>
      </c>
      <c r="BE57" s="158">
        <v>1.0101855469999999</v>
      </c>
      <c r="BF57" s="162">
        <v>206</v>
      </c>
      <c r="BG57" s="162">
        <v>17</v>
      </c>
      <c r="BH57" s="162">
        <v>450</v>
      </c>
      <c r="BI57" s="162">
        <v>169</v>
      </c>
      <c r="BJ57" s="162">
        <v>93</v>
      </c>
      <c r="BK57" s="97"/>
      <c r="BL57" s="97"/>
      <c r="BM57" s="97"/>
      <c r="BN57" s="97"/>
    </row>
    <row r="58" spans="1:66" ht="12.75">
      <c r="A58" s="79" t="s">
        <v>575</v>
      </c>
      <c r="B58" s="79" t="s">
        <v>312</v>
      </c>
      <c r="C58" s="79" t="s">
        <v>229</v>
      </c>
      <c r="D58" s="99">
        <v>5109</v>
      </c>
      <c r="E58" s="99">
        <v>480</v>
      </c>
      <c r="F58" s="99" t="s">
        <v>376</v>
      </c>
      <c r="G58" s="99" t="s">
        <v>625</v>
      </c>
      <c r="H58" s="99" t="s">
        <v>625</v>
      </c>
      <c r="I58" s="99">
        <v>22</v>
      </c>
      <c r="J58" s="99">
        <v>129</v>
      </c>
      <c r="K58" s="99">
        <v>112</v>
      </c>
      <c r="L58" s="99">
        <v>666</v>
      </c>
      <c r="M58" s="99">
        <v>57</v>
      </c>
      <c r="N58" s="99">
        <v>34</v>
      </c>
      <c r="O58" s="99">
        <v>20</v>
      </c>
      <c r="P58" s="159">
        <v>20</v>
      </c>
      <c r="Q58" s="99" t="s">
        <v>625</v>
      </c>
      <c r="R58" s="99">
        <v>7</v>
      </c>
      <c r="S58" s="99">
        <v>10</v>
      </c>
      <c r="T58" s="99" t="s">
        <v>625</v>
      </c>
      <c r="U58" s="99" t="s">
        <v>625</v>
      </c>
      <c r="V58" s="99" t="s">
        <v>625</v>
      </c>
      <c r="W58" s="99">
        <v>14</v>
      </c>
      <c r="X58" s="99" t="s">
        <v>625</v>
      </c>
      <c r="Y58" s="99">
        <v>45</v>
      </c>
      <c r="Z58" s="99">
        <v>11</v>
      </c>
      <c r="AA58" s="99" t="s">
        <v>625</v>
      </c>
      <c r="AB58" s="99" t="s">
        <v>625</v>
      </c>
      <c r="AC58" s="99" t="s">
        <v>625</v>
      </c>
      <c r="AD58" s="98" t="s">
        <v>355</v>
      </c>
      <c r="AE58" s="100">
        <v>0.09395184967704051</v>
      </c>
      <c r="AF58" s="100">
        <v>0.44</v>
      </c>
      <c r="AG58" s="98" t="s">
        <v>625</v>
      </c>
      <c r="AH58" s="98" t="s">
        <v>625</v>
      </c>
      <c r="AI58" s="100">
        <v>0.004</v>
      </c>
      <c r="AJ58" s="100">
        <v>0.422951</v>
      </c>
      <c r="AK58" s="100">
        <v>0.419476</v>
      </c>
      <c r="AL58" s="100">
        <v>0.617811</v>
      </c>
      <c r="AM58" s="100">
        <v>0.259091</v>
      </c>
      <c r="AN58" s="100">
        <v>0.267717</v>
      </c>
      <c r="AO58" s="98">
        <v>391.46604032100214</v>
      </c>
      <c r="AP58" s="158">
        <v>0.3158718491</v>
      </c>
      <c r="AQ58" s="100" t="s">
        <v>625</v>
      </c>
      <c r="AR58" s="100" t="s">
        <v>625</v>
      </c>
      <c r="AS58" s="98">
        <v>195.73302016050107</v>
      </c>
      <c r="AT58" s="98" t="s">
        <v>625</v>
      </c>
      <c r="AU58" s="98" t="s">
        <v>625</v>
      </c>
      <c r="AV58" s="98" t="s">
        <v>625</v>
      </c>
      <c r="AW58" s="98">
        <v>274.0262282247015</v>
      </c>
      <c r="AX58" s="98" t="s">
        <v>625</v>
      </c>
      <c r="AY58" s="98">
        <v>880.7985907222549</v>
      </c>
      <c r="AZ58" s="98">
        <v>215.3063221765512</v>
      </c>
      <c r="BA58" s="100" t="s">
        <v>625</v>
      </c>
      <c r="BB58" s="100" t="s">
        <v>625</v>
      </c>
      <c r="BC58" s="100" t="s">
        <v>625</v>
      </c>
      <c r="BD58" s="158">
        <v>0.1929427338</v>
      </c>
      <c r="BE58" s="158">
        <v>0.4878384781</v>
      </c>
      <c r="BF58" s="162">
        <v>305</v>
      </c>
      <c r="BG58" s="162">
        <v>267</v>
      </c>
      <c r="BH58" s="162">
        <v>1078</v>
      </c>
      <c r="BI58" s="162">
        <v>220</v>
      </c>
      <c r="BJ58" s="162">
        <v>127</v>
      </c>
      <c r="BK58" s="97"/>
      <c r="BL58" s="97"/>
      <c r="BM58" s="97"/>
      <c r="BN58" s="97"/>
    </row>
    <row r="59" spans="1:66" ht="12.75">
      <c r="A59" s="79" t="s">
        <v>594</v>
      </c>
      <c r="B59" s="79" t="s">
        <v>331</v>
      </c>
      <c r="C59" s="79" t="s">
        <v>229</v>
      </c>
      <c r="D59" s="99">
        <v>3921</v>
      </c>
      <c r="E59" s="99">
        <v>290</v>
      </c>
      <c r="F59" s="99" t="s">
        <v>376</v>
      </c>
      <c r="G59" s="99" t="s">
        <v>625</v>
      </c>
      <c r="H59" s="99" t="s">
        <v>625</v>
      </c>
      <c r="I59" s="99">
        <v>18</v>
      </c>
      <c r="J59" s="99">
        <v>125</v>
      </c>
      <c r="K59" s="99">
        <v>122</v>
      </c>
      <c r="L59" s="99">
        <v>610</v>
      </c>
      <c r="M59" s="99">
        <v>48</v>
      </c>
      <c r="N59" s="99">
        <v>26</v>
      </c>
      <c r="O59" s="99">
        <v>15</v>
      </c>
      <c r="P59" s="159">
        <v>15</v>
      </c>
      <c r="Q59" s="99" t="s">
        <v>625</v>
      </c>
      <c r="R59" s="99">
        <v>7</v>
      </c>
      <c r="S59" s="99">
        <v>6</v>
      </c>
      <c r="T59" s="99" t="s">
        <v>625</v>
      </c>
      <c r="U59" s="99" t="s">
        <v>625</v>
      </c>
      <c r="V59" s="99" t="s">
        <v>625</v>
      </c>
      <c r="W59" s="99">
        <v>8</v>
      </c>
      <c r="X59" s="99">
        <v>7</v>
      </c>
      <c r="Y59" s="99">
        <v>32</v>
      </c>
      <c r="Z59" s="99">
        <v>9</v>
      </c>
      <c r="AA59" s="99" t="s">
        <v>625</v>
      </c>
      <c r="AB59" s="99" t="s">
        <v>625</v>
      </c>
      <c r="AC59" s="99" t="s">
        <v>625</v>
      </c>
      <c r="AD59" s="98" t="s">
        <v>355</v>
      </c>
      <c r="AE59" s="100">
        <v>0.07396072430502423</v>
      </c>
      <c r="AF59" s="100">
        <v>0.42</v>
      </c>
      <c r="AG59" s="98" t="s">
        <v>625</v>
      </c>
      <c r="AH59" s="98" t="s">
        <v>625</v>
      </c>
      <c r="AI59" s="100">
        <v>0.005</v>
      </c>
      <c r="AJ59" s="100">
        <v>0.555556</v>
      </c>
      <c r="AK59" s="100">
        <v>0.562212</v>
      </c>
      <c r="AL59" s="100">
        <v>0.748466</v>
      </c>
      <c r="AM59" s="100">
        <v>0.296296</v>
      </c>
      <c r="AN59" s="100">
        <v>0.295455</v>
      </c>
      <c r="AO59" s="98">
        <v>382.55547054322875</v>
      </c>
      <c r="AP59" s="158">
        <v>0.3436301422</v>
      </c>
      <c r="AQ59" s="100" t="s">
        <v>625</v>
      </c>
      <c r="AR59" s="100" t="s">
        <v>625</v>
      </c>
      <c r="AS59" s="98">
        <v>153.0221882172915</v>
      </c>
      <c r="AT59" s="98" t="s">
        <v>625</v>
      </c>
      <c r="AU59" s="98" t="s">
        <v>625</v>
      </c>
      <c r="AV59" s="98" t="s">
        <v>625</v>
      </c>
      <c r="AW59" s="98">
        <v>204.029584289722</v>
      </c>
      <c r="AX59" s="98">
        <v>178.52588625350677</v>
      </c>
      <c r="AY59" s="98">
        <v>816.118337158888</v>
      </c>
      <c r="AZ59" s="98">
        <v>229.53328232593725</v>
      </c>
      <c r="BA59" s="100" t="s">
        <v>625</v>
      </c>
      <c r="BB59" s="100" t="s">
        <v>625</v>
      </c>
      <c r="BC59" s="100" t="s">
        <v>625</v>
      </c>
      <c r="BD59" s="158">
        <v>0.1923271751</v>
      </c>
      <c r="BE59" s="158">
        <v>0.5667656326</v>
      </c>
      <c r="BF59" s="162">
        <v>225</v>
      </c>
      <c r="BG59" s="162">
        <v>217</v>
      </c>
      <c r="BH59" s="162">
        <v>815</v>
      </c>
      <c r="BI59" s="162">
        <v>162</v>
      </c>
      <c r="BJ59" s="162">
        <v>88</v>
      </c>
      <c r="BK59" s="97"/>
      <c r="BL59" s="97"/>
      <c r="BM59" s="97"/>
      <c r="BN59" s="97"/>
    </row>
    <row r="60" spans="1:66" ht="12.75">
      <c r="A60" s="79" t="s">
        <v>580</v>
      </c>
      <c r="B60" s="79" t="s">
        <v>317</v>
      </c>
      <c r="C60" s="79" t="s">
        <v>229</v>
      </c>
      <c r="D60" s="99">
        <v>2937</v>
      </c>
      <c r="E60" s="99">
        <v>671</v>
      </c>
      <c r="F60" s="99" t="s">
        <v>376</v>
      </c>
      <c r="G60" s="99">
        <v>25</v>
      </c>
      <c r="H60" s="99">
        <v>11</v>
      </c>
      <c r="I60" s="99">
        <v>67</v>
      </c>
      <c r="J60" s="99">
        <v>261</v>
      </c>
      <c r="K60" s="99">
        <v>226</v>
      </c>
      <c r="L60" s="99">
        <v>461</v>
      </c>
      <c r="M60" s="99">
        <v>152</v>
      </c>
      <c r="N60" s="99">
        <v>82</v>
      </c>
      <c r="O60" s="99">
        <v>127</v>
      </c>
      <c r="P60" s="159">
        <v>127</v>
      </c>
      <c r="Q60" s="99">
        <v>10</v>
      </c>
      <c r="R60" s="99">
        <v>27</v>
      </c>
      <c r="S60" s="99">
        <v>21</v>
      </c>
      <c r="T60" s="99">
        <v>12</v>
      </c>
      <c r="U60" s="99" t="s">
        <v>625</v>
      </c>
      <c r="V60" s="99">
        <v>54</v>
      </c>
      <c r="W60" s="99">
        <v>16</v>
      </c>
      <c r="X60" s="99">
        <v>22</v>
      </c>
      <c r="Y60" s="99">
        <v>28</v>
      </c>
      <c r="Z60" s="99">
        <v>35</v>
      </c>
      <c r="AA60" s="99" t="s">
        <v>625</v>
      </c>
      <c r="AB60" s="99" t="s">
        <v>625</v>
      </c>
      <c r="AC60" s="99" t="s">
        <v>625</v>
      </c>
      <c r="AD60" s="98" t="s">
        <v>355</v>
      </c>
      <c r="AE60" s="100">
        <v>0.22846441947565543</v>
      </c>
      <c r="AF60" s="100">
        <v>0.29</v>
      </c>
      <c r="AG60" s="98">
        <v>851.2087163772557</v>
      </c>
      <c r="AH60" s="98">
        <v>374.53183520599254</v>
      </c>
      <c r="AI60" s="100">
        <v>0.023</v>
      </c>
      <c r="AJ60" s="100">
        <v>0.735211</v>
      </c>
      <c r="AK60" s="100">
        <v>0.649425</v>
      </c>
      <c r="AL60" s="100">
        <v>0.692192</v>
      </c>
      <c r="AM60" s="100">
        <v>0.462006</v>
      </c>
      <c r="AN60" s="100">
        <v>0.463277</v>
      </c>
      <c r="AO60" s="98">
        <v>4324.140279196459</v>
      </c>
      <c r="AP60" s="158">
        <v>2.027608337</v>
      </c>
      <c r="AQ60" s="100">
        <v>0.07874015748031496</v>
      </c>
      <c r="AR60" s="100">
        <v>0.37037037037037035</v>
      </c>
      <c r="AS60" s="98">
        <v>715.0153217568948</v>
      </c>
      <c r="AT60" s="98">
        <v>408.58018386108273</v>
      </c>
      <c r="AU60" s="98" t="s">
        <v>625</v>
      </c>
      <c r="AV60" s="98">
        <v>1838.6108273748723</v>
      </c>
      <c r="AW60" s="98">
        <v>544.7735784814437</v>
      </c>
      <c r="AX60" s="98">
        <v>749.0636704119851</v>
      </c>
      <c r="AY60" s="98">
        <v>953.3537623425264</v>
      </c>
      <c r="AZ60" s="98">
        <v>1191.692202928158</v>
      </c>
      <c r="BA60" s="100" t="s">
        <v>625</v>
      </c>
      <c r="BB60" s="100" t="s">
        <v>625</v>
      </c>
      <c r="BC60" s="100" t="s">
        <v>625</v>
      </c>
      <c r="BD60" s="158">
        <v>1.6903256229999999</v>
      </c>
      <c r="BE60" s="158">
        <v>2.412469177</v>
      </c>
      <c r="BF60" s="162">
        <v>355</v>
      </c>
      <c r="BG60" s="162">
        <v>348</v>
      </c>
      <c r="BH60" s="162">
        <v>666</v>
      </c>
      <c r="BI60" s="162">
        <v>329</v>
      </c>
      <c r="BJ60" s="162">
        <v>177</v>
      </c>
      <c r="BK60" s="97"/>
      <c r="BL60" s="97"/>
      <c r="BM60" s="97"/>
      <c r="BN60" s="97"/>
    </row>
    <row r="61" spans="1:66" ht="12.75">
      <c r="A61" s="79" t="s">
        <v>574</v>
      </c>
      <c r="B61" s="79" t="s">
        <v>311</v>
      </c>
      <c r="C61" s="79" t="s">
        <v>229</v>
      </c>
      <c r="D61" s="99">
        <v>5388</v>
      </c>
      <c r="E61" s="99">
        <v>578</v>
      </c>
      <c r="F61" s="99" t="s">
        <v>376</v>
      </c>
      <c r="G61" s="99">
        <v>17</v>
      </c>
      <c r="H61" s="99">
        <v>7</v>
      </c>
      <c r="I61" s="99">
        <v>51</v>
      </c>
      <c r="J61" s="99">
        <v>234</v>
      </c>
      <c r="K61" s="99">
        <v>227</v>
      </c>
      <c r="L61" s="99">
        <v>751</v>
      </c>
      <c r="M61" s="99">
        <v>94</v>
      </c>
      <c r="N61" s="99">
        <v>55</v>
      </c>
      <c r="O61" s="99">
        <v>85</v>
      </c>
      <c r="P61" s="159">
        <v>85</v>
      </c>
      <c r="Q61" s="99" t="s">
        <v>625</v>
      </c>
      <c r="R61" s="99">
        <v>14</v>
      </c>
      <c r="S61" s="99">
        <v>23</v>
      </c>
      <c r="T61" s="99">
        <v>8</v>
      </c>
      <c r="U61" s="99" t="s">
        <v>625</v>
      </c>
      <c r="V61" s="99">
        <v>15</v>
      </c>
      <c r="W61" s="99">
        <v>12</v>
      </c>
      <c r="X61" s="99">
        <v>12</v>
      </c>
      <c r="Y61" s="99">
        <v>58</v>
      </c>
      <c r="Z61" s="99">
        <v>20</v>
      </c>
      <c r="AA61" s="99" t="s">
        <v>625</v>
      </c>
      <c r="AB61" s="99" t="s">
        <v>625</v>
      </c>
      <c r="AC61" s="99" t="s">
        <v>625</v>
      </c>
      <c r="AD61" s="98" t="s">
        <v>355</v>
      </c>
      <c r="AE61" s="100">
        <v>0.107275426874536</v>
      </c>
      <c r="AF61" s="100">
        <v>0.42</v>
      </c>
      <c r="AG61" s="98">
        <v>315.51596139569415</v>
      </c>
      <c r="AH61" s="98">
        <v>129.91833704528582</v>
      </c>
      <c r="AI61" s="100">
        <v>0.009000000000000001</v>
      </c>
      <c r="AJ61" s="100">
        <v>0.601542</v>
      </c>
      <c r="AK61" s="100">
        <v>0.620219</v>
      </c>
      <c r="AL61" s="100">
        <v>0.650216</v>
      </c>
      <c r="AM61" s="100">
        <v>0.329825</v>
      </c>
      <c r="AN61" s="100">
        <v>0.371622</v>
      </c>
      <c r="AO61" s="98">
        <v>1577.5798069784707</v>
      </c>
      <c r="AP61" s="158">
        <v>1.185299301</v>
      </c>
      <c r="AQ61" s="100" t="s">
        <v>625</v>
      </c>
      <c r="AR61" s="100" t="s">
        <v>625</v>
      </c>
      <c r="AS61" s="98">
        <v>426.87453600593915</v>
      </c>
      <c r="AT61" s="98">
        <v>148.47809948032665</v>
      </c>
      <c r="AU61" s="98" t="s">
        <v>625</v>
      </c>
      <c r="AV61" s="98">
        <v>278.39643652561244</v>
      </c>
      <c r="AW61" s="98">
        <v>222.71714922048997</v>
      </c>
      <c r="AX61" s="98">
        <v>222.71714922048997</v>
      </c>
      <c r="AY61" s="98">
        <v>1076.4662212323683</v>
      </c>
      <c r="AZ61" s="98">
        <v>371.19524870081665</v>
      </c>
      <c r="BA61" s="100" t="s">
        <v>625</v>
      </c>
      <c r="BB61" s="100" t="s">
        <v>625</v>
      </c>
      <c r="BC61" s="100" t="s">
        <v>625</v>
      </c>
      <c r="BD61" s="158">
        <v>0.9467749786</v>
      </c>
      <c r="BE61" s="158">
        <v>1.465641022</v>
      </c>
      <c r="BF61" s="162">
        <v>389</v>
      </c>
      <c r="BG61" s="162">
        <v>366</v>
      </c>
      <c r="BH61" s="162">
        <v>1155</v>
      </c>
      <c r="BI61" s="162">
        <v>285</v>
      </c>
      <c r="BJ61" s="162">
        <v>148</v>
      </c>
      <c r="BK61" s="97"/>
      <c r="BL61" s="97"/>
      <c r="BM61" s="97"/>
      <c r="BN61" s="97"/>
    </row>
    <row r="62" spans="1:66" ht="12.75">
      <c r="A62" s="79" t="s">
        <v>596</v>
      </c>
      <c r="B62" s="79" t="s">
        <v>333</v>
      </c>
      <c r="C62" s="79" t="s">
        <v>229</v>
      </c>
      <c r="D62" s="99">
        <v>4015</v>
      </c>
      <c r="E62" s="99">
        <v>341</v>
      </c>
      <c r="F62" s="99" t="s">
        <v>376</v>
      </c>
      <c r="G62" s="99">
        <v>11</v>
      </c>
      <c r="H62" s="99" t="s">
        <v>625</v>
      </c>
      <c r="I62" s="99">
        <v>40</v>
      </c>
      <c r="J62" s="99">
        <v>156</v>
      </c>
      <c r="K62" s="99" t="s">
        <v>625</v>
      </c>
      <c r="L62" s="99">
        <v>585</v>
      </c>
      <c r="M62" s="99">
        <v>85</v>
      </c>
      <c r="N62" s="99">
        <v>51</v>
      </c>
      <c r="O62" s="99">
        <v>48</v>
      </c>
      <c r="P62" s="159">
        <v>48</v>
      </c>
      <c r="Q62" s="99" t="s">
        <v>625</v>
      </c>
      <c r="R62" s="99">
        <v>13</v>
      </c>
      <c r="S62" s="99">
        <v>18</v>
      </c>
      <c r="T62" s="99" t="s">
        <v>625</v>
      </c>
      <c r="U62" s="99" t="s">
        <v>625</v>
      </c>
      <c r="V62" s="99">
        <v>7</v>
      </c>
      <c r="W62" s="99">
        <v>7</v>
      </c>
      <c r="X62" s="99">
        <v>7</v>
      </c>
      <c r="Y62" s="99">
        <v>11</v>
      </c>
      <c r="Z62" s="99">
        <v>20</v>
      </c>
      <c r="AA62" s="99" t="s">
        <v>625</v>
      </c>
      <c r="AB62" s="99" t="s">
        <v>625</v>
      </c>
      <c r="AC62" s="99" t="s">
        <v>625</v>
      </c>
      <c r="AD62" s="98" t="s">
        <v>355</v>
      </c>
      <c r="AE62" s="100">
        <v>0.08493150684931507</v>
      </c>
      <c r="AF62" s="100">
        <v>0.27</v>
      </c>
      <c r="AG62" s="98">
        <v>273.972602739726</v>
      </c>
      <c r="AH62" s="98" t="s">
        <v>625</v>
      </c>
      <c r="AI62" s="100">
        <v>0.01</v>
      </c>
      <c r="AJ62" s="100">
        <v>0.528814</v>
      </c>
      <c r="AK62" s="100" t="s">
        <v>625</v>
      </c>
      <c r="AL62" s="100">
        <v>0.566312</v>
      </c>
      <c r="AM62" s="100">
        <v>0.386364</v>
      </c>
      <c r="AN62" s="100">
        <v>0.425</v>
      </c>
      <c r="AO62" s="98">
        <v>1195.5168119551681</v>
      </c>
      <c r="AP62" s="158">
        <v>0.8755814362</v>
      </c>
      <c r="AQ62" s="100" t="s">
        <v>625</v>
      </c>
      <c r="AR62" s="100" t="s">
        <v>625</v>
      </c>
      <c r="AS62" s="98">
        <v>448.31880448318805</v>
      </c>
      <c r="AT62" s="98" t="s">
        <v>625</v>
      </c>
      <c r="AU62" s="98" t="s">
        <v>625</v>
      </c>
      <c r="AV62" s="98">
        <v>174.34620174346202</v>
      </c>
      <c r="AW62" s="98">
        <v>174.34620174346202</v>
      </c>
      <c r="AX62" s="98">
        <v>174.34620174346202</v>
      </c>
      <c r="AY62" s="98">
        <v>273.972602739726</v>
      </c>
      <c r="AZ62" s="98">
        <v>498.13200498132005</v>
      </c>
      <c r="BA62" s="100" t="s">
        <v>625</v>
      </c>
      <c r="BB62" s="100" t="s">
        <v>625</v>
      </c>
      <c r="BC62" s="100" t="s">
        <v>625</v>
      </c>
      <c r="BD62" s="158">
        <v>0.6455846405</v>
      </c>
      <c r="BE62" s="158">
        <v>1.160893936</v>
      </c>
      <c r="BF62" s="162">
        <v>295</v>
      </c>
      <c r="BG62" s="162" t="s">
        <v>625</v>
      </c>
      <c r="BH62" s="162">
        <v>1033</v>
      </c>
      <c r="BI62" s="162">
        <v>220</v>
      </c>
      <c r="BJ62" s="162">
        <v>120</v>
      </c>
      <c r="BK62" s="97"/>
      <c r="BL62" s="97"/>
      <c r="BM62" s="97"/>
      <c r="BN62" s="97"/>
    </row>
    <row r="63" spans="1:66" ht="12.75">
      <c r="A63" s="79" t="s">
        <v>605</v>
      </c>
      <c r="B63" s="79" t="s">
        <v>342</v>
      </c>
      <c r="C63" s="79" t="s">
        <v>229</v>
      </c>
      <c r="D63" s="99">
        <v>2541</v>
      </c>
      <c r="E63" s="99">
        <v>160</v>
      </c>
      <c r="F63" s="99" t="s">
        <v>376</v>
      </c>
      <c r="G63" s="99" t="s">
        <v>625</v>
      </c>
      <c r="H63" s="99" t="s">
        <v>625</v>
      </c>
      <c r="I63" s="99">
        <v>14</v>
      </c>
      <c r="J63" s="99">
        <v>85</v>
      </c>
      <c r="K63" s="99" t="s">
        <v>625</v>
      </c>
      <c r="L63" s="99">
        <v>393</v>
      </c>
      <c r="M63" s="99">
        <v>26</v>
      </c>
      <c r="N63" s="99">
        <v>14</v>
      </c>
      <c r="O63" s="99">
        <v>15</v>
      </c>
      <c r="P63" s="159">
        <v>15</v>
      </c>
      <c r="Q63" s="99" t="s">
        <v>625</v>
      </c>
      <c r="R63" s="99" t="s">
        <v>625</v>
      </c>
      <c r="S63" s="99" t="s">
        <v>625</v>
      </c>
      <c r="T63" s="99" t="s">
        <v>625</v>
      </c>
      <c r="U63" s="99" t="s">
        <v>625</v>
      </c>
      <c r="V63" s="99" t="s">
        <v>625</v>
      </c>
      <c r="W63" s="99" t="s">
        <v>625</v>
      </c>
      <c r="X63" s="99" t="s">
        <v>625</v>
      </c>
      <c r="Y63" s="99">
        <v>15</v>
      </c>
      <c r="Z63" s="99" t="s">
        <v>625</v>
      </c>
      <c r="AA63" s="99" t="s">
        <v>625</v>
      </c>
      <c r="AB63" s="99" t="s">
        <v>625</v>
      </c>
      <c r="AC63" s="99" t="s">
        <v>625</v>
      </c>
      <c r="AD63" s="98" t="s">
        <v>355</v>
      </c>
      <c r="AE63" s="100">
        <v>0.06296733569460843</v>
      </c>
      <c r="AF63" s="100">
        <v>0.4</v>
      </c>
      <c r="AG63" s="98" t="s">
        <v>625</v>
      </c>
      <c r="AH63" s="98" t="s">
        <v>625</v>
      </c>
      <c r="AI63" s="100">
        <v>0.006</v>
      </c>
      <c r="AJ63" s="100">
        <v>0.541401</v>
      </c>
      <c r="AK63" s="100" t="s">
        <v>625</v>
      </c>
      <c r="AL63" s="100">
        <v>0.723757</v>
      </c>
      <c r="AM63" s="100">
        <v>0.22807</v>
      </c>
      <c r="AN63" s="100">
        <v>0.212121</v>
      </c>
      <c r="AO63" s="98">
        <v>590.318772136954</v>
      </c>
      <c r="AP63" s="158">
        <v>0.5387062073</v>
      </c>
      <c r="AQ63" s="100" t="s">
        <v>625</v>
      </c>
      <c r="AR63" s="100" t="s">
        <v>625</v>
      </c>
      <c r="AS63" s="98" t="s">
        <v>625</v>
      </c>
      <c r="AT63" s="98" t="s">
        <v>625</v>
      </c>
      <c r="AU63" s="98" t="s">
        <v>625</v>
      </c>
      <c r="AV63" s="98" t="s">
        <v>625</v>
      </c>
      <c r="AW63" s="98" t="s">
        <v>625</v>
      </c>
      <c r="AX63" s="98" t="s">
        <v>625</v>
      </c>
      <c r="AY63" s="98">
        <v>590.318772136954</v>
      </c>
      <c r="AZ63" s="98" t="s">
        <v>625</v>
      </c>
      <c r="BA63" s="100" t="s">
        <v>625</v>
      </c>
      <c r="BB63" s="100" t="s">
        <v>625</v>
      </c>
      <c r="BC63" s="100" t="s">
        <v>625</v>
      </c>
      <c r="BD63" s="158">
        <v>0.30150978089999997</v>
      </c>
      <c r="BE63" s="158">
        <v>0.8885139465</v>
      </c>
      <c r="BF63" s="162">
        <v>157</v>
      </c>
      <c r="BG63" s="162" t="s">
        <v>625</v>
      </c>
      <c r="BH63" s="162">
        <v>543</v>
      </c>
      <c r="BI63" s="162">
        <v>114</v>
      </c>
      <c r="BJ63" s="162">
        <v>66</v>
      </c>
      <c r="BK63" s="97"/>
      <c r="BL63" s="97"/>
      <c r="BM63" s="97"/>
      <c r="BN63" s="97"/>
    </row>
    <row r="64" spans="1:66" ht="12.75">
      <c r="A64" s="79" t="s">
        <v>578</v>
      </c>
      <c r="B64" s="79" t="s">
        <v>315</v>
      </c>
      <c r="C64" s="79" t="s">
        <v>229</v>
      </c>
      <c r="D64" s="99">
        <v>2608</v>
      </c>
      <c r="E64" s="99">
        <v>456</v>
      </c>
      <c r="F64" s="99" t="s">
        <v>375</v>
      </c>
      <c r="G64" s="99">
        <v>10</v>
      </c>
      <c r="H64" s="99" t="s">
        <v>625</v>
      </c>
      <c r="I64" s="99">
        <v>31</v>
      </c>
      <c r="J64" s="99">
        <v>177</v>
      </c>
      <c r="K64" s="99" t="s">
        <v>625</v>
      </c>
      <c r="L64" s="99">
        <v>390</v>
      </c>
      <c r="M64" s="99">
        <v>103</v>
      </c>
      <c r="N64" s="99">
        <v>63</v>
      </c>
      <c r="O64" s="99">
        <v>44</v>
      </c>
      <c r="P64" s="159">
        <v>44</v>
      </c>
      <c r="Q64" s="99" t="s">
        <v>625</v>
      </c>
      <c r="R64" s="99">
        <v>11</v>
      </c>
      <c r="S64" s="99">
        <v>10</v>
      </c>
      <c r="T64" s="99" t="s">
        <v>625</v>
      </c>
      <c r="U64" s="99" t="s">
        <v>625</v>
      </c>
      <c r="V64" s="99">
        <v>12</v>
      </c>
      <c r="W64" s="99" t="s">
        <v>625</v>
      </c>
      <c r="X64" s="99">
        <v>6</v>
      </c>
      <c r="Y64" s="99">
        <v>18</v>
      </c>
      <c r="Z64" s="99">
        <v>13</v>
      </c>
      <c r="AA64" s="99" t="s">
        <v>625</v>
      </c>
      <c r="AB64" s="99" t="s">
        <v>625</v>
      </c>
      <c r="AC64" s="99" t="s">
        <v>625</v>
      </c>
      <c r="AD64" s="98" t="s">
        <v>355</v>
      </c>
      <c r="AE64" s="100">
        <v>0.17484662576687116</v>
      </c>
      <c r="AF64" s="100">
        <v>0.2</v>
      </c>
      <c r="AG64" s="98">
        <v>383.4355828220859</v>
      </c>
      <c r="AH64" s="98" t="s">
        <v>625</v>
      </c>
      <c r="AI64" s="100">
        <v>0.012</v>
      </c>
      <c r="AJ64" s="100">
        <v>0.655556</v>
      </c>
      <c r="AK64" s="100" t="s">
        <v>625</v>
      </c>
      <c r="AL64" s="100">
        <v>0.672414</v>
      </c>
      <c r="AM64" s="100">
        <v>0.457778</v>
      </c>
      <c r="AN64" s="100">
        <v>0.466667</v>
      </c>
      <c r="AO64" s="98">
        <v>1687.1165644171779</v>
      </c>
      <c r="AP64" s="158">
        <v>0.9052568817</v>
      </c>
      <c r="AQ64" s="100" t="s">
        <v>625</v>
      </c>
      <c r="AR64" s="100" t="s">
        <v>625</v>
      </c>
      <c r="AS64" s="98">
        <v>383.4355828220859</v>
      </c>
      <c r="AT64" s="98" t="s">
        <v>625</v>
      </c>
      <c r="AU64" s="98" t="s">
        <v>625</v>
      </c>
      <c r="AV64" s="98">
        <v>460.1226993865031</v>
      </c>
      <c r="AW64" s="98" t="s">
        <v>625</v>
      </c>
      <c r="AX64" s="98">
        <v>230.06134969325154</v>
      </c>
      <c r="AY64" s="98">
        <v>690.1840490797546</v>
      </c>
      <c r="AZ64" s="98">
        <v>498.46625766871165</v>
      </c>
      <c r="BA64" s="101" t="s">
        <v>625</v>
      </c>
      <c r="BB64" s="101" t="s">
        <v>625</v>
      </c>
      <c r="BC64" s="101" t="s">
        <v>625</v>
      </c>
      <c r="BD64" s="158">
        <v>0.6577610778999999</v>
      </c>
      <c r="BE64" s="158">
        <v>1.215265121</v>
      </c>
      <c r="BF64" s="162">
        <v>270</v>
      </c>
      <c r="BG64" s="162" t="s">
        <v>625</v>
      </c>
      <c r="BH64" s="162">
        <v>580</v>
      </c>
      <c r="BI64" s="162">
        <v>225</v>
      </c>
      <c r="BJ64" s="162">
        <v>135</v>
      </c>
      <c r="BK64" s="97"/>
      <c r="BL64" s="97"/>
      <c r="BM64" s="97"/>
      <c r="BN64" s="97"/>
    </row>
    <row r="65" spans="1:66" ht="12.75">
      <c r="A65" s="79" t="s">
        <v>587</v>
      </c>
      <c r="B65" s="79" t="s">
        <v>324</v>
      </c>
      <c r="C65" s="79" t="s">
        <v>229</v>
      </c>
      <c r="D65" s="99">
        <v>6470</v>
      </c>
      <c r="E65" s="99">
        <v>886</v>
      </c>
      <c r="F65" s="99" t="s">
        <v>376</v>
      </c>
      <c r="G65" s="99">
        <v>29</v>
      </c>
      <c r="H65" s="99">
        <v>16</v>
      </c>
      <c r="I65" s="99">
        <v>76</v>
      </c>
      <c r="J65" s="99">
        <v>437</v>
      </c>
      <c r="K65" s="99">
        <v>225</v>
      </c>
      <c r="L65" s="99">
        <v>1140</v>
      </c>
      <c r="M65" s="99">
        <v>248</v>
      </c>
      <c r="N65" s="99">
        <v>151</v>
      </c>
      <c r="O65" s="99">
        <v>111</v>
      </c>
      <c r="P65" s="159">
        <v>111</v>
      </c>
      <c r="Q65" s="99">
        <v>14</v>
      </c>
      <c r="R65" s="99">
        <v>29</v>
      </c>
      <c r="S65" s="99">
        <v>18</v>
      </c>
      <c r="T65" s="99">
        <v>20</v>
      </c>
      <c r="U65" s="99" t="s">
        <v>625</v>
      </c>
      <c r="V65" s="99">
        <v>32</v>
      </c>
      <c r="W65" s="99">
        <v>30</v>
      </c>
      <c r="X65" s="99">
        <v>26</v>
      </c>
      <c r="Y65" s="99">
        <v>52</v>
      </c>
      <c r="Z65" s="99">
        <v>25</v>
      </c>
      <c r="AA65" s="99" t="s">
        <v>625</v>
      </c>
      <c r="AB65" s="99" t="s">
        <v>625</v>
      </c>
      <c r="AC65" s="99" t="s">
        <v>625</v>
      </c>
      <c r="AD65" s="98" t="s">
        <v>355</v>
      </c>
      <c r="AE65" s="100">
        <v>0.13693972179289027</v>
      </c>
      <c r="AF65" s="100">
        <v>0.25</v>
      </c>
      <c r="AG65" s="98">
        <v>448.2225656877898</v>
      </c>
      <c r="AH65" s="98">
        <v>247.29520865533232</v>
      </c>
      <c r="AI65" s="100">
        <v>0.012</v>
      </c>
      <c r="AJ65" s="100">
        <v>0.69697</v>
      </c>
      <c r="AK65" s="100">
        <v>0.626741</v>
      </c>
      <c r="AL65" s="100">
        <v>0.746562</v>
      </c>
      <c r="AM65" s="100">
        <v>0.506122</v>
      </c>
      <c r="AN65" s="100">
        <v>0.543165</v>
      </c>
      <c r="AO65" s="98">
        <v>1715.6105100463678</v>
      </c>
      <c r="AP65" s="158">
        <v>1.054207993</v>
      </c>
      <c r="AQ65" s="100">
        <v>0.12612612612612611</v>
      </c>
      <c r="AR65" s="100">
        <v>0.4827586206896552</v>
      </c>
      <c r="AS65" s="98">
        <v>278.20710973724886</v>
      </c>
      <c r="AT65" s="98">
        <v>309.1190108191654</v>
      </c>
      <c r="AU65" s="98" t="s">
        <v>625</v>
      </c>
      <c r="AV65" s="98">
        <v>494.59041731066463</v>
      </c>
      <c r="AW65" s="98">
        <v>463.6785162287481</v>
      </c>
      <c r="AX65" s="98">
        <v>401.854714064915</v>
      </c>
      <c r="AY65" s="98">
        <v>803.70942812983</v>
      </c>
      <c r="AZ65" s="98">
        <v>386.39876352395675</v>
      </c>
      <c r="BA65" s="100" t="s">
        <v>625</v>
      </c>
      <c r="BB65" s="100" t="s">
        <v>625</v>
      </c>
      <c r="BC65" s="100" t="s">
        <v>625</v>
      </c>
      <c r="BD65" s="158">
        <v>0.8672364043999999</v>
      </c>
      <c r="BE65" s="158">
        <v>1.269538345</v>
      </c>
      <c r="BF65" s="162">
        <v>627</v>
      </c>
      <c r="BG65" s="162">
        <v>359</v>
      </c>
      <c r="BH65" s="162">
        <v>1527</v>
      </c>
      <c r="BI65" s="162">
        <v>490</v>
      </c>
      <c r="BJ65" s="162">
        <v>278</v>
      </c>
      <c r="BK65" s="97"/>
      <c r="BL65" s="97"/>
      <c r="BM65" s="97"/>
      <c r="BN65" s="97"/>
    </row>
    <row r="66" spans="1:66" ht="12.75">
      <c r="A66" s="79" t="s">
        <v>566</v>
      </c>
      <c r="B66" s="79" t="s">
        <v>303</v>
      </c>
      <c r="C66" s="79" t="s">
        <v>229</v>
      </c>
      <c r="D66" s="99">
        <v>10032</v>
      </c>
      <c r="E66" s="99">
        <v>1516</v>
      </c>
      <c r="F66" s="99" t="s">
        <v>376</v>
      </c>
      <c r="G66" s="99">
        <v>49</v>
      </c>
      <c r="H66" s="99">
        <v>22</v>
      </c>
      <c r="I66" s="99">
        <v>162</v>
      </c>
      <c r="J66" s="99">
        <v>697</v>
      </c>
      <c r="K66" s="99">
        <v>11</v>
      </c>
      <c r="L66" s="99">
        <v>1800</v>
      </c>
      <c r="M66" s="99">
        <v>412</v>
      </c>
      <c r="N66" s="99">
        <v>238</v>
      </c>
      <c r="O66" s="99">
        <v>254</v>
      </c>
      <c r="P66" s="159">
        <v>254</v>
      </c>
      <c r="Q66" s="99">
        <v>18</v>
      </c>
      <c r="R66" s="99">
        <v>44</v>
      </c>
      <c r="S66" s="99">
        <v>50</v>
      </c>
      <c r="T66" s="99">
        <v>47</v>
      </c>
      <c r="U66" s="99">
        <v>11</v>
      </c>
      <c r="V66" s="99">
        <v>15</v>
      </c>
      <c r="W66" s="99">
        <v>58</v>
      </c>
      <c r="X66" s="99">
        <v>44</v>
      </c>
      <c r="Y66" s="99">
        <v>161</v>
      </c>
      <c r="Z66" s="99">
        <v>61</v>
      </c>
      <c r="AA66" s="99" t="s">
        <v>625</v>
      </c>
      <c r="AB66" s="99" t="s">
        <v>625</v>
      </c>
      <c r="AC66" s="99" t="s">
        <v>625</v>
      </c>
      <c r="AD66" s="98" t="s">
        <v>355</v>
      </c>
      <c r="AE66" s="100">
        <v>0.1511164274322169</v>
      </c>
      <c r="AF66" s="100">
        <v>0.26</v>
      </c>
      <c r="AG66" s="98">
        <v>488.43700159489634</v>
      </c>
      <c r="AH66" s="98">
        <v>219.2982456140351</v>
      </c>
      <c r="AI66" s="100">
        <v>0.016</v>
      </c>
      <c r="AJ66" s="100">
        <v>0.620107</v>
      </c>
      <c r="AK66" s="100">
        <v>0.478261</v>
      </c>
      <c r="AL66" s="100">
        <v>0.75535</v>
      </c>
      <c r="AM66" s="100">
        <v>0.436441</v>
      </c>
      <c r="AN66" s="100">
        <v>0.450758</v>
      </c>
      <c r="AO66" s="98">
        <v>2531.8979266347687</v>
      </c>
      <c r="AP66" s="158">
        <v>1.4494416810000001</v>
      </c>
      <c r="AQ66" s="100">
        <v>0.07086614173228346</v>
      </c>
      <c r="AR66" s="100">
        <v>0.4090909090909091</v>
      </c>
      <c r="AS66" s="98">
        <v>498.4051036682616</v>
      </c>
      <c r="AT66" s="98">
        <v>468.5007974481659</v>
      </c>
      <c r="AU66" s="98">
        <v>109.64912280701755</v>
      </c>
      <c r="AV66" s="98">
        <v>149.52153110047846</v>
      </c>
      <c r="AW66" s="98">
        <v>578.1499202551834</v>
      </c>
      <c r="AX66" s="98">
        <v>438.5964912280702</v>
      </c>
      <c r="AY66" s="98">
        <v>1604.8644338118022</v>
      </c>
      <c r="AZ66" s="98">
        <v>608.054226475279</v>
      </c>
      <c r="BA66" s="100" t="s">
        <v>625</v>
      </c>
      <c r="BB66" s="100" t="s">
        <v>625</v>
      </c>
      <c r="BC66" s="100" t="s">
        <v>625</v>
      </c>
      <c r="BD66" s="158">
        <v>1.276655579</v>
      </c>
      <c r="BE66" s="158">
        <v>1.639091644</v>
      </c>
      <c r="BF66" s="162">
        <v>1124</v>
      </c>
      <c r="BG66" s="162">
        <v>23</v>
      </c>
      <c r="BH66" s="162">
        <v>2383</v>
      </c>
      <c r="BI66" s="162">
        <v>944</v>
      </c>
      <c r="BJ66" s="162">
        <v>528</v>
      </c>
      <c r="BK66" s="97"/>
      <c r="BL66" s="97"/>
      <c r="BM66" s="97"/>
      <c r="BN66" s="97"/>
    </row>
    <row r="67" spans="1:66" ht="12.75">
      <c r="A67" s="79" t="s">
        <v>552</v>
      </c>
      <c r="B67" s="79" t="s">
        <v>290</v>
      </c>
      <c r="C67" s="79" t="s">
        <v>229</v>
      </c>
      <c r="D67" s="99">
        <v>11444</v>
      </c>
      <c r="E67" s="99">
        <v>2107</v>
      </c>
      <c r="F67" s="99" t="s">
        <v>376</v>
      </c>
      <c r="G67" s="99">
        <v>71</v>
      </c>
      <c r="H67" s="99">
        <v>36</v>
      </c>
      <c r="I67" s="99">
        <v>214</v>
      </c>
      <c r="J67" s="99">
        <v>906</v>
      </c>
      <c r="K67" s="99">
        <v>796</v>
      </c>
      <c r="L67" s="99">
        <v>1769</v>
      </c>
      <c r="M67" s="99">
        <v>552</v>
      </c>
      <c r="N67" s="99">
        <v>304</v>
      </c>
      <c r="O67" s="99">
        <v>235</v>
      </c>
      <c r="P67" s="159">
        <v>235</v>
      </c>
      <c r="Q67" s="99">
        <v>26</v>
      </c>
      <c r="R67" s="99">
        <v>66</v>
      </c>
      <c r="S67" s="99">
        <v>51</v>
      </c>
      <c r="T67" s="99">
        <v>34</v>
      </c>
      <c r="U67" s="99" t="s">
        <v>625</v>
      </c>
      <c r="V67" s="99">
        <v>33</v>
      </c>
      <c r="W67" s="99">
        <v>57</v>
      </c>
      <c r="X67" s="99">
        <v>42</v>
      </c>
      <c r="Y67" s="99">
        <v>145</v>
      </c>
      <c r="Z67" s="99">
        <v>107</v>
      </c>
      <c r="AA67" s="99" t="s">
        <v>625</v>
      </c>
      <c r="AB67" s="99" t="s">
        <v>625</v>
      </c>
      <c r="AC67" s="99" t="s">
        <v>625</v>
      </c>
      <c r="AD67" s="98" t="s">
        <v>355</v>
      </c>
      <c r="AE67" s="100">
        <v>0.1841139461726669</v>
      </c>
      <c r="AF67" s="100">
        <v>0.29</v>
      </c>
      <c r="AG67" s="98">
        <v>620.4124432016778</v>
      </c>
      <c r="AH67" s="98">
        <v>314.5753233135267</v>
      </c>
      <c r="AI67" s="100">
        <v>0.019</v>
      </c>
      <c r="AJ67" s="100">
        <v>0.731826</v>
      </c>
      <c r="AK67" s="100">
        <v>0.666109</v>
      </c>
      <c r="AL67" s="100">
        <v>0.677259</v>
      </c>
      <c r="AM67" s="100">
        <v>0.480418</v>
      </c>
      <c r="AN67" s="100">
        <v>0.484076</v>
      </c>
      <c r="AO67" s="98">
        <v>2053.4778049632996</v>
      </c>
      <c r="AP67" s="158">
        <v>1.086614838</v>
      </c>
      <c r="AQ67" s="100">
        <v>0.11063829787234042</v>
      </c>
      <c r="AR67" s="100">
        <v>0.3939393939393939</v>
      </c>
      <c r="AS67" s="98">
        <v>445.6483746941629</v>
      </c>
      <c r="AT67" s="98">
        <v>297.09891646277526</v>
      </c>
      <c r="AU67" s="98" t="s">
        <v>625</v>
      </c>
      <c r="AV67" s="98">
        <v>288.36071303739953</v>
      </c>
      <c r="AW67" s="98">
        <v>498.07759524641733</v>
      </c>
      <c r="AX67" s="98">
        <v>367.0045438657812</v>
      </c>
      <c r="AY67" s="98">
        <v>1267.0394966794827</v>
      </c>
      <c r="AZ67" s="98">
        <v>934.9877665152045</v>
      </c>
      <c r="BA67" s="100" t="s">
        <v>625</v>
      </c>
      <c r="BB67" s="100" t="s">
        <v>625</v>
      </c>
      <c r="BC67" s="100" t="s">
        <v>625</v>
      </c>
      <c r="BD67" s="158">
        <v>0.9521168518</v>
      </c>
      <c r="BE67" s="158">
        <v>1.234788437</v>
      </c>
      <c r="BF67" s="162">
        <v>1238</v>
      </c>
      <c r="BG67" s="162">
        <v>1195</v>
      </c>
      <c r="BH67" s="162">
        <v>2612</v>
      </c>
      <c r="BI67" s="162">
        <v>1149</v>
      </c>
      <c r="BJ67" s="162">
        <v>628</v>
      </c>
      <c r="BK67" s="97"/>
      <c r="BL67" s="97"/>
      <c r="BM67" s="97"/>
      <c r="BN67" s="97"/>
    </row>
    <row r="68" spans="1:66" ht="12.75">
      <c r="A68" s="79" t="s">
        <v>553</v>
      </c>
      <c r="B68" s="79" t="s">
        <v>291</v>
      </c>
      <c r="C68" s="79" t="s">
        <v>229</v>
      </c>
      <c r="D68" s="99">
        <v>14292</v>
      </c>
      <c r="E68" s="99">
        <v>2720</v>
      </c>
      <c r="F68" s="99" t="s">
        <v>377</v>
      </c>
      <c r="G68" s="99">
        <v>57</v>
      </c>
      <c r="H68" s="99">
        <v>37</v>
      </c>
      <c r="I68" s="99">
        <v>281</v>
      </c>
      <c r="J68" s="99">
        <v>1462</v>
      </c>
      <c r="K68" s="99">
        <v>1386</v>
      </c>
      <c r="L68" s="99">
        <v>2858</v>
      </c>
      <c r="M68" s="99">
        <v>1036</v>
      </c>
      <c r="N68" s="99">
        <v>559</v>
      </c>
      <c r="O68" s="99">
        <v>271</v>
      </c>
      <c r="P68" s="159">
        <v>271</v>
      </c>
      <c r="Q68" s="99">
        <v>39</v>
      </c>
      <c r="R68" s="99">
        <v>82</v>
      </c>
      <c r="S68" s="99">
        <v>65</v>
      </c>
      <c r="T68" s="99">
        <v>41</v>
      </c>
      <c r="U68" s="99" t="s">
        <v>625</v>
      </c>
      <c r="V68" s="99">
        <v>47</v>
      </c>
      <c r="W68" s="99">
        <v>70</v>
      </c>
      <c r="X68" s="99">
        <v>53</v>
      </c>
      <c r="Y68" s="99">
        <v>110</v>
      </c>
      <c r="Z68" s="99">
        <v>75</v>
      </c>
      <c r="AA68" s="99" t="s">
        <v>625</v>
      </c>
      <c r="AB68" s="99" t="s">
        <v>625</v>
      </c>
      <c r="AC68" s="99" t="s">
        <v>625</v>
      </c>
      <c r="AD68" s="98" t="s">
        <v>355</v>
      </c>
      <c r="AE68" s="100">
        <v>0.1903162608452281</v>
      </c>
      <c r="AF68" s="100">
        <v>0.09</v>
      </c>
      <c r="AG68" s="98">
        <v>398.82451721242654</v>
      </c>
      <c r="AH68" s="98">
        <v>258.88609012034703</v>
      </c>
      <c r="AI68" s="100">
        <v>0.02</v>
      </c>
      <c r="AJ68" s="100">
        <v>0.780983</v>
      </c>
      <c r="AK68" s="100">
        <v>0.776906</v>
      </c>
      <c r="AL68" s="100">
        <v>0.788196</v>
      </c>
      <c r="AM68" s="100">
        <v>0.605848</v>
      </c>
      <c r="AN68" s="100">
        <v>0.619048</v>
      </c>
      <c r="AO68" s="98">
        <v>1896.165687097677</v>
      </c>
      <c r="AP68" s="158">
        <v>0.9403584290000001</v>
      </c>
      <c r="AQ68" s="100">
        <v>0.14391143911439114</v>
      </c>
      <c r="AR68" s="100">
        <v>0.47560975609756095</v>
      </c>
      <c r="AS68" s="98">
        <v>454.7998880492583</v>
      </c>
      <c r="AT68" s="98">
        <v>286.87377553876297</v>
      </c>
      <c r="AU68" s="98" t="s">
        <v>625</v>
      </c>
      <c r="AV68" s="98">
        <v>328.8553036663868</v>
      </c>
      <c r="AW68" s="98">
        <v>489.7844948222782</v>
      </c>
      <c r="AX68" s="98">
        <v>370.83683179401066</v>
      </c>
      <c r="AY68" s="98">
        <v>769.6613490064371</v>
      </c>
      <c r="AZ68" s="98">
        <v>524.769101595298</v>
      </c>
      <c r="BA68" s="100" t="s">
        <v>625</v>
      </c>
      <c r="BB68" s="100" t="s">
        <v>625</v>
      </c>
      <c r="BC68" s="100" t="s">
        <v>625</v>
      </c>
      <c r="BD68" s="158">
        <v>0.8317218781</v>
      </c>
      <c r="BE68" s="158">
        <v>1.059242706</v>
      </c>
      <c r="BF68" s="162">
        <v>1872</v>
      </c>
      <c r="BG68" s="162">
        <v>1784</v>
      </c>
      <c r="BH68" s="162">
        <v>3626</v>
      </c>
      <c r="BI68" s="162">
        <v>1710</v>
      </c>
      <c r="BJ68" s="162">
        <v>903</v>
      </c>
      <c r="BK68" s="97"/>
      <c r="BL68" s="97"/>
      <c r="BM68" s="97"/>
      <c r="BN68" s="97"/>
    </row>
    <row r="69" spans="1:66" ht="12.75">
      <c r="A69" s="79" t="s">
        <v>545</v>
      </c>
      <c r="B69" s="79" t="s">
        <v>283</v>
      </c>
      <c r="C69" s="79" t="s">
        <v>229</v>
      </c>
      <c r="D69" s="99">
        <v>8743</v>
      </c>
      <c r="E69" s="99">
        <v>790</v>
      </c>
      <c r="F69" s="99" t="s">
        <v>376</v>
      </c>
      <c r="G69" s="99">
        <v>24</v>
      </c>
      <c r="H69" s="99">
        <v>15</v>
      </c>
      <c r="I69" s="99">
        <v>67</v>
      </c>
      <c r="J69" s="99">
        <v>258</v>
      </c>
      <c r="K69" s="99" t="s">
        <v>625</v>
      </c>
      <c r="L69" s="99">
        <v>1104</v>
      </c>
      <c r="M69" s="99">
        <v>144</v>
      </c>
      <c r="N69" s="99">
        <v>99</v>
      </c>
      <c r="O69" s="99">
        <v>45</v>
      </c>
      <c r="P69" s="159">
        <v>45</v>
      </c>
      <c r="Q69" s="99">
        <v>7</v>
      </c>
      <c r="R69" s="99">
        <v>20</v>
      </c>
      <c r="S69" s="99">
        <v>12</v>
      </c>
      <c r="T69" s="99">
        <v>7</v>
      </c>
      <c r="U69" s="99" t="s">
        <v>625</v>
      </c>
      <c r="V69" s="99" t="s">
        <v>625</v>
      </c>
      <c r="W69" s="99">
        <v>23</v>
      </c>
      <c r="X69" s="99">
        <v>22</v>
      </c>
      <c r="Y69" s="99">
        <v>76</v>
      </c>
      <c r="Z69" s="99">
        <v>36</v>
      </c>
      <c r="AA69" s="99" t="s">
        <v>625</v>
      </c>
      <c r="AB69" s="99" t="s">
        <v>625</v>
      </c>
      <c r="AC69" s="99" t="s">
        <v>625</v>
      </c>
      <c r="AD69" s="98" t="s">
        <v>355</v>
      </c>
      <c r="AE69" s="100">
        <v>0.09035800068626329</v>
      </c>
      <c r="AF69" s="100">
        <v>0.4</v>
      </c>
      <c r="AG69" s="98">
        <v>274.50531854054674</v>
      </c>
      <c r="AH69" s="98">
        <v>171.5658240878417</v>
      </c>
      <c r="AI69" s="100">
        <v>0.008</v>
      </c>
      <c r="AJ69" s="100">
        <v>0.534161</v>
      </c>
      <c r="AK69" s="100" t="s">
        <v>625</v>
      </c>
      <c r="AL69" s="100">
        <v>0.621272</v>
      </c>
      <c r="AM69" s="100">
        <v>0.389189</v>
      </c>
      <c r="AN69" s="100">
        <v>0.447964</v>
      </c>
      <c r="AO69" s="98">
        <v>514.6974722635251</v>
      </c>
      <c r="AP69" s="158">
        <v>0.42884288789999997</v>
      </c>
      <c r="AQ69" s="100">
        <v>0.15555555555555556</v>
      </c>
      <c r="AR69" s="100">
        <v>0.35</v>
      </c>
      <c r="AS69" s="98">
        <v>137.25265927027337</v>
      </c>
      <c r="AT69" s="98">
        <v>80.0640512409928</v>
      </c>
      <c r="AU69" s="98" t="s">
        <v>625</v>
      </c>
      <c r="AV69" s="98" t="s">
        <v>625</v>
      </c>
      <c r="AW69" s="98">
        <v>263.0675969346906</v>
      </c>
      <c r="AX69" s="98">
        <v>251.6298753288345</v>
      </c>
      <c r="AY69" s="98">
        <v>869.2668420450647</v>
      </c>
      <c r="AZ69" s="98">
        <v>411.7579778108201</v>
      </c>
      <c r="BA69" s="100" t="s">
        <v>625</v>
      </c>
      <c r="BB69" s="100" t="s">
        <v>625</v>
      </c>
      <c r="BC69" s="100" t="s">
        <v>625</v>
      </c>
      <c r="BD69" s="158">
        <v>0.3128009415</v>
      </c>
      <c r="BE69" s="158">
        <v>0.5738254929</v>
      </c>
      <c r="BF69" s="162">
        <v>483</v>
      </c>
      <c r="BG69" s="162" t="s">
        <v>625</v>
      </c>
      <c r="BH69" s="162">
        <v>1777</v>
      </c>
      <c r="BI69" s="162">
        <v>370</v>
      </c>
      <c r="BJ69" s="162">
        <v>221</v>
      </c>
      <c r="BK69" s="97"/>
      <c r="BL69" s="97"/>
      <c r="BM69" s="97"/>
      <c r="BN69" s="97"/>
    </row>
    <row r="70" spans="1:66" ht="12.75">
      <c r="A70" s="79" t="s">
        <v>607</v>
      </c>
      <c r="B70" s="79" t="s">
        <v>344</v>
      </c>
      <c r="C70" s="79" t="s">
        <v>229</v>
      </c>
      <c r="D70" s="99">
        <v>2026</v>
      </c>
      <c r="E70" s="99">
        <v>303</v>
      </c>
      <c r="F70" s="99" t="s">
        <v>375</v>
      </c>
      <c r="G70" s="99">
        <v>7</v>
      </c>
      <c r="H70" s="99" t="s">
        <v>625</v>
      </c>
      <c r="I70" s="99">
        <v>37</v>
      </c>
      <c r="J70" s="99">
        <v>172</v>
      </c>
      <c r="K70" s="99">
        <v>32</v>
      </c>
      <c r="L70" s="99">
        <v>381</v>
      </c>
      <c r="M70" s="99">
        <v>110</v>
      </c>
      <c r="N70" s="99">
        <v>58</v>
      </c>
      <c r="O70" s="99">
        <v>13</v>
      </c>
      <c r="P70" s="159">
        <v>13</v>
      </c>
      <c r="Q70" s="99" t="s">
        <v>625</v>
      </c>
      <c r="R70" s="99">
        <v>7</v>
      </c>
      <c r="S70" s="99">
        <v>7</v>
      </c>
      <c r="T70" s="99" t="s">
        <v>625</v>
      </c>
      <c r="U70" s="99" t="s">
        <v>625</v>
      </c>
      <c r="V70" s="99" t="s">
        <v>625</v>
      </c>
      <c r="W70" s="99">
        <v>8</v>
      </c>
      <c r="X70" s="99" t="s">
        <v>625</v>
      </c>
      <c r="Y70" s="99">
        <v>14</v>
      </c>
      <c r="Z70" s="99">
        <v>13</v>
      </c>
      <c r="AA70" s="99" t="s">
        <v>625</v>
      </c>
      <c r="AB70" s="99" t="s">
        <v>625</v>
      </c>
      <c r="AC70" s="99" t="s">
        <v>625</v>
      </c>
      <c r="AD70" s="98" t="s">
        <v>355</v>
      </c>
      <c r="AE70" s="100">
        <v>0.14955577492596248</v>
      </c>
      <c r="AF70" s="100">
        <v>0.22</v>
      </c>
      <c r="AG70" s="98">
        <v>345.5083909180652</v>
      </c>
      <c r="AH70" s="98" t="s">
        <v>625</v>
      </c>
      <c r="AI70" s="100">
        <v>0.018000000000000002</v>
      </c>
      <c r="AJ70" s="100">
        <v>0.747826</v>
      </c>
      <c r="AK70" s="100">
        <v>0.744186</v>
      </c>
      <c r="AL70" s="100">
        <v>0.77439</v>
      </c>
      <c r="AM70" s="100">
        <v>0.536585</v>
      </c>
      <c r="AN70" s="100">
        <v>0.537037</v>
      </c>
      <c r="AO70" s="98">
        <v>641.6584402764067</v>
      </c>
      <c r="AP70" s="158">
        <v>0.3640182877</v>
      </c>
      <c r="AQ70" s="100" t="s">
        <v>625</v>
      </c>
      <c r="AR70" s="100" t="s">
        <v>625</v>
      </c>
      <c r="AS70" s="98">
        <v>345.5083909180652</v>
      </c>
      <c r="AT70" s="98" t="s">
        <v>625</v>
      </c>
      <c r="AU70" s="98" t="s">
        <v>625</v>
      </c>
      <c r="AV70" s="98" t="s">
        <v>625</v>
      </c>
      <c r="AW70" s="98">
        <v>394.86673247778873</v>
      </c>
      <c r="AX70" s="98" t="s">
        <v>625</v>
      </c>
      <c r="AY70" s="98">
        <v>691.0167818361303</v>
      </c>
      <c r="AZ70" s="98">
        <v>641.6584402764067</v>
      </c>
      <c r="BA70" s="100" t="s">
        <v>625</v>
      </c>
      <c r="BB70" s="100" t="s">
        <v>625</v>
      </c>
      <c r="BC70" s="100" t="s">
        <v>625</v>
      </c>
      <c r="BD70" s="158">
        <v>0.1938244057</v>
      </c>
      <c r="BE70" s="158">
        <v>0.6224823761</v>
      </c>
      <c r="BF70" s="162">
        <v>230</v>
      </c>
      <c r="BG70" s="162">
        <v>43</v>
      </c>
      <c r="BH70" s="162">
        <v>492</v>
      </c>
      <c r="BI70" s="162">
        <v>205</v>
      </c>
      <c r="BJ70" s="162">
        <v>108</v>
      </c>
      <c r="BK70" s="97"/>
      <c r="BL70" s="97"/>
      <c r="BM70" s="97"/>
      <c r="BN70" s="97"/>
    </row>
    <row r="71" spans="1:66" ht="12.75">
      <c r="A71" s="79" t="s">
        <v>547</v>
      </c>
      <c r="B71" s="79" t="s">
        <v>285</v>
      </c>
      <c r="C71" s="79" t="s">
        <v>229</v>
      </c>
      <c r="D71" s="99">
        <v>7994</v>
      </c>
      <c r="E71" s="99">
        <v>1431</v>
      </c>
      <c r="F71" s="99" t="s">
        <v>375</v>
      </c>
      <c r="G71" s="99">
        <v>36</v>
      </c>
      <c r="H71" s="99">
        <v>23</v>
      </c>
      <c r="I71" s="99">
        <v>70</v>
      </c>
      <c r="J71" s="99">
        <v>633</v>
      </c>
      <c r="K71" s="99" t="s">
        <v>625</v>
      </c>
      <c r="L71" s="99">
        <v>1251</v>
      </c>
      <c r="M71" s="99">
        <v>423</v>
      </c>
      <c r="N71" s="99">
        <v>216</v>
      </c>
      <c r="O71" s="99">
        <v>135</v>
      </c>
      <c r="P71" s="159">
        <v>135</v>
      </c>
      <c r="Q71" s="99">
        <v>16</v>
      </c>
      <c r="R71" s="99">
        <v>43</v>
      </c>
      <c r="S71" s="99">
        <v>27</v>
      </c>
      <c r="T71" s="99">
        <v>16</v>
      </c>
      <c r="U71" s="99" t="s">
        <v>625</v>
      </c>
      <c r="V71" s="99">
        <v>26</v>
      </c>
      <c r="W71" s="99">
        <v>38</v>
      </c>
      <c r="X71" s="99">
        <v>34</v>
      </c>
      <c r="Y71" s="99">
        <v>71</v>
      </c>
      <c r="Z71" s="99">
        <v>47</v>
      </c>
      <c r="AA71" s="99" t="s">
        <v>625</v>
      </c>
      <c r="AB71" s="99" t="s">
        <v>625</v>
      </c>
      <c r="AC71" s="99" t="s">
        <v>625</v>
      </c>
      <c r="AD71" s="98" t="s">
        <v>355</v>
      </c>
      <c r="AE71" s="100">
        <v>0.17900925694270703</v>
      </c>
      <c r="AF71" s="100">
        <v>0.22</v>
      </c>
      <c r="AG71" s="98">
        <v>450.33775331498623</v>
      </c>
      <c r="AH71" s="98">
        <v>287.7157868401301</v>
      </c>
      <c r="AI71" s="100">
        <v>0.009000000000000001</v>
      </c>
      <c r="AJ71" s="100">
        <v>0.681378</v>
      </c>
      <c r="AK71" s="100" t="s">
        <v>625</v>
      </c>
      <c r="AL71" s="100">
        <v>0.626754</v>
      </c>
      <c r="AM71" s="100">
        <v>0.530075</v>
      </c>
      <c r="AN71" s="100">
        <v>0.502326</v>
      </c>
      <c r="AO71" s="98">
        <v>1688.7665749311984</v>
      </c>
      <c r="AP71" s="158">
        <v>0.8873522185999999</v>
      </c>
      <c r="AQ71" s="100">
        <v>0.11851851851851852</v>
      </c>
      <c r="AR71" s="100">
        <v>0.37209302325581395</v>
      </c>
      <c r="AS71" s="98">
        <v>337.7533149862397</v>
      </c>
      <c r="AT71" s="98">
        <v>200.15011258443832</v>
      </c>
      <c r="AU71" s="98" t="s">
        <v>625</v>
      </c>
      <c r="AV71" s="98">
        <v>325.2439329497123</v>
      </c>
      <c r="AW71" s="98">
        <v>475.356517388041</v>
      </c>
      <c r="AX71" s="98">
        <v>425.31898924193143</v>
      </c>
      <c r="AY71" s="98">
        <v>888.166124593445</v>
      </c>
      <c r="AZ71" s="98">
        <v>587.9409557167876</v>
      </c>
      <c r="BA71" s="100" t="s">
        <v>625</v>
      </c>
      <c r="BB71" s="100" t="s">
        <v>625</v>
      </c>
      <c r="BC71" s="100" t="s">
        <v>625</v>
      </c>
      <c r="BD71" s="158">
        <v>0.743986969</v>
      </c>
      <c r="BE71" s="158">
        <v>1.050288696</v>
      </c>
      <c r="BF71" s="162">
        <v>929</v>
      </c>
      <c r="BG71" s="162" t="s">
        <v>625</v>
      </c>
      <c r="BH71" s="162">
        <v>1996</v>
      </c>
      <c r="BI71" s="162">
        <v>798</v>
      </c>
      <c r="BJ71" s="162">
        <v>430</v>
      </c>
      <c r="BK71" s="97"/>
      <c r="BL71" s="97"/>
      <c r="BM71" s="97"/>
      <c r="BN71" s="97"/>
    </row>
    <row r="72" spans="1:66" ht="12.75">
      <c r="A72" s="79" t="s">
        <v>562</v>
      </c>
      <c r="B72" s="79" t="s">
        <v>300</v>
      </c>
      <c r="C72" s="79" t="s">
        <v>229</v>
      </c>
      <c r="D72" s="99">
        <v>9195</v>
      </c>
      <c r="E72" s="99">
        <v>1914</v>
      </c>
      <c r="F72" s="99" t="s">
        <v>377</v>
      </c>
      <c r="G72" s="99">
        <v>47</v>
      </c>
      <c r="H72" s="99">
        <v>20</v>
      </c>
      <c r="I72" s="99">
        <v>221</v>
      </c>
      <c r="J72" s="99">
        <v>1004</v>
      </c>
      <c r="K72" s="99">
        <v>953</v>
      </c>
      <c r="L72" s="99">
        <v>1755</v>
      </c>
      <c r="M72" s="99">
        <v>661</v>
      </c>
      <c r="N72" s="99">
        <v>372</v>
      </c>
      <c r="O72" s="99">
        <v>254</v>
      </c>
      <c r="P72" s="159">
        <v>254</v>
      </c>
      <c r="Q72" s="99">
        <v>33</v>
      </c>
      <c r="R72" s="99">
        <v>68</v>
      </c>
      <c r="S72" s="99">
        <v>54</v>
      </c>
      <c r="T72" s="99">
        <v>40</v>
      </c>
      <c r="U72" s="99">
        <v>8</v>
      </c>
      <c r="V72" s="99">
        <v>65</v>
      </c>
      <c r="W72" s="99">
        <v>52</v>
      </c>
      <c r="X72" s="99">
        <v>45</v>
      </c>
      <c r="Y72" s="99">
        <v>103</v>
      </c>
      <c r="Z72" s="99">
        <v>69</v>
      </c>
      <c r="AA72" s="99" t="s">
        <v>625</v>
      </c>
      <c r="AB72" s="99" t="s">
        <v>625</v>
      </c>
      <c r="AC72" s="99" t="s">
        <v>625</v>
      </c>
      <c r="AD72" s="98" t="s">
        <v>355</v>
      </c>
      <c r="AE72" s="100">
        <v>0.20815660685154977</v>
      </c>
      <c r="AF72" s="100">
        <v>0.09</v>
      </c>
      <c r="AG72" s="98">
        <v>511.147362697118</v>
      </c>
      <c r="AH72" s="98">
        <v>217.5095160413268</v>
      </c>
      <c r="AI72" s="100">
        <v>0.024</v>
      </c>
      <c r="AJ72" s="100">
        <v>0.774094</v>
      </c>
      <c r="AK72" s="100">
        <v>0.787603</v>
      </c>
      <c r="AL72" s="100">
        <v>0.769062</v>
      </c>
      <c r="AM72" s="100">
        <v>0.571799</v>
      </c>
      <c r="AN72" s="100">
        <v>0.586751</v>
      </c>
      <c r="AO72" s="98">
        <v>2762.3708537248503</v>
      </c>
      <c r="AP72" s="158">
        <v>1.300346527</v>
      </c>
      <c r="AQ72" s="100">
        <v>0.12992125984251968</v>
      </c>
      <c r="AR72" s="100">
        <v>0.4852941176470588</v>
      </c>
      <c r="AS72" s="98">
        <v>587.2756933115824</v>
      </c>
      <c r="AT72" s="98">
        <v>435.0190320826536</v>
      </c>
      <c r="AU72" s="98">
        <v>87.00380641653072</v>
      </c>
      <c r="AV72" s="98">
        <v>706.9059271343122</v>
      </c>
      <c r="AW72" s="98">
        <v>565.5247417074497</v>
      </c>
      <c r="AX72" s="98">
        <v>489.3964110929853</v>
      </c>
      <c r="AY72" s="98">
        <v>1120.174007612833</v>
      </c>
      <c r="AZ72" s="98">
        <v>750.4078303425775</v>
      </c>
      <c r="BA72" s="100" t="s">
        <v>625</v>
      </c>
      <c r="BB72" s="100" t="s">
        <v>625</v>
      </c>
      <c r="BC72" s="100" t="s">
        <v>625</v>
      </c>
      <c r="BD72" s="158">
        <v>1.145333862</v>
      </c>
      <c r="BE72" s="158">
        <v>1.4704882810000002</v>
      </c>
      <c r="BF72" s="162">
        <v>1297</v>
      </c>
      <c r="BG72" s="162">
        <v>1210</v>
      </c>
      <c r="BH72" s="162">
        <v>2282</v>
      </c>
      <c r="BI72" s="162">
        <v>1156</v>
      </c>
      <c r="BJ72" s="162">
        <v>634</v>
      </c>
      <c r="BK72" s="97"/>
      <c r="BL72" s="97"/>
      <c r="BM72" s="97"/>
      <c r="BN72" s="97"/>
    </row>
    <row r="73" spans="1:66" ht="12.75">
      <c r="A73" s="79" t="s">
        <v>555</v>
      </c>
      <c r="B73" s="79" t="s">
        <v>294</v>
      </c>
      <c r="C73" s="79" t="s">
        <v>229</v>
      </c>
      <c r="D73" s="99">
        <v>7589</v>
      </c>
      <c r="E73" s="99">
        <v>1452</v>
      </c>
      <c r="F73" s="99" t="s">
        <v>379</v>
      </c>
      <c r="G73" s="99">
        <v>35</v>
      </c>
      <c r="H73" s="99">
        <v>20</v>
      </c>
      <c r="I73" s="99">
        <v>163</v>
      </c>
      <c r="J73" s="99">
        <v>690</v>
      </c>
      <c r="K73" s="99">
        <v>635</v>
      </c>
      <c r="L73" s="99">
        <v>1426</v>
      </c>
      <c r="M73" s="99">
        <v>518</v>
      </c>
      <c r="N73" s="99">
        <v>299</v>
      </c>
      <c r="O73" s="99">
        <v>176</v>
      </c>
      <c r="P73" s="159">
        <v>176</v>
      </c>
      <c r="Q73" s="99">
        <v>17</v>
      </c>
      <c r="R73" s="99">
        <v>40</v>
      </c>
      <c r="S73" s="99">
        <v>28</v>
      </c>
      <c r="T73" s="99">
        <v>24</v>
      </c>
      <c r="U73" s="99">
        <v>6</v>
      </c>
      <c r="V73" s="99">
        <v>24</v>
      </c>
      <c r="W73" s="99">
        <v>37</v>
      </c>
      <c r="X73" s="99">
        <v>31</v>
      </c>
      <c r="Y73" s="99">
        <v>89</v>
      </c>
      <c r="Z73" s="99">
        <v>53</v>
      </c>
      <c r="AA73" s="99" t="s">
        <v>625</v>
      </c>
      <c r="AB73" s="99" t="s">
        <v>625</v>
      </c>
      <c r="AC73" s="99" t="s">
        <v>625</v>
      </c>
      <c r="AD73" s="98" t="s">
        <v>355</v>
      </c>
      <c r="AE73" s="100">
        <v>0.19132955593622347</v>
      </c>
      <c r="AF73" s="100">
        <v>0.09</v>
      </c>
      <c r="AG73" s="98">
        <v>461.19383317960205</v>
      </c>
      <c r="AH73" s="98">
        <v>263.5393332454869</v>
      </c>
      <c r="AI73" s="100">
        <v>0.021</v>
      </c>
      <c r="AJ73" s="100">
        <v>0.76412</v>
      </c>
      <c r="AK73" s="100">
        <v>0.754157</v>
      </c>
      <c r="AL73" s="100">
        <v>0.753302</v>
      </c>
      <c r="AM73" s="100">
        <v>0.635583</v>
      </c>
      <c r="AN73" s="100">
        <v>0.629474</v>
      </c>
      <c r="AO73" s="98">
        <v>2319.1461325602845</v>
      </c>
      <c r="AP73" s="158">
        <v>1.15479332</v>
      </c>
      <c r="AQ73" s="100">
        <v>0.09659090909090909</v>
      </c>
      <c r="AR73" s="100">
        <v>0.425</v>
      </c>
      <c r="AS73" s="98">
        <v>368.95506654368165</v>
      </c>
      <c r="AT73" s="98">
        <v>316.24719989458424</v>
      </c>
      <c r="AU73" s="98">
        <v>79.06179997364606</v>
      </c>
      <c r="AV73" s="98">
        <v>316.24719989458424</v>
      </c>
      <c r="AW73" s="98">
        <v>487.54776650415073</v>
      </c>
      <c r="AX73" s="98">
        <v>408.4859665305047</v>
      </c>
      <c r="AY73" s="98">
        <v>1172.7500329424167</v>
      </c>
      <c r="AZ73" s="98">
        <v>698.3792331005402</v>
      </c>
      <c r="BA73" s="100" t="s">
        <v>625</v>
      </c>
      <c r="BB73" s="100" t="s">
        <v>625</v>
      </c>
      <c r="BC73" s="100" t="s">
        <v>625</v>
      </c>
      <c r="BD73" s="158">
        <v>0.9904836273</v>
      </c>
      <c r="BE73" s="158">
        <v>1.3385726930000001</v>
      </c>
      <c r="BF73" s="162">
        <v>903</v>
      </c>
      <c r="BG73" s="162">
        <v>842</v>
      </c>
      <c r="BH73" s="162">
        <v>1893</v>
      </c>
      <c r="BI73" s="162">
        <v>815</v>
      </c>
      <c r="BJ73" s="162">
        <v>475</v>
      </c>
      <c r="BK73" s="97"/>
      <c r="BL73" s="97"/>
      <c r="BM73" s="97"/>
      <c r="BN73" s="97"/>
    </row>
    <row r="74" spans="1:66" ht="12.75">
      <c r="A74" s="79" t="s">
        <v>589</v>
      </c>
      <c r="B74" s="79" t="s">
        <v>326</v>
      </c>
      <c r="C74" s="79" t="s">
        <v>229</v>
      </c>
      <c r="D74" s="99">
        <v>3008</v>
      </c>
      <c r="E74" s="99">
        <v>225</v>
      </c>
      <c r="F74" s="99" t="s">
        <v>376</v>
      </c>
      <c r="G74" s="99">
        <v>11</v>
      </c>
      <c r="H74" s="99" t="s">
        <v>625</v>
      </c>
      <c r="I74" s="99">
        <v>21</v>
      </c>
      <c r="J74" s="99">
        <v>139</v>
      </c>
      <c r="K74" s="99" t="s">
        <v>625</v>
      </c>
      <c r="L74" s="99">
        <v>473</v>
      </c>
      <c r="M74" s="99">
        <v>80</v>
      </c>
      <c r="N74" s="99">
        <v>33</v>
      </c>
      <c r="O74" s="99">
        <v>50</v>
      </c>
      <c r="P74" s="159">
        <v>50</v>
      </c>
      <c r="Q74" s="99" t="s">
        <v>625</v>
      </c>
      <c r="R74" s="99">
        <v>6</v>
      </c>
      <c r="S74" s="99">
        <v>12</v>
      </c>
      <c r="T74" s="99" t="s">
        <v>625</v>
      </c>
      <c r="U74" s="99" t="s">
        <v>625</v>
      </c>
      <c r="V74" s="99">
        <v>16</v>
      </c>
      <c r="W74" s="99" t="s">
        <v>625</v>
      </c>
      <c r="X74" s="99" t="s">
        <v>625</v>
      </c>
      <c r="Y74" s="99" t="s">
        <v>625</v>
      </c>
      <c r="Z74" s="99" t="s">
        <v>625</v>
      </c>
      <c r="AA74" s="99" t="s">
        <v>625</v>
      </c>
      <c r="AB74" s="99" t="s">
        <v>625</v>
      </c>
      <c r="AC74" s="99" t="s">
        <v>625</v>
      </c>
      <c r="AD74" s="98" t="s">
        <v>355</v>
      </c>
      <c r="AE74" s="100">
        <v>0.07480053191489362</v>
      </c>
      <c r="AF74" s="100">
        <v>0.26</v>
      </c>
      <c r="AG74" s="98">
        <v>365.6914893617021</v>
      </c>
      <c r="AH74" s="98" t="s">
        <v>625</v>
      </c>
      <c r="AI74" s="100">
        <v>0.006999999999999999</v>
      </c>
      <c r="AJ74" s="100">
        <v>0.584034</v>
      </c>
      <c r="AK74" s="100" t="s">
        <v>625</v>
      </c>
      <c r="AL74" s="100">
        <v>0.596469</v>
      </c>
      <c r="AM74" s="100">
        <v>0.379147</v>
      </c>
      <c r="AN74" s="100">
        <v>0.3</v>
      </c>
      <c r="AO74" s="98">
        <v>1662.2340425531916</v>
      </c>
      <c r="AP74" s="158">
        <v>1.230030441</v>
      </c>
      <c r="AQ74" s="100" t="s">
        <v>625</v>
      </c>
      <c r="AR74" s="100" t="s">
        <v>625</v>
      </c>
      <c r="AS74" s="98">
        <v>398.93617021276594</v>
      </c>
      <c r="AT74" s="98" t="s">
        <v>625</v>
      </c>
      <c r="AU74" s="98" t="s">
        <v>625</v>
      </c>
      <c r="AV74" s="98">
        <v>531.9148936170212</v>
      </c>
      <c r="AW74" s="98" t="s">
        <v>625</v>
      </c>
      <c r="AX74" s="98" t="s">
        <v>625</v>
      </c>
      <c r="AY74" s="98" t="s">
        <v>625</v>
      </c>
      <c r="AZ74" s="98" t="s">
        <v>625</v>
      </c>
      <c r="BA74" s="100" t="s">
        <v>625</v>
      </c>
      <c r="BB74" s="100" t="s">
        <v>625</v>
      </c>
      <c r="BC74" s="100" t="s">
        <v>625</v>
      </c>
      <c r="BD74" s="158">
        <v>0.9129523467999999</v>
      </c>
      <c r="BE74" s="158">
        <v>1.621641846</v>
      </c>
      <c r="BF74" s="162">
        <v>238</v>
      </c>
      <c r="BG74" s="162" t="s">
        <v>625</v>
      </c>
      <c r="BH74" s="162">
        <v>793</v>
      </c>
      <c r="BI74" s="162">
        <v>211</v>
      </c>
      <c r="BJ74" s="162">
        <v>110</v>
      </c>
      <c r="BK74" s="97"/>
      <c r="BL74" s="97"/>
      <c r="BM74" s="97"/>
      <c r="BN74" s="97"/>
    </row>
    <row r="75" spans="1:66" ht="12.75">
      <c r="A75" s="79" t="s">
        <v>610</v>
      </c>
      <c r="B75" s="79" t="s">
        <v>347</v>
      </c>
      <c r="C75" s="79" t="s">
        <v>229</v>
      </c>
      <c r="D75" s="99">
        <v>1494</v>
      </c>
      <c r="E75" s="99">
        <v>227</v>
      </c>
      <c r="F75" s="99" t="s">
        <v>376</v>
      </c>
      <c r="G75" s="99" t="s">
        <v>625</v>
      </c>
      <c r="H75" s="99" t="s">
        <v>625</v>
      </c>
      <c r="I75" s="99">
        <v>15</v>
      </c>
      <c r="J75" s="99">
        <v>58</v>
      </c>
      <c r="K75" s="99">
        <v>16</v>
      </c>
      <c r="L75" s="99">
        <v>231</v>
      </c>
      <c r="M75" s="99">
        <v>49</v>
      </c>
      <c r="N75" s="99">
        <v>23</v>
      </c>
      <c r="O75" s="99">
        <v>29</v>
      </c>
      <c r="P75" s="159">
        <v>29</v>
      </c>
      <c r="Q75" s="99">
        <v>8</v>
      </c>
      <c r="R75" s="99">
        <v>15</v>
      </c>
      <c r="S75" s="99">
        <v>10</v>
      </c>
      <c r="T75" s="99" t="s">
        <v>625</v>
      </c>
      <c r="U75" s="99" t="s">
        <v>625</v>
      </c>
      <c r="V75" s="99" t="s">
        <v>625</v>
      </c>
      <c r="W75" s="99" t="s">
        <v>625</v>
      </c>
      <c r="X75" s="99" t="s">
        <v>625</v>
      </c>
      <c r="Y75" s="99">
        <v>18</v>
      </c>
      <c r="Z75" s="99">
        <v>7</v>
      </c>
      <c r="AA75" s="99" t="s">
        <v>625</v>
      </c>
      <c r="AB75" s="99" t="s">
        <v>625</v>
      </c>
      <c r="AC75" s="99" t="s">
        <v>625</v>
      </c>
      <c r="AD75" s="98" t="s">
        <v>355</v>
      </c>
      <c r="AE75" s="100">
        <v>0.15194109772423026</v>
      </c>
      <c r="AF75" s="100">
        <v>0.31</v>
      </c>
      <c r="AG75" s="98" t="s">
        <v>625</v>
      </c>
      <c r="AH75" s="98" t="s">
        <v>625</v>
      </c>
      <c r="AI75" s="100">
        <v>0.01</v>
      </c>
      <c r="AJ75" s="100">
        <v>0.432836</v>
      </c>
      <c r="AK75" s="100">
        <v>0.421053</v>
      </c>
      <c r="AL75" s="100">
        <v>0.731013</v>
      </c>
      <c r="AM75" s="100">
        <v>0.388889</v>
      </c>
      <c r="AN75" s="100">
        <v>0.353846</v>
      </c>
      <c r="AO75" s="98">
        <v>1941.0977242302542</v>
      </c>
      <c r="AP75" s="158">
        <v>1.163898926</v>
      </c>
      <c r="AQ75" s="100">
        <v>0.27586206896551724</v>
      </c>
      <c r="AR75" s="100">
        <v>0.5333333333333333</v>
      </c>
      <c r="AS75" s="98">
        <v>669.3440428380187</v>
      </c>
      <c r="AT75" s="98" t="s">
        <v>625</v>
      </c>
      <c r="AU75" s="98" t="s">
        <v>625</v>
      </c>
      <c r="AV75" s="98" t="s">
        <v>625</v>
      </c>
      <c r="AW75" s="98" t="s">
        <v>625</v>
      </c>
      <c r="AX75" s="98" t="s">
        <v>625</v>
      </c>
      <c r="AY75" s="98">
        <v>1204.8192771084337</v>
      </c>
      <c r="AZ75" s="98">
        <v>468.5408299866131</v>
      </c>
      <c r="BA75" s="100" t="s">
        <v>625</v>
      </c>
      <c r="BB75" s="100" t="s">
        <v>625</v>
      </c>
      <c r="BC75" s="100" t="s">
        <v>625</v>
      </c>
      <c r="BD75" s="158">
        <v>0.7794813537999999</v>
      </c>
      <c r="BE75" s="158">
        <v>1.67155304</v>
      </c>
      <c r="BF75" s="162">
        <v>134</v>
      </c>
      <c r="BG75" s="162">
        <v>38</v>
      </c>
      <c r="BH75" s="162">
        <v>316</v>
      </c>
      <c r="BI75" s="162">
        <v>126</v>
      </c>
      <c r="BJ75" s="162">
        <v>65</v>
      </c>
      <c r="BK75" s="97"/>
      <c r="BL75" s="97"/>
      <c r="BM75" s="97"/>
      <c r="BN75" s="97"/>
    </row>
    <row r="76" spans="1:66" ht="12.75">
      <c r="A76" s="79" t="s">
        <v>572</v>
      </c>
      <c r="B76" s="79" t="s">
        <v>309</v>
      </c>
      <c r="C76" s="79" t="s">
        <v>229</v>
      </c>
      <c r="D76" s="99">
        <v>3540</v>
      </c>
      <c r="E76" s="99">
        <v>541</v>
      </c>
      <c r="F76" s="99" t="s">
        <v>376</v>
      </c>
      <c r="G76" s="99">
        <v>17</v>
      </c>
      <c r="H76" s="99">
        <v>12</v>
      </c>
      <c r="I76" s="99">
        <v>48</v>
      </c>
      <c r="J76" s="99">
        <v>209</v>
      </c>
      <c r="K76" s="99">
        <v>19</v>
      </c>
      <c r="L76" s="99">
        <v>653</v>
      </c>
      <c r="M76" s="99">
        <v>141</v>
      </c>
      <c r="N76" s="99">
        <v>79</v>
      </c>
      <c r="O76" s="99">
        <v>67</v>
      </c>
      <c r="P76" s="159">
        <v>67</v>
      </c>
      <c r="Q76" s="99" t="s">
        <v>625</v>
      </c>
      <c r="R76" s="99">
        <v>17</v>
      </c>
      <c r="S76" s="99">
        <v>12</v>
      </c>
      <c r="T76" s="99">
        <v>7</v>
      </c>
      <c r="U76" s="99" t="s">
        <v>625</v>
      </c>
      <c r="V76" s="99">
        <v>15</v>
      </c>
      <c r="W76" s="99">
        <v>15</v>
      </c>
      <c r="X76" s="99">
        <v>13</v>
      </c>
      <c r="Y76" s="99">
        <v>35</v>
      </c>
      <c r="Z76" s="99">
        <v>29</v>
      </c>
      <c r="AA76" s="99" t="s">
        <v>625</v>
      </c>
      <c r="AB76" s="99" t="s">
        <v>625</v>
      </c>
      <c r="AC76" s="99" t="s">
        <v>625</v>
      </c>
      <c r="AD76" s="98" t="s">
        <v>355</v>
      </c>
      <c r="AE76" s="100">
        <v>0.15282485875706214</v>
      </c>
      <c r="AF76" s="100">
        <v>0.25</v>
      </c>
      <c r="AG76" s="98">
        <v>480.225988700565</v>
      </c>
      <c r="AH76" s="98">
        <v>338.9830508474576</v>
      </c>
      <c r="AI76" s="100">
        <v>0.013999999999999999</v>
      </c>
      <c r="AJ76" s="100">
        <v>0.639144</v>
      </c>
      <c r="AK76" s="100">
        <v>0.678571</v>
      </c>
      <c r="AL76" s="100">
        <v>0.736189</v>
      </c>
      <c r="AM76" s="100">
        <v>0.454839</v>
      </c>
      <c r="AN76" s="100">
        <v>0.473054</v>
      </c>
      <c r="AO76" s="98">
        <v>1892.6553672316384</v>
      </c>
      <c r="AP76" s="158">
        <v>1.103000488</v>
      </c>
      <c r="AQ76" s="100" t="s">
        <v>625</v>
      </c>
      <c r="AR76" s="100" t="s">
        <v>625</v>
      </c>
      <c r="AS76" s="98">
        <v>338.9830508474576</v>
      </c>
      <c r="AT76" s="98">
        <v>197.74011299435028</v>
      </c>
      <c r="AU76" s="98" t="s">
        <v>625</v>
      </c>
      <c r="AV76" s="98">
        <v>423.728813559322</v>
      </c>
      <c r="AW76" s="98">
        <v>423.728813559322</v>
      </c>
      <c r="AX76" s="98">
        <v>367.2316384180791</v>
      </c>
      <c r="AY76" s="98">
        <v>988.7005649717514</v>
      </c>
      <c r="AZ76" s="98">
        <v>819.2090395480226</v>
      </c>
      <c r="BA76" s="100" t="s">
        <v>625</v>
      </c>
      <c r="BB76" s="100" t="s">
        <v>625</v>
      </c>
      <c r="BC76" s="100" t="s">
        <v>625</v>
      </c>
      <c r="BD76" s="158">
        <v>0.854810257</v>
      </c>
      <c r="BE76" s="158">
        <v>1.400771637</v>
      </c>
      <c r="BF76" s="162">
        <v>327</v>
      </c>
      <c r="BG76" s="162">
        <v>28</v>
      </c>
      <c r="BH76" s="162">
        <v>887</v>
      </c>
      <c r="BI76" s="162">
        <v>310</v>
      </c>
      <c r="BJ76" s="162">
        <v>167</v>
      </c>
      <c r="BK76" s="97"/>
      <c r="BL76" s="97"/>
      <c r="BM76" s="97"/>
      <c r="BN76" s="97"/>
    </row>
    <row r="77" spans="1:66" ht="12.75">
      <c r="A77" s="79" t="s">
        <v>561</v>
      </c>
      <c r="B77" s="79" t="s">
        <v>299</v>
      </c>
      <c r="C77" s="79" t="s">
        <v>229</v>
      </c>
      <c r="D77" s="99">
        <v>6375</v>
      </c>
      <c r="E77" s="99">
        <v>1287</v>
      </c>
      <c r="F77" s="99" t="s">
        <v>376</v>
      </c>
      <c r="G77" s="99">
        <v>37</v>
      </c>
      <c r="H77" s="99">
        <v>30</v>
      </c>
      <c r="I77" s="99">
        <v>106</v>
      </c>
      <c r="J77" s="99">
        <v>528</v>
      </c>
      <c r="K77" s="99">
        <v>515</v>
      </c>
      <c r="L77" s="99">
        <v>991</v>
      </c>
      <c r="M77" s="99">
        <v>358</v>
      </c>
      <c r="N77" s="99">
        <v>192</v>
      </c>
      <c r="O77" s="99">
        <v>107</v>
      </c>
      <c r="P77" s="159">
        <v>107</v>
      </c>
      <c r="Q77" s="99">
        <v>16</v>
      </c>
      <c r="R77" s="99">
        <v>39</v>
      </c>
      <c r="S77" s="99">
        <v>20</v>
      </c>
      <c r="T77" s="99">
        <v>15</v>
      </c>
      <c r="U77" s="99" t="s">
        <v>625</v>
      </c>
      <c r="V77" s="99">
        <v>10</v>
      </c>
      <c r="W77" s="99">
        <v>27</v>
      </c>
      <c r="X77" s="99">
        <v>23</v>
      </c>
      <c r="Y77" s="99">
        <v>82</v>
      </c>
      <c r="Z77" s="99">
        <v>46</v>
      </c>
      <c r="AA77" s="99" t="s">
        <v>625</v>
      </c>
      <c r="AB77" s="99" t="s">
        <v>625</v>
      </c>
      <c r="AC77" s="99" t="s">
        <v>625</v>
      </c>
      <c r="AD77" s="98" t="s">
        <v>355</v>
      </c>
      <c r="AE77" s="100">
        <v>0.20188235294117646</v>
      </c>
      <c r="AF77" s="100">
        <v>0.34</v>
      </c>
      <c r="AG77" s="98">
        <v>580.3921568627451</v>
      </c>
      <c r="AH77" s="98">
        <v>470.5882352941176</v>
      </c>
      <c r="AI77" s="100">
        <v>0.017</v>
      </c>
      <c r="AJ77" s="100">
        <v>0.699338</v>
      </c>
      <c r="AK77" s="100">
        <v>0.707418</v>
      </c>
      <c r="AL77" s="100">
        <v>0.711414</v>
      </c>
      <c r="AM77" s="100">
        <v>0.515108</v>
      </c>
      <c r="AN77" s="100">
        <v>0.527473</v>
      </c>
      <c r="AO77" s="98">
        <v>1678.4313725490197</v>
      </c>
      <c r="AP77" s="158">
        <v>0.8484281921</v>
      </c>
      <c r="AQ77" s="100">
        <v>0.14953271028037382</v>
      </c>
      <c r="AR77" s="100">
        <v>0.41025641025641024</v>
      </c>
      <c r="AS77" s="98">
        <v>313.72549019607845</v>
      </c>
      <c r="AT77" s="98">
        <v>235.2941176470588</v>
      </c>
      <c r="AU77" s="98" t="s">
        <v>625</v>
      </c>
      <c r="AV77" s="98">
        <v>156.86274509803923</v>
      </c>
      <c r="AW77" s="98">
        <v>423.52941176470586</v>
      </c>
      <c r="AX77" s="98">
        <v>360.7843137254902</v>
      </c>
      <c r="AY77" s="98">
        <v>1286.2745098039215</v>
      </c>
      <c r="AZ77" s="98">
        <v>721.5686274509804</v>
      </c>
      <c r="BA77" s="100" t="s">
        <v>625</v>
      </c>
      <c r="BB77" s="100" t="s">
        <v>625</v>
      </c>
      <c r="BC77" s="100" t="s">
        <v>625</v>
      </c>
      <c r="BD77" s="158">
        <v>0.6953073120000001</v>
      </c>
      <c r="BE77" s="158">
        <v>1.025238571</v>
      </c>
      <c r="BF77" s="162">
        <v>755</v>
      </c>
      <c r="BG77" s="162">
        <v>728</v>
      </c>
      <c r="BH77" s="162">
        <v>1393</v>
      </c>
      <c r="BI77" s="162">
        <v>695</v>
      </c>
      <c r="BJ77" s="162">
        <v>364</v>
      </c>
      <c r="BK77" s="97"/>
      <c r="BL77" s="97"/>
      <c r="BM77" s="97"/>
      <c r="BN77" s="97"/>
    </row>
    <row r="78" spans="1:66" ht="12.75">
      <c r="A78" s="79" t="s">
        <v>558</v>
      </c>
      <c r="B78" s="79" t="s">
        <v>297</v>
      </c>
      <c r="C78" s="79" t="s">
        <v>229</v>
      </c>
      <c r="D78" s="99">
        <v>11793</v>
      </c>
      <c r="E78" s="99">
        <v>1514</v>
      </c>
      <c r="F78" s="99" t="s">
        <v>376</v>
      </c>
      <c r="G78" s="99">
        <v>46</v>
      </c>
      <c r="H78" s="99">
        <v>27</v>
      </c>
      <c r="I78" s="99">
        <v>162</v>
      </c>
      <c r="J78" s="99">
        <v>680</v>
      </c>
      <c r="K78" s="99">
        <v>644</v>
      </c>
      <c r="L78" s="99">
        <v>1843</v>
      </c>
      <c r="M78" s="99">
        <v>334</v>
      </c>
      <c r="N78" s="99">
        <v>186</v>
      </c>
      <c r="O78" s="99">
        <v>159</v>
      </c>
      <c r="P78" s="159">
        <v>159</v>
      </c>
      <c r="Q78" s="99">
        <v>22</v>
      </c>
      <c r="R78" s="99">
        <v>51</v>
      </c>
      <c r="S78" s="99">
        <v>39</v>
      </c>
      <c r="T78" s="99">
        <v>33</v>
      </c>
      <c r="U78" s="99" t="s">
        <v>625</v>
      </c>
      <c r="V78" s="99">
        <v>24</v>
      </c>
      <c r="W78" s="99">
        <v>57</v>
      </c>
      <c r="X78" s="99">
        <v>33</v>
      </c>
      <c r="Y78" s="99">
        <v>129</v>
      </c>
      <c r="Z78" s="99">
        <v>65</v>
      </c>
      <c r="AA78" s="99" t="s">
        <v>625</v>
      </c>
      <c r="AB78" s="99" t="s">
        <v>625</v>
      </c>
      <c r="AC78" s="99" t="s">
        <v>625</v>
      </c>
      <c r="AD78" s="98" t="s">
        <v>355</v>
      </c>
      <c r="AE78" s="100">
        <v>0.12838124311031968</v>
      </c>
      <c r="AF78" s="100">
        <v>0.34</v>
      </c>
      <c r="AG78" s="98">
        <v>390.0619011277877</v>
      </c>
      <c r="AH78" s="98">
        <v>228.94937674891884</v>
      </c>
      <c r="AI78" s="100">
        <v>0.013999999999999999</v>
      </c>
      <c r="AJ78" s="100">
        <v>0.678643</v>
      </c>
      <c r="AK78" s="100">
        <v>0.680042</v>
      </c>
      <c r="AL78" s="100">
        <v>0.678571</v>
      </c>
      <c r="AM78" s="100">
        <v>0.40534</v>
      </c>
      <c r="AN78" s="100">
        <v>0.414254</v>
      </c>
      <c r="AO78" s="98">
        <v>1348.2574408547443</v>
      </c>
      <c r="AP78" s="158">
        <v>0.8674100494</v>
      </c>
      <c r="AQ78" s="100">
        <v>0.13836477987421383</v>
      </c>
      <c r="AR78" s="100">
        <v>0.43137254901960786</v>
      </c>
      <c r="AS78" s="98">
        <v>330.7046553039939</v>
      </c>
      <c r="AT78" s="98">
        <v>279.82701602645636</v>
      </c>
      <c r="AU78" s="98" t="s">
        <v>625</v>
      </c>
      <c r="AV78" s="98">
        <v>203.5105571101501</v>
      </c>
      <c r="AW78" s="98">
        <v>483.33757313660647</v>
      </c>
      <c r="AX78" s="98">
        <v>279.82701602645636</v>
      </c>
      <c r="AY78" s="98">
        <v>1093.8692444670567</v>
      </c>
      <c r="AZ78" s="98">
        <v>551.1744255066565</v>
      </c>
      <c r="BA78" s="100" t="s">
        <v>625</v>
      </c>
      <c r="BB78" s="100" t="s">
        <v>625</v>
      </c>
      <c r="BC78" s="100" t="s">
        <v>625</v>
      </c>
      <c r="BD78" s="158">
        <v>0.7378230286</v>
      </c>
      <c r="BE78" s="158">
        <v>1.0132055660000001</v>
      </c>
      <c r="BF78" s="162">
        <v>1002</v>
      </c>
      <c r="BG78" s="162">
        <v>947</v>
      </c>
      <c r="BH78" s="162">
        <v>2716</v>
      </c>
      <c r="BI78" s="162">
        <v>824</v>
      </c>
      <c r="BJ78" s="162">
        <v>449</v>
      </c>
      <c r="BK78" s="97"/>
      <c r="BL78" s="97"/>
      <c r="BM78" s="97"/>
      <c r="BN78" s="97"/>
    </row>
    <row r="79" spans="1:66" ht="12.75">
      <c r="A79" s="79" t="s">
        <v>569</v>
      </c>
      <c r="B79" s="79" t="s">
        <v>306</v>
      </c>
      <c r="C79" s="79" t="s">
        <v>229</v>
      </c>
      <c r="D79" s="99">
        <v>1543</v>
      </c>
      <c r="E79" s="99">
        <v>289</v>
      </c>
      <c r="F79" s="99" t="s">
        <v>376</v>
      </c>
      <c r="G79" s="99">
        <v>9</v>
      </c>
      <c r="H79" s="99" t="s">
        <v>625</v>
      </c>
      <c r="I79" s="99">
        <v>28</v>
      </c>
      <c r="J79" s="99">
        <v>52</v>
      </c>
      <c r="K79" s="99" t="s">
        <v>625</v>
      </c>
      <c r="L79" s="99">
        <v>171</v>
      </c>
      <c r="M79" s="99">
        <v>43</v>
      </c>
      <c r="N79" s="99">
        <v>24</v>
      </c>
      <c r="O79" s="99">
        <v>8</v>
      </c>
      <c r="P79" s="159">
        <v>8</v>
      </c>
      <c r="Q79" s="99" t="s">
        <v>625</v>
      </c>
      <c r="R79" s="99">
        <v>7</v>
      </c>
      <c r="S79" s="99" t="s">
        <v>625</v>
      </c>
      <c r="T79" s="99" t="s">
        <v>625</v>
      </c>
      <c r="U79" s="99" t="s">
        <v>625</v>
      </c>
      <c r="V79" s="99" t="s">
        <v>625</v>
      </c>
      <c r="W79" s="99">
        <v>6</v>
      </c>
      <c r="X79" s="99" t="s">
        <v>625</v>
      </c>
      <c r="Y79" s="99">
        <v>11</v>
      </c>
      <c r="Z79" s="99" t="s">
        <v>625</v>
      </c>
      <c r="AA79" s="99" t="s">
        <v>625</v>
      </c>
      <c r="AB79" s="99" t="s">
        <v>625</v>
      </c>
      <c r="AC79" s="99" t="s">
        <v>625</v>
      </c>
      <c r="AD79" s="98" t="s">
        <v>355</v>
      </c>
      <c r="AE79" s="100">
        <v>0.18729747245625405</v>
      </c>
      <c r="AF79" s="100">
        <v>0.31</v>
      </c>
      <c r="AG79" s="98">
        <v>583.2793259883344</v>
      </c>
      <c r="AH79" s="98" t="s">
        <v>625</v>
      </c>
      <c r="AI79" s="100">
        <v>0.018000000000000002</v>
      </c>
      <c r="AJ79" s="100">
        <v>0.45614</v>
      </c>
      <c r="AK79" s="100" t="s">
        <v>625</v>
      </c>
      <c r="AL79" s="100">
        <v>0.573826</v>
      </c>
      <c r="AM79" s="100">
        <v>0.380531</v>
      </c>
      <c r="AN79" s="100">
        <v>0.375</v>
      </c>
      <c r="AO79" s="98">
        <v>518.4705119896306</v>
      </c>
      <c r="AP79" s="158">
        <v>0.2844813347</v>
      </c>
      <c r="AQ79" s="100" t="s">
        <v>625</v>
      </c>
      <c r="AR79" s="100" t="s">
        <v>625</v>
      </c>
      <c r="AS79" s="98" t="s">
        <v>625</v>
      </c>
      <c r="AT79" s="98" t="s">
        <v>625</v>
      </c>
      <c r="AU79" s="98" t="s">
        <v>625</v>
      </c>
      <c r="AV79" s="98" t="s">
        <v>625</v>
      </c>
      <c r="AW79" s="98">
        <v>388.8528839922229</v>
      </c>
      <c r="AX79" s="98" t="s">
        <v>625</v>
      </c>
      <c r="AY79" s="98">
        <v>712.896953985742</v>
      </c>
      <c r="AZ79" s="98" t="s">
        <v>625</v>
      </c>
      <c r="BA79" s="100" t="s">
        <v>625</v>
      </c>
      <c r="BB79" s="100" t="s">
        <v>625</v>
      </c>
      <c r="BC79" s="100" t="s">
        <v>625</v>
      </c>
      <c r="BD79" s="158">
        <v>0.1228188515</v>
      </c>
      <c r="BE79" s="158">
        <v>0.5605416489</v>
      </c>
      <c r="BF79" s="162">
        <v>114</v>
      </c>
      <c r="BG79" s="162" t="s">
        <v>625</v>
      </c>
      <c r="BH79" s="162">
        <v>298</v>
      </c>
      <c r="BI79" s="162">
        <v>113</v>
      </c>
      <c r="BJ79" s="162">
        <v>64</v>
      </c>
      <c r="BK79" s="97"/>
      <c r="BL79" s="97"/>
      <c r="BM79" s="97"/>
      <c r="BN79" s="97"/>
    </row>
    <row r="80" spans="1:66" ht="12.75">
      <c r="A80" s="79" t="s">
        <v>230</v>
      </c>
      <c r="B80" s="94" t="s">
        <v>229</v>
      </c>
      <c r="C80" s="94" t="s">
        <v>7</v>
      </c>
      <c r="D80" s="99">
        <v>445126</v>
      </c>
      <c r="E80" s="99">
        <v>66177</v>
      </c>
      <c r="F80" s="99">
        <v>111465.30999999994</v>
      </c>
      <c r="G80" s="99">
        <v>1691</v>
      </c>
      <c r="H80" s="99">
        <v>1005</v>
      </c>
      <c r="I80" s="99">
        <v>6228</v>
      </c>
      <c r="J80" s="99">
        <v>30143</v>
      </c>
      <c r="K80" s="99">
        <v>13948</v>
      </c>
      <c r="L80" s="99">
        <v>74000</v>
      </c>
      <c r="M80" s="99">
        <v>19448</v>
      </c>
      <c r="N80" s="99">
        <v>10746</v>
      </c>
      <c r="O80" s="99">
        <v>7192</v>
      </c>
      <c r="P80" s="99">
        <v>7192</v>
      </c>
      <c r="Q80" s="99">
        <v>784</v>
      </c>
      <c r="R80" s="99">
        <v>1962</v>
      </c>
      <c r="S80" s="99">
        <v>1655</v>
      </c>
      <c r="T80" s="99">
        <v>1065</v>
      </c>
      <c r="U80" s="99">
        <v>168</v>
      </c>
      <c r="V80" s="99">
        <v>1191</v>
      </c>
      <c r="W80" s="99">
        <v>1761</v>
      </c>
      <c r="X80" s="99">
        <v>1477</v>
      </c>
      <c r="Y80" s="99">
        <v>4216</v>
      </c>
      <c r="Z80" s="99">
        <v>2473</v>
      </c>
      <c r="AA80" s="99">
        <v>0</v>
      </c>
      <c r="AB80" s="99">
        <v>0</v>
      </c>
      <c r="AC80" s="99">
        <v>0</v>
      </c>
      <c r="AD80" s="98">
        <v>0</v>
      </c>
      <c r="AE80" s="101">
        <v>0.1486702641499261</v>
      </c>
      <c r="AF80" s="101">
        <v>0.25041293925764824</v>
      </c>
      <c r="AG80" s="98">
        <v>379.89243495100266</v>
      </c>
      <c r="AH80" s="98">
        <v>225.778768258875</v>
      </c>
      <c r="AI80" s="101">
        <v>0.013991543967326105</v>
      </c>
      <c r="AJ80" s="101">
        <v>0.6725645945825338</v>
      </c>
      <c r="AK80" s="101">
        <v>0.6975395079015804</v>
      </c>
      <c r="AL80" s="101">
        <v>0.7059923485694114</v>
      </c>
      <c r="AM80" s="101">
        <v>0.4962110580971092</v>
      </c>
      <c r="AN80" s="101">
        <v>0.5041520056298382</v>
      </c>
      <c r="AO80" s="98">
        <v>1615.7222898684868</v>
      </c>
      <c r="AP80" s="98">
        <v>0</v>
      </c>
      <c r="AQ80" s="101">
        <v>0.10901001112347053</v>
      </c>
      <c r="AR80" s="101">
        <v>0.399592252803262</v>
      </c>
      <c r="AS80" s="98">
        <v>371.804837282028</v>
      </c>
      <c r="AT80" s="98">
        <v>239.25809770716606</v>
      </c>
      <c r="AU80" s="98">
        <v>37.742122455214925</v>
      </c>
      <c r="AV80" s="98">
        <v>267.56468954857723</v>
      </c>
      <c r="AW80" s="98">
        <v>395.6183193073422</v>
      </c>
      <c r="AX80" s="98">
        <v>331.8161599187646</v>
      </c>
      <c r="AY80" s="98">
        <v>947.1475492332509</v>
      </c>
      <c r="AZ80" s="98">
        <v>555.5730287603959</v>
      </c>
      <c r="BA80" s="101">
        <v>0</v>
      </c>
      <c r="BB80" s="101">
        <v>0</v>
      </c>
      <c r="BC80" s="101">
        <v>0</v>
      </c>
      <c r="BD80" s="98">
        <v>0</v>
      </c>
      <c r="BE80" s="98">
        <v>0</v>
      </c>
      <c r="BF80" s="99">
        <v>44818</v>
      </c>
      <c r="BG80" s="99">
        <v>19996</v>
      </c>
      <c r="BH80" s="99">
        <v>104817</v>
      </c>
      <c r="BI80" s="99">
        <v>39193</v>
      </c>
      <c r="BJ80" s="99">
        <v>21315</v>
      </c>
      <c r="BK80" s="97"/>
      <c r="BL80" s="97"/>
      <c r="BM80" s="97"/>
      <c r="BN80" s="97"/>
    </row>
    <row r="81" spans="1:66" ht="12.75">
      <c r="A81" s="79" t="s">
        <v>24</v>
      </c>
      <c r="B81" s="94" t="s">
        <v>7</v>
      </c>
      <c r="C81" s="94" t="s">
        <v>7</v>
      </c>
      <c r="D81" s="99">
        <v>54615830</v>
      </c>
      <c r="E81" s="99">
        <v>8737890</v>
      </c>
      <c r="F81" s="99">
        <v>8198344.169999988</v>
      </c>
      <c r="G81" s="99">
        <v>243379</v>
      </c>
      <c r="H81" s="99">
        <v>127868</v>
      </c>
      <c r="I81" s="99">
        <v>870616</v>
      </c>
      <c r="J81" s="99">
        <v>4592627</v>
      </c>
      <c r="K81" s="99">
        <v>1679592</v>
      </c>
      <c r="L81" s="99">
        <v>10150944</v>
      </c>
      <c r="M81" s="99">
        <v>2959539</v>
      </c>
      <c r="N81" s="99">
        <v>1629320</v>
      </c>
      <c r="O81" s="99">
        <v>989730</v>
      </c>
      <c r="P81" s="99">
        <v>989730</v>
      </c>
      <c r="Q81" s="99">
        <v>108072</v>
      </c>
      <c r="R81" s="99">
        <v>238330</v>
      </c>
      <c r="S81" s="99">
        <v>206300</v>
      </c>
      <c r="T81" s="99">
        <v>154264</v>
      </c>
      <c r="U81" s="99">
        <v>38486</v>
      </c>
      <c r="V81" s="99">
        <v>176535</v>
      </c>
      <c r="W81" s="99">
        <v>307276</v>
      </c>
      <c r="X81" s="99">
        <v>221506</v>
      </c>
      <c r="Y81" s="99">
        <v>578574</v>
      </c>
      <c r="Z81" s="99">
        <v>318377</v>
      </c>
      <c r="AA81" s="99">
        <v>0</v>
      </c>
      <c r="AB81" s="99">
        <v>0</v>
      </c>
      <c r="AC81" s="99">
        <v>0</v>
      </c>
      <c r="AD81" s="98">
        <v>0</v>
      </c>
      <c r="AE81" s="101">
        <v>0.1599882305185145</v>
      </c>
      <c r="AF81" s="101">
        <v>0.15010930292554353</v>
      </c>
      <c r="AG81" s="98">
        <v>445.6198871279627</v>
      </c>
      <c r="AH81" s="98">
        <v>234.12259778895606</v>
      </c>
      <c r="AI81" s="101">
        <v>0.015940726342527432</v>
      </c>
      <c r="AJ81" s="101">
        <v>0.7248631360507991</v>
      </c>
      <c r="AK81" s="101">
        <v>0.7467412166569077</v>
      </c>
      <c r="AL81" s="101">
        <v>0.7559681673907895</v>
      </c>
      <c r="AM81" s="101">
        <v>0.5147293797466616</v>
      </c>
      <c r="AN81" s="101">
        <v>0.5752927626212945</v>
      </c>
      <c r="AO81" s="98">
        <v>1812.1669120472948</v>
      </c>
      <c r="AP81" s="98">
        <v>1</v>
      </c>
      <c r="AQ81" s="101">
        <v>0.10919341638628717</v>
      </c>
      <c r="AR81" s="101">
        <v>0.4534552930810221</v>
      </c>
      <c r="AS81" s="98">
        <v>377.7293140102421</v>
      </c>
      <c r="AT81" s="98">
        <v>282.45290788403287</v>
      </c>
      <c r="AU81" s="98">
        <v>70.46674929228394</v>
      </c>
      <c r="AV81" s="98">
        <v>323.23046266988894</v>
      </c>
      <c r="AW81" s="98">
        <v>562.6134400960308</v>
      </c>
      <c r="AX81" s="98">
        <v>405.57105879375996</v>
      </c>
      <c r="AY81" s="98">
        <v>1059.3522061277838</v>
      </c>
      <c r="AZ81" s="98">
        <v>582.9390489900089</v>
      </c>
      <c r="BA81" s="101">
        <v>0</v>
      </c>
      <c r="BB81" s="101">
        <v>0</v>
      </c>
      <c r="BC81" s="101">
        <v>0</v>
      </c>
      <c r="BD81" s="98">
        <v>0</v>
      </c>
      <c r="BE81" s="98">
        <v>0</v>
      </c>
      <c r="BF81" s="99">
        <v>6335854</v>
      </c>
      <c r="BG81" s="99">
        <v>2249229</v>
      </c>
      <c r="BH81" s="99">
        <v>13427740</v>
      </c>
      <c r="BI81" s="99">
        <v>5749699</v>
      </c>
      <c r="BJ81" s="99">
        <v>2832158</v>
      </c>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1"/>
      <c r="BB84" s="301"/>
      <c r="BC84" s="301"/>
      <c r="BD84" s="296"/>
      <c r="BE84" s="296"/>
      <c r="BF84" s="297"/>
      <c r="BG84" s="297"/>
      <c r="BH84" s="297"/>
      <c r="BI84" s="297"/>
      <c r="BJ84" s="297"/>
      <c r="BK84" s="97"/>
      <c r="BL84" s="97"/>
      <c r="BM84" s="97"/>
      <c r="BN84" s="97"/>
    </row>
    <row r="85" spans="1:66" ht="12.75">
      <c r="A85" s="8"/>
      <c r="B85" s="8"/>
      <c r="C85" s="8"/>
      <c r="D85" s="299"/>
      <c r="E85" s="299"/>
      <c r="F85" s="299"/>
      <c r="G85" s="299"/>
      <c r="H85" s="299"/>
      <c r="I85" s="299"/>
      <c r="J85" s="299"/>
      <c r="K85" s="299"/>
      <c r="L85" s="299"/>
      <c r="M85" s="299"/>
      <c r="N85" s="299"/>
      <c r="O85" s="299"/>
      <c r="P85" s="300"/>
      <c r="Q85" s="299"/>
      <c r="R85" s="299"/>
      <c r="S85" s="299"/>
      <c r="T85" s="299"/>
      <c r="U85" s="299"/>
      <c r="V85" s="299"/>
      <c r="W85" s="299"/>
      <c r="X85" s="299"/>
      <c r="Y85" s="299"/>
      <c r="Z85" s="299"/>
      <c r="AA85" s="299"/>
      <c r="AB85" s="299"/>
      <c r="AC85" s="299"/>
      <c r="AD85" s="295"/>
      <c r="AE85" s="301"/>
      <c r="AF85" s="301"/>
      <c r="AG85" s="295"/>
      <c r="AH85" s="295"/>
      <c r="AI85" s="301"/>
      <c r="AJ85" s="301"/>
      <c r="AK85" s="301"/>
      <c r="AL85" s="301"/>
      <c r="AM85" s="301"/>
      <c r="AN85" s="301"/>
      <c r="AO85" s="295"/>
      <c r="AP85" s="296"/>
      <c r="AQ85" s="301"/>
      <c r="AR85" s="301"/>
      <c r="AS85" s="295"/>
      <c r="AT85" s="295"/>
      <c r="AU85" s="295"/>
      <c r="AV85" s="295"/>
      <c r="AW85" s="295"/>
      <c r="AX85" s="295"/>
      <c r="AY85" s="295"/>
      <c r="AZ85" s="295"/>
      <c r="BA85" s="301"/>
      <c r="BB85" s="301"/>
      <c r="BC85" s="301"/>
      <c r="BD85" s="296"/>
      <c r="BE85" s="296"/>
      <c r="BF85" s="297"/>
      <c r="BG85" s="297"/>
      <c r="BH85" s="297"/>
      <c r="BI85" s="297"/>
      <c r="BJ85" s="297"/>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298"/>
      <c r="C88" s="298"/>
      <c r="D88" s="299"/>
      <c r="E88" s="299"/>
      <c r="F88" s="299"/>
      <c r="G88" s="299"/>
      <c r="H88" s="299"/>
      <c r="I88" s="299"/>
      <c r="J88" s="299"/>
      <c r="K88" s="299"/>
      <c r="L88" s="299"/>
      <c r="M88" s="299"/>
      <c r="N88" s="299"/>
      <c r="O88" s="299"/>
      <c r="P88" s="299"/>
      <c r="Q88" s="299"/>
      <c r="R88" s="299"/>
      <c r="S88" s="299"/>
      <c r="T88" s="299"/>
      <c r="U88" s="299"/>
      <c r="V88" s="299"/>
      <c r="W88" s="299"/>
      <c r="X88" s="299"/>
      <c r="Y88" s="299"/>
      <c r="Z88" s="299"/>
      <c r="AA88" s="299"/>
      <c r="AB88" s="299"/>
      <c r="AC88" s="299"/>
      <c r="AD88" s="295"/>
      <c r="AE88" s="302"/>
      <c r="AF88" s="302"/>
      <c r="AG88" s="295"/>
      <c r="AH88" s="295"/>
      <c r="AI88" s="302"/>
      <c r="AJ88" s="302"/>
      <c r="AK88" s="302"/>
      <c r="AL88" s="302"/>
      <c r="AM88" s="302"/>
      <c r="AN88" s="302"/>
      <c r="AO88" s="295"/>
      <c r="AP88" s="295"/>
      <c r="AQ88" s="302"/>
      <c r="AR88" s="302"/>
      <c r="AS88" s="295"/>
      <c r="AT88" s="295"/>
      <c r="AU88" s="295"/>
      <c r="AV88" s="295"/>
      <c r="AW88" s="295"/>
      <c r="AX88" s="295"/>
      <c r="AY88" s="295"/>
      <c r="AZ88" s="295"/>
      <c r="BA88" s="302"/>
      <c r="BB88" s="302"/>
      <c r="BC88" s="302"/>
      <c r="BD88" s="295"/>
      <c r="BE88" s="295"/>
      <c r="BF88" s="299"/>
      <c r="BG88" s="299"/>
      <c r="BH88" s="299"/>
      <c r="BI88" s="299"/>
      <c r="BJ88" s="299"/>
      <c r="BK88" s="97"/>
      <c r="BL88" s="97"/>
      <c r="BM88" s="97"/>
      <c r="BN88" s="97"/>
    </row>
    <row r="89" spans="1:66" ht="12.75">
      <c r="A89" s="8"/>
      <c r="B89" s="298"/>
      <c r="C89" s="298"/>
      <c r="D89" s="299"/>
      <c r="E89" s="299"/>
      <c r="F89" s="299"/>
      <c r="G89" s="299"/>
      <c r="H89" s="299"/>
      <c r="I89" s="299"/>
      <c r="J89" s="299"/>
      <c r="K89" s="299"/>
      <c r="L89" s="299"/>
      <c r="M89" s="299"/>
      <c r="N89" s="299"/>
      <c r="O89" s="299"/>
      <c r="P89" s="299"/>
      <c r="Q89" s="299"/>
      <c r="R89" s="299"/>
      <c r="S89" s="299"/>
      <c r="T89" s="299"/>
      <c r="U89" s="299"/>
      <c r="V89" s="299"/>
      <c r="W89" s="299"/>
      <c r="X89" s="299"/>
      <c r="Y89" s="299"/>
      <c r="Z89" s="299"/>
      <c r="AA89" s="299"/>
      <c r="AB89" s="299"/>
      <c r="AC89" s="299"/>
      <c r="AD89" s="295"/>
      <c r="AE89" s="302"/>
      <c r="AF89" s="302"/>
      <c r="AG89" s="295"/>
      <c r="AH89" s="295"/>
      <c r="AI89" s="302"/>
      <c r="AJ89" s="302"/>
      <c r="AK89" s="302"/>
      <c r="AL89" s="302"/>
      <c r="AM89" s="302"/>
      <c r="AN89" s="302"/>
      <c r="AO89" s="295"/>
      <c r="AP89" s="295"/>
      <c r="AQ89" s="302"/>
      <c r="AR89" s="302"/>
      <c r="AS89" s="295"/>
      <c r="AT89" s="295"/>
      <c r="AU89" s="295"/>
      <c r="AV89" s="295"/>
      <c r="AW89" s="295"/>
      <c r="AX89" s="295"/>
      <c r="AY89" s="295"/>
      <c r="AZ89" s="295"/>
      <c r="BA89" s="302"/>
      <c r="BB89" s="302"/>
      <c r="BC89" s="302"/>
      <c r="BD89" s="295"/>
      <c r="BE89" s="295"/>
      <c r="BF89" s="299"/>
      <c r="BG89" s="299"/>
      <c r="BH89" s="299"/>
      <c r="BI89" s="299"/>
      <c r="BJ89" s="299"/>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2"/>
      <c r="BB94" s="302"/>
      <c r="BC94" s="302"/>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2"/>
      <c r="BB101" s="302"/>
      <c r="BC101" s="302"/>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2"/>
      <c r="BB104" s="302"/>
      <c r="BC104" s="302"/>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298"/>
      <c r="C106" s="298"/>
      <c r="D106" s="299"/>
      <c r="E106" s="299"/>
      <c r="F106" s="299"/>
      <c r="G106" s="299"/>
      <c r="H106" s="299"/>
      <c r="I106" s="299"/>
      <c r="J106" s="299"/>
      <c r="K106" s="299"/>
      <c r="L106" s="299"/>
      <c r="M106" s="299"/>
      <c r="N106" s="299"/>
      <c r="O106" s="299"/>
      <c r="P106" s="299"/>
      <c r="Q106" s="299"/>
      <c r="R106" s="299"/>
      <c r="S106" s="299"/>
      <c r="T106" s="299"/>
      <c r="U106" s="299"/>
      <c r="V106" s="299"/>
      <c r="W106" s="299"/>
      <c r="X106" s="299"/>
      <c r="Y106" s="299"/>
      <c r="Z106" s="299"/>
      <c r="AA106" s="299"/>
      <c r="AB106" s="299"/>
      <c r="AC106" s="299"/>
      <c r="AD106" s="295"/>
      <c r="AE106" s="302"/>
      <c r="AF106" s="302"/>
      <c r="AG106" s="295"/>
      <c r="AH106" s="295"/>
      <c r="AI106" s="302"/>
      <c r="AJ106" s="302"/>
      <c r="AK106" s="302"/>
      <c r="AL106" s="302"/>
      <c r="AM106" s="302"/>
      <c r="AN106" s="302"/>
      <c r="AO106" s="295"/>
      <c r="AP106" s="295"/>
      <c r="AQ106" s="302"/>
      <c r="AR106" s="302"/>
      <c r="AS106" s="295"/>
      <c r="AT106" s="295"/>
      <c r="AU106" s="295"/>
      <c r="AV106" s="295"/>
      <c r="AW106" s="295"/>
      <c r="AX106" s="295"/>
      <c r="AY106" s="295"/>
      <c r="AZ106" s="295"/>
      <c r="BA106" s="302"/>
      <c r="BB106" s="302"/>
      <c r="BC106" s="302"/>
      <c r="BD106" s="295"/>
      <c r="BE106" s="295"/>
      <c r="BF106" s="299"/>
      <c r="BG106" s="299"/>
      <c r="BH106" s="299"/>
      <c r="BI106" s="299"/>
      <c r="BJ106" s="299"/>
      <c r="BK106" s="97"/>
      <c r="BL106" s="97"/>
      <c r="BM106" s="97"/>
      <c r="BN106" s="97"/>
    </row>
    <row r="107" spans="1:66" ht="12.75">
      <c r="A107" s="8"/>
      <c r="B107" s="298"/>
      <c r="C107" s="298"/>
      <c r="D107" s="299"/>
      <c r="E107" s="299"/>
      <c r="F107" s="299"/>
      <c r="G107" s="299"/>
      <c r="H107" s="299"/>
      <c r="I107" s="299"/>
      <c r="J107" s="299"/>
      <c r="K107" s="299"/>
      <c r="L107" s="299"/>
      <c r="M107" s="299"/>
      <c r="N107" s="299"/>
      <c r="O107" s="299"/>
      <c r="P107" s="299"/>
      <c r="Q107" s="299"/>
      <c r="R107" s="299"/>
      <c r="S107" s="299"/>
      <c r="T107" s="299"/>
      <c r="U107" s="299"/>
      <c r="V107" s="299"/>
      <c r="W107" s="299"/>
      <c r="X107" s="299"/>
      <c r="Y107" s="299"/>
      <c r="Z107" s="299"/>
      <c r="AA107" s="299"/>
      <c r="AB107" s="299"/>
      <c r="AC107" s="299"/>
      <c r="AD107" s="295"/>
      <c r="AE107" s="302"/>
      <c r="AF107" s="302"/>
      <c r="AG107" s="295"/>
      <c r="AH107" s="295"/>
      <c r="AI107" s="302"/>
      <c r="AJ107" s="302"/>
      <c r="AK107" s="302"/>
      <c r="AL107" s="302"/>
      <c r="AM107" s="302"/>
      <c r="AN107" s="302"/>
      <c r="AO107" s="295"/>
      <c r="AP107" s="295"/>
      <c r="AQ107" s="302"/>
      <c r="AR107" s="302"/>
      <c r="AS107" s="295"/>
      <c r="AT107" s="295"/>
      <c r="AU107" s="295"/>
      <c r="AV107" s="295"/>
      <c r="AW107" s="295"/>
      <c r="AX107" s="295"/>
      <c r="AY107" s="295"/>
      <c r="AZ107" s="295"/>
      <c r="BA107" s="302"/>
      <c r="BB107" s="302"/>
      <c r="BC107" s="302"/>
      <c r="BD107" s="295"/>
      <c r="BE107" s="295"/>
      <c r="BF107" s="299"/>
      <c r="BG107" s="299"/>
      <c r="BH107" s="299"/>
      <c r="BI107" s="299"/>
      <c r="BJ107" s="299"/>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1"/>
      <c r="BB122" s="301"/>
      <c r="BC122" s="301"/>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8"/>
      <c r="C132" s="8"/>
      <c r="D132" s="299"/>
      <c r="E132" s="299"/>
      <c r="F132" s="299"/>
      <c r="G132" s="299"/>
      <c r="H132" s="299"/>
      <c r="I132" s="299"/>
      <c r="J132" s="299"/>
      <c r="K132" s="299"/>
      <c r="L132" s="299"/>
      <c r="M132" s="299"/>
      <c r="N132" s="299"/>
      <c r="O132" s="299"/>
      <c r="P132" s="300"/>
      <c r="Q132" s="299"/>
      <c r="R132" s="299"/>
      <c r="S132" s="299"/>
      <c r="T132" s="299"/>
      <c r="U132" s="299"/>
      <c r="V132" s="299"/>
      <c r="W132" s="299"/>
      <c r="X132" s="299"/>
      <c r="Y132" s="299"/>
      <c r="Z132" s="299"/>
      <c r="AA132" s="299"/>
      <c r="AB132" s="299"/>
      <c r="AC132" s="299"/>
      <c r="AD132" s="295"/>
      <c r="AE132" s="301"/>
      <c r="AF132" s="301"/>
      <c r="AG132" s="295"/>
      <c r="AH132" s="295"/>
      <c r="AI132" s="301"/>
      <c r="AJ132" s="301"/>
      <c r="AK132" s="301"/>
      <c r="AL132" s="301"/>
      <c r="AM132" s="301"/>
      <c r="AN132" s="301"/>
      <c r="AO132" s="295"/>
      <c r="AP132" s="296"/>
      <c r="AQ132" s="301"/>
      <c r="AR132" s="301"/>
      <c r="AS132" s="295"/>
      <c r="AT132" s="295"/>
      <c r="AU132" s="295"/>
      <c r="AV132" s="295"/>
      <c r="AW132" s="295"/>
      <c r="AX132" s="295"/>
      <c r="AY132" s="295"/>
      <c r="AZ132" s="295"/>
      <c r="BA132" s="301"/>
      <c r="BB132" s="301"/>
      <c r="BC132" s="301"/>
      <c r="BD132" s="296"/>
      <c r="BE132" s="296"/>
      <c r="BF132" s="297"/>
      <c r="BG132" s="297"/>
      <c r="BH132" s="297"/>
      <c r="BI132" s="297"/>
      <c r="BJ132" s="297"/>
      <c r="BK132" s="97"/>
      <c r="BL132" s="97"/>
      <c r="BM132" s="97"/>
      <c r="BN132" s="97"/>
    </row>
    <row r="133" spans="1:66" ht="12.75">
      <c r="A133" s="8"/>
      <c r="B133" s="8"/>
      <c r="C133" s="8"/>
      <c r="D133" s="299"/>
      <c r="E133" s="299"/>
      <c r="F133" s="299"/>
      <c r="G133" s="299"/>
      <c r="H133" s="299"/>
      <c r="I133" s="299"/>
      <c r="J133" s="299"/>
      <c r="K133" s="299"/>
      <c r="L133" s="299"/>
      <c r="M133" s="299"/>
      <c r="N133" s="299"/>
      <c r="O133" s="299"/>
      <c r="P133" s="300"/>
      <c r="Q133" s="299"/>
      <c r="R133" s="299"/>
      <c r="S133" s="299"/>
      <c r="T133" s="299"/>
      <c r="U133" s="299"/>
      <c r="V133" s="299"/>
      <c r="W133" s="299"/>
      <c r="X133" s="299"/>
      <c r="Y133" s="299"/>
      <c r="Z133" s="299"/>
      <c r="AA133" s="299"/>
      <c r="AB133" s="299"/>
      <c r="AC133" s="299"/>
      <c r="AD133" s="295"/>
      <c r="AE133" s="301"/>
      <c r="AF133" s="301"/>
      <c r="AG133" s="295"/>
      <c r="AH133" s="295"/>
      <c r="AI133" s="301"/>
      <c r="AJ133" s="301"/>
      <c r="AK133" s="301"/>
      <c r="AL133" s="301"/>
      <c r="AM133" s="301"/>
      <c r="AN133" s="301"/>
      <c r="AO133" s="295"/>
      <c r="AP133" s="296"/>
      <c r="AQ133" s="301"/>
      <c r="AR133" s="301"/>
      <c r="AS133" s="295"/>
      <c r="AT133" s="295"/>
      <c r="AU133" s="295"/>
      <c r="AV133" s="295"/>
      <c r="AW133" s="295"/>
      <c r="AX133" s="295"/>
      <c r="AY133" s="295"/>
      <c r="AZ133" s="295"/>
      <c r="BA133" s="301"/>
      <c r="BB133" s="301"/>
      <c r="BC133" s="301"/>
      <c r="BD133" s="296"/>
      <c r="BE133" s="296"/>
      <c r="BF133" s="297"/>
      <c r="BG133" s="297"/>
      <c r="BH133" s="297"/>
      <c r="BI133" s="297"/>
      <c r="BJ133" s="297"/>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1"/>
      <c r="BB135" s="301"/>
      <c r="BC135" s="301"/>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298"/>
      <c r="C138" s="298"/>
      <c r="D138" s="299"/>
      <c r="E138" s="299"/>
      <c r="F138" s="299"/>
      <c r="G138" s="299"/>
      <c r="H138" s="299"/>
      <c r="I138" s="299"/>
      <c r="J138" s="299"/>
      <c r="K138" s="299"/>
      <c r="L138" s="299"/>
      <c r="M138" s="299"/>
      <c r="N138" s="299"/>
      <c r="O138" s="299"/>
      <c r="P138" s="299"/>
      <c r="Q138" s="299"/>
      <c r="R138" s="299"/>
      <c r="S138" s="299"/>
      <c r="T138" s="299"/>
      <c r="U138" s="299"/>
      <c r="V138" s="299"/>
      <c r="W138" s="299"/>
      <c r="X138" s="299"/>
      <c r="Y138" s="299"/>
      <c r="Z138" s="299"/>
      <c r="AA138" s="299"/>
      <c r="AB138" s="299"/>
      <c r="AC138" s="299"/>
      <c r="AD138" s="295"/>
      <c r="AE138" s="302"/>
      <c r="AF138" s="302"/>
      <c r="AG138" s="295"/>
      <c r="AH138" s="295"/>
      <c r="AI138" s="302"/>
      <c r="AJ138" s="302"/>
      <c r="AK138" s="302"/>
      <c r="AL138" s="302"/>
      <c r="AM138" s="302"/>
      <c r="AN138" s="302"/>
      <c r="AO138" s="295"/>
      <c r="AP138" s="295"/>
      <c r="AQ138" s="302"/>
      <c r="AR138" s="302"/>
      <c r="AS138" s="295"/>
      <c r="AT138" s="295"/>
      <c r="AU138" s="295"/>
      <c r="AV138" s="295"/>
      <c r="AW138" s="295"/>
      <c r="AX138" s="295"/>
      <c r="AY138" s="295"/>
      <c r="AZ138" s="295"/>
      <c r="BA138" s="302"/>
      <c r="BB138" s="302"/>
      <c r="BC138" s="302"/>
      <c r="BD138" s="295"/>
      <c r="BE138" s="295"/>
      <c r="BF138" s="299"/>
      <c r="BG138" s="299"/>
      <c r="BH138" s="299"/>
      <c r="BI138" s="299"/>
      <c r="BJ138" s="299"/>
      <c r="BK138" s="97"/>
      <c r="BL138" s="97"/>
      <c r="BM138" s="97"/>
      <c r="BN138" s="97"/>
    </row>
    <row r="139" spans="1:66" ht="12.75">
      <c r="A139" s="8"/>
      <c r="B139" s="298"/>
      <c r="C139" s="298"/>
      <c r="D139" s="299"/>
      <c r="E139" s="299"/>
      <c r="F139" s="299"/>
      <c r="G139" s="299"/>
      <c r="H139" s="299"/>
      <c r="I139" s="299"/>
      <c r="J139" s="299"/>
      <c r="K139" s="299"/>
      <c r="L139" s="299"/>
      <c r="M139" s="299"/>
      <c r="N139" s="299"/>
      <c r="O139" s="299"/>
      <c r="P139" s="299"/>
      <c r="Q139" s="299"/>
      <c r="R139" s="299"/>
      <c r="S139" s="299"/>
      <c r="T139" s="299"/>
      <c r="U139" s="299"/>
      <c r="V139" s="299"/>
      <c r="W139" s="299"/>
      <c r="X139" s="299"/>
      <c r="Y139" s="299"/>
      <c r="Z139" s="299"/>
      <c r="AA139" s="299"/>
      <c r="AB139" s="299"/>
      <c r="AC139" s="299"/>
      <c r="AD139" s="295"/>
      <c r="AE139" s="302"/>
      <c r="AF139" s="302"/>
      <c r="AG139" s="295"/>
      <c r="AH139" s="295"/>
      <c r="AI139" s="302"/>
      <c r="AJ139" s="302"/>
      <c r="AK139" s="302"/>
      <c r="AL139" s="302"/>
      <c r="AM139" s="302"/>
      <c r="AN139" s="302"/>
      <c r="AO139" s="295"/>
      <c r="AP139" s="295"/>
      <c r="AQ139" s="302"/>
      <c r="AR139" s="302"/>
      <c r="AS139" s="295"/>
      <c r="AT139" s="295"/>
      <c r="AU139" s="295"/>
      <c r="AV139" s="295"/>
      <c r="AW139" s="295"/>
      <c r="AX139" s="295"/>
      <c r="AY139" s="295"/>
      <c r="AZ139" s="295"/>
      <c r="BA139" s="302"/>
      <c r="BB139" s="302"/>
      <c r="BC139" s="302"/>
      <c r="BD139" s="295"/>
      <c r="BE139" s="295"/>
      <c r="BF139" s="299"/>
      <c r="BG139" s="299"/>
      <c r="BH139" s="299"/>
      <c r="BI139" s="299"/>
      <c r="BJ139" s="299"/>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405</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360</v>
      </c>
      <c r="O4" s="75" t="s">
        <v>359</v>
      </c>
      <c r="P4" s="75" t="s">
        <v>487</v>
      </c>
      <c r="Q4" s="75" t="s">
        <v>488</v>
      </c>
      <c r="R4" s="75" t="s">
        <v>489</v>
      </c>
      <c r="S4" s="75" t="s">
        <v>490</v>
      </c>
      <c r="T4" s="39" t="s">
        <v>278</v>
      </c>
      <c r="U4" s="40" t="s">
        <v>279</v>
      </c>
      <c r="V4" s="41" t="s">
        <v>7</v>
      </c>
      <c r="W4" s="24" t="s">
        <v>2</v>
      </c>
      <c r="X4" s="24" t="s">
        <v>3</v>
      </c>
      <c r="Y4" s="75" t="s">
        <v>631</v>
      </c>
      <c r="Z4" s="75" t="s">
        <v>630</v>
      </c>
      <c r="AA4" s="26" t="s">
        <v>280</v>
      </c>
      <c r="AB4" s="24" t="s">
        <v>5</v>
      </c>
      <c r="AC4" s="75" t="s">
        <v>35</v>
      </c>
      <c r="AD4" s="24" t="s">
        <v>6</v>
      </c>
      <c r="AE4" s="24" t="s">
        <v>281</v>
      </c>
      <c r="AF4" s="24" t="s">
        <v>16</v>
      </c>
      <c r="AG4" s="24" t="s">
        <v>15</v>
      </c>
      <c r="AH4" s="24" t="s">
        <v>14</v>
      </c>
      <c r="AI4" s="25" t="s">
        <v>30</v>
      </c>
      <c r="AJ4" s="47" t="s">
        <v>10</v>
      </c>
      <c r="AK4" s="26" t="s">
        <v>21</v>
      </c>
      <c r="AL4" s="25" t="s">
        <v>22</v>
      </c>
      <c r="AQ4" s="102" t="s">
        <v>402</v>
      </c>
      <c r="AR4" s="102" t="s">
        <v>404</v>
      </c>
      <c r="AS4" s="102" t="s">
        <v>403</v>
      </c>
      <c r="AY4" s="102" t="s">
        <v>484</v>
      </c>
      <c r="AZ4" s="102" t="s">
        <v>485</v>
      </c>
      <c r="BA4" s="102" t="s">
        <v>486</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425</v>
      </c>
      <c r="BA5" s="103" t="s">
        <v>355</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410</v>
      </c>
      <c r="BA6" s="103" t="s">
        <v>355</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1775</v>
      </c>
      <c r="E7" s="38">
        <f>IF(LEFT(VLOOKUP($B7,'Indicator chart'!$D$1:$J$36,5,FALSE),1)=" "," ",VLOOKUP($B7,'Indicator chart'!$D$1:$J$36,5,FALSE))</f>
        <v>0.13520719073735527</v>
      </c>
      <c r="F7" s="38">
        <f>IF(LEFT(VLOOKUP($B7,'Indicator chart'!$D$1:$J$36,6,FALSE),1)=" "," ",VLOOKUP($B7,'Indicator chart'!$D$1:$J$36,6,FALSE))</f>
        <v>0.12946437085626247</v>
      </c>
      <c r="G7" s="38">
        <f>IF(LEFT(VLOOKUP($B7,'Indicator chart'!$D$1:$J$36,7,FALSE),1)=" "," ",VLOOKUP($B7,'Indicator chart'!$D$1:$J$36,7,FALSE))</f>
        <v>0.1411634442096762</v>
      </c>
      <c r="H7" s="50">
        <f aca="true" t="shared" si="0" ref="H7:H31">IF(LEFT(F7,1)=" ",4,IF(AND(ABS(N7-E7)&gt;SQRT((E7-G7)^2+(N7-R7)^2),E7&lt;N7),1,IF(AND(ABS(N7-E7)&gt;SQRT((E7-F7)^2+(N7-S7)^2),E7&gt;N7),3,2)))</f>
        <v>1</v>
      </c>
      <c r="I7" s="38">
        <v>0.0415392741560936</v>
      </c>
      <c r="J7" s="38">
        <v>0.10344268381595612</v>
      </c>
      <c r="K7" s="38">
        <v>0.14743486046791077</v>
      </c>
      <c r="L7" s="38">
        <v>0.1776384711265564</v>
      </c>
      <c r="M7" s="38">
        <v>0.2595914304256439</v>
      </c>
      <c r="N7" s="80">
        <f>VLOOKUP('Hide - Control'!B$3,'All practice data'!A:CA,A7+29,FALSE)</f>
        <v>0.1486702641499261</v>
      </c>
      <c r="O7" s="80">
        <f>VLOOKUP('Hide - Control'!C$3,'All practice data'!A:CA,A7+29,FALSE)</f>
        <v>0.1599882305185145</v>
      </c>
      <c r="P7" s="38">
        <f>VLOOKUP('Hide - Control'!$B$4,'All practice data'!B:BC,A7+2,FALSE)</f>
        <v>66177</v>
      </c>
      <c r="Q7" s="38">
        <f>VLOOKUP('Hide - Control'!$B$4,'All practice data'!B:BC,3,FALSE)</f>
        <v>445126</v>
      </c>
      <c r="R7" s="38">
        <f>+((2*P7+1.96^2-1.96*SQRT(1.96^2+4*P7*(1-P7/Q7)))/(2*(Q7+1.96^2)))</f>
        <v>0.14762815374362095</v>
      </c>
      <c r="S7" s="38">
        <f>+((2*P7+1.96^2+1.96*SQRT(1.96^2+4*P7*(1-P7/Q7)))/(2*(Q7+1.96^2)))</f>
        <v>0.1497184387118421</v>
      </c>
      <c r="T7" s="53">
        <f>IF($C7=1,M7,I7)</f>
        <v>0.2595914304256439</v>
      </c>
      <c r="U7" s="51">
        <f aca="true" t="shared" si="1" ref="U7:U15">IF($C7=1,I7,M7)</f>
        <v>0.0415392741560936</v>
      </c>
      <c r="V7" s="7">
        <v>1</v>
      </c>
      <c r="W7" s="27">
        <f aca="true" t="shared" si="2" ref="W7:W31">IF((K7-I7)&gt;(M7-K7),I7,(K7-(M7-K7)))</f>
        <v>0.03527829051017761</v>
      </c>
      <c r="X7" s="27">
        <f aca="true" t="shared" si="3" ref="X7:X31">IF(W7=I7,K7+(K7-I7),M7)</f>
        <v>0.2595914304256439</v>
      </c>
      <c r="Y7" s="27">
        <f aca="true" t="shared" si="4" ref="Y7:Y31">IF(C7=1,W7,X7)</f>
        <v>0.03527829051017761</v>
      </c>
      <c r="Z7" s="27">
        <f aca="true" t="shared" si="5" ref="Z7:Z31">IF(C7=1,X7,W7)</f>
        <v>0.2595914304256439</v>
      </c>
      <c r="AA7" s="32">
        <f aca="true" t="shared" si="6" ref="AA7:AA31">IF(ISERROR(IF(C7=1,(I7-$Y7)/($Z7-$Y7),(U7-$Y7)/($Z7-$Y7))),"",IF(C7=1,(I7-$Y7)/($Z7-$Y7),(U7-$Y7)/($Z7-$Y7)))</f>
        <v>0.027911800656330133</v>
      </c>
      <c r="AB7" s="33">
        <f aca="true" t="shared" si="7" ref="AB7:AB31">IF(ISERROR(IF(C7=1,(J7-$Y7)/($Z7-$Y7),(L7-$Y7)/($Z7-$Y7))),"",IF(C7=1,(J7-$Y7)/($Z7-$Y7),(L7-$Y7)/($Z7-$Y7)))</f>
        <v>0.3038805186868083</v>
      </c>
      <c r="AC7" s="33">
        <v>0.5</v>
      </c>
      <c r="AD7" s="33">
        <f aca="true" t="shared" si="8" ref="AD7:AD31">IF(ISERROR(IF(C7=1,(L7-$Y7)/($Z7-$Y7),(J7-$Y7)/($Z7-$Y7))),"",IF(C7=1,(L7-$Y7)/($Z7-$Y7),(J7-$Y7)/($Z7-$Y7)))</f>
        <v>0.6346493151048932</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0.44548839298864273</v>
      </c>
      <c r="AI7" s="34">
        <f aca="true" t="shared" si="13" ref="AI7:AI31">IF(ISERROR((O7-$Y7)/($Z7-$Y7)),-999,(O7-$Y7)/($Z7-$Y7))</f>
        <v>0.5559635964943228</v>
      </c>
      <c r="AJ7" s="4">
        <v>2.7020512924389086</v>
      </c>
      <c r="AK7" s="32">
        <f aca="true" t="shared" si="14" ref="AK7:AK31">IF(H7=1,(E7-$Y7)/($Z7-$Y7),-999)</f>
        <v>0.44548839298864273</v>
      </c>
      <c r="AL7" s="34">
        <f aca="true" t="shared" si="15" ref="AL7:AL31">IF(H7=3,(E7-$Y7)/($Z7-$Y7),-999)</f>
        <v>-999</v>
      </c>
      <c r="AQ7" s="103">
        <v>2</v>
      </c>
      <c r="AR7" s="103">
        <v>0.2422</v>
      </c>
      <c r="AS7" s="103">
        <v>7.2247</v>
      </c>
      <c r="AY7" s="103" t="s">
        <v>68</v>
      </c>
      <c r="AZ7" s="103" t="s">
        <v>409</v>
      </c>
      <c r="BA7" s="103" t="s">
        <v>355</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5</v>
      </c>
      <c r="E8" s="38">
        <f>IF(LEFT(VLOOKUP($B8,'Indicator chart'!$D$1:$J$36,5,FALSE),1)=" "," ",VLOOKUP($B8,'Indicator chart'!$D$1:$J$36,5,FALSE))</f>
        <v>0.29</v>
      </c>
      <c r="F8" s="38">
        <f>IF(LEFT(VLOOKUP($B8,'Indicator chart'!$D$1:$J$36,6,FALSE),1)=" "," ",VLOOKUP($B8,'Indicator chart'!$D$1:$J$36,6,FALSE))</f>
        <v>0.2823001235409681</v>
      </c>
      <c r="G8" s="38">
        <f>IF(LEFT(VLOOKUP($B8,'Indicator chart'!$D$1:$J$36,7,FALSE),1)=" "," ",VLOOKUP($B8,'Indicator chart'!$D$1:$J$36,7,FALSE))</f>
        <v>0.29782274361271427</v>
      </c>
      <c r="H8" s="50">
        <f t="shared" si="0"/>
        <v>3</v>
      </c>
      <c r="I8" s="38">
        <v>0.05999999865889549</v>
      </c>
      <c r="J8" s="38">
        <v>0.20000000298023224</v>
      </c>
      <c r="K8" s="38">
        <v>0.2750000059604645</v>
      </c>
      <c r="L8" s="38">
        <v>0.3425000011920929</v>
      </c>
      <c r="M8" s="38">
        <v>0.44999998807907104</v>
      </c>
      <c r="N8" s="80">
        <f>VLOOKUP('Hide - Control'!B$3,'All practice data'!A:CA,A8+29,FALSE)</f>
        <v>0.25041293925764824</v>
      </c>
      <c r="O8" s="80">
        <f>VLOOKUP('Hide - Control'!C$3,'All practice data'!A:CA,A8+29,FALSE)</f>
        <v>0.15010930292554353</v>
      </c>
      <c r="P8" s="38">
        <f>VLOOKUP('Hide - Control'!$B$4,'All practice data'!B:BC,A8+2,FALSE)</f>
        <v>111465.30999999994</v>
      </c>
      <c r="Q8" s="38">
        <f>VLOOKUP('Hide - Control'!$B$4,'All practice data'!B:BC,3,FALSE)</f>
        <v>445126</v>
      </c>
      <c r="R8" s="38">
        <f>+((2*P8+1.96^2-1.96*SQRT(1.96^2+4*P8*(1-P8/Q8)))/(2*(Q8+1.96^2)))</f>
        <v>0.24914231496857417</v>
      </c>
      <c r="S8" s="38">
        <f>+((2*P8+1.96^2+1.96*SQRT(1.96^2+4*P8*(1-P8/Q8)))/(2*(Q8+1.96^2)))</f>
        <v>0.2516878715645767</v>
      </c>
      <c r="T8" s="53">
        <f aca="true" t="shared" si="16" ref="T8:T15">IF($C8=1,M8,I8)</f>
        <v>0.44999998807907104</v>
      </c>
      <c r="U8" s="51">
        <f t="shared" si="1"/>
        <v>0.05999999865889549</v>
      </c>
      <c r="V8" s="7"/>
      <c r="W8" s="27">
        <f t="shared" si="2"/>
        <v>0.05999999865889549</v>
      </c>
      <c r="X8" s="27">
        <f t="shared" si="3"/>
        <v>0.49000001326203346</v>
      </c>
      <c r="Y8" s="27">
        <f t="shared" si="4"/>
        <v>0.05999999865889549</v>
      </c>
      <c r="Z8" s="27">
        <f t="shared" si="5"/>
        <v>0.49000001326203346</v>
      </c>
      <c r="AA8" s="32">
        <f t="shared" si="6"/>
        <v>0</v>
      </c>
      <c r="AB8" s="33">
        <f t="shared" si="7"/>
        <v>0.3255813943414575</v>
      </c>
      <c r="AC8" s="33">
        <v>0.5</v>
      </c>
      <c r="AD8" s="33">
        <f t="shared" si="8"/>
        <v>0.6569767277657572</v>
      </c>
      <c r="AE8" s="33">
        <f t="shared" si="9"/>
        <v>0.9069766887801624</v>
      </c>
      <c r="AF8" s="33">
        <f t="shared" si="10"/>
        <v>-999</v>
      </c>
      <c r="AG8" s="33">
        <f t="shared" si="11"/>
        <v>-999</v>
      </c>
      <c r="AH8" s="33">
        <f t="shared" si="12"/>
        <v>0.5348837058840091</v>
      </c>
      <c r="AI8" s="34">
        <f t="shared" si="13"/>
        <v>0.20955651443364035</v>
      </c>
      <c r="AJ8" s="4">
        <v>3.778046717820832</v>
      </c>
      <c r="AK8" s="32">
        <f t="shared" si="14"/>
        <v>-999</v>
      </c>
      <c r="AL8" s="34">
        <f t="shared" si="15"/>
        <v>0.5348837058840091</v>
      </c>
      <c r="AQ8" s="103">
        <v>3</v>
      </c>
      <c r="AR8" s="103">
        <v>0.6187</v>
      </c>
      <c r="AS8" s="103">
        <v>8.7673</v>
      </c>
      <c r="AY8" s="103" t="s">
        <v>118</v>
      </c>
      <c r="AZ8" s="103" t="s">
        <v>119</v>
      </c>
      <c r="BA8" s="103" t="s">
        <v>355</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14</v>
      </c>
      <c r="E9" s="38">
        <f>IF(LEFT(VLOOKUP($B9,'Indicator chart'!$D$1:$J$36,5,FALSE),1)=" "," ",VLOOKUP($B9,'Indicator chart'!$D$1:$J$36,5,FALSE))</f>
        <v>106.64229128580133</v>
      </c>
      <c r="F9" s="38">
        <f>IF(LEFT(VLOOKUP($B9,'Indicator chart'!$D$1:$J$36,6,FALSE),1)=" "," ",VLOOKUP($B9,'Indicator chart'!$D$1:$J$36,6,FALSE))</f>
        <v>58.25289953339581</v>
      </c>
      <c r="G9" s="38">
        <f>IF(LEFT(VLOOKUP($B9,'Indicator chart'!$D$1:$J$36,7,FALSE),1)=" "," ",VLOOKUP($B9,'Indicator chart'!$D$1:$J$36,7,FALSE))</f>
        <v>178.93956343253163</v>
      </c>
      <c r="H9" s="50">
        <f t="shared" si="0"/>
        <v>1</v>
      </c>
      <c r="I9" s="38">
        <v>84.34370422363281</v>
      </c>
      <c r="J9" s="38">
        <v>204.2344207763672</v>
      </c>
      <c r="K9" s="38">
        <v>386.7487487792969</v>
      </c>
      <c r="L9" s="38">
        <v>486.1869201660156</v>
      </c>
      <c r="M9" s="38">
        <v>896.8609619140625</v>
      </c>
      <c r="N9" s="80">
        <f>VLOOKUP('Hide - Control'!B$3,'All practice data'!A:CA,A9+29,FALSE)</f>
        <v>379.89243495100266</v>
      </c>
      <c r="O9" s="80">
        <f>VLOOKUP('Hide - Control'!C$3,'All practice data'!A:CA,A9+29,FALSE)</f>
        <v>445.6198871279627</v>
      </c>
      <c r="P9" s="38">
        <f>VLOOKUP('Hide - Control'!$B$4,'All practice data'!B:BC,A9+2,FALSE)</f>
        <v>1691</v>
      </c>
      <c r="Q9" s="38">
        <f>VLOOKUP('Hide - Control'!$B$4,'All practice data'!B:BC,3,FALSE)</f>
        <v>445126</v>
      </c>
      <c r="R9" s="38">
        <f>100000*(P9*(1-1/(9*P9)-1.96/(3*SQRT(P9)))^3)/Q9</f>
        <v>361.9991368040162</v>
      </c>
      <c r="S9" s="38">
        <f>100000*((P9+1)*(1-1/(9*(P9+1))+1.96/(3*SQRT(P9+1)))^3)/Q9</f>
        <v>398.44130136903135</v>
      </c>
      <c r="T9" s="53">
        <f t="shared" si="16"/>
        <v>896.8609619140625</v>
      </c>
      <c r="U9" s="51">
        <f t="shared" si="1"/>
        <v>84.34370422363281</v>
      </c>
      <c r="V9" s="7"/>
      <c r="W9" s="27">
        <f t="shared" si="2"/>
        <v>-123.36346435546875</v>
      </c>
      <c r="X9" s="27">
        <f t="shared" si="3"/>
        <v>896.8609619140625</v>
      </c>
      <c r="Y9" s="27">
        <f t="shared" si="4"/>
        <v>-123.36346435546875</v>
      </c>
      <c r="Z9" s="27">
        <f t="shared" si="5"/>
        <v>896.8609619140625</v>
      </c>
      <c r="AA9" s="32">
        <f t="shared" si="6"/>
        <v>0.20358968402529481</v>
      </c>
      <c r="AB9" s="33">
        <f t="shared" si="7"/>
        <v>0.3211037460940858</v>
      </c>
      <c r="AC9" s="33">
        <v>0.5</v>
      </c>
      <c r="AD9" s="33">
        <f t="shared" si="8"/>
        <v>0.5974669580793279</v>
      </c>
      <c r="AE9" s="33">
        <f t="shared" si="9"/>
        <v>1</v>
      </c>
      <c r="AF9" s="33">
        <f t="shared" si="10"/>
        <v>-999</v>
      </c>
      <c r="AG9" s="33">
        <f t="shared" si="11"/>
        <v>-999</v>
      </c>
      <c r="AH9" s="33">
        <f t="shared" si="12"/>
        <v>0.22544623488607327</v>
      </c>
      <c r="AI9" s="34">
        <f t="shared" si="13"/>
        <v>0.5577041059131757</v>
      </c>
      <c r="AJ9" s="4">
        <v>4.854042143202755</v>
      </c>
      <c r="AK9" s="32">
        <f t="shared" si="14"/>
        <v>0.22544623488607327</v>
      </c>
      <c r="AL9" s="34">
        <f t="shared" si="15"/>
        <v>-999</v>
      </c>
      <c r="AQ9" s="103">
        <v>4</v>
      </c>
      <c r="AR9" s="103">
        <v>1.0899</v>
      </c>
      <c r="AS9" s="103">
        <v>10.2416</v>
      </c>
      <c r="AY9" s="103" t="s">
        <v>90</v>
      </c>
      <c r="AZ9" s="103" t="s">
        <v>419</v>
      </c>
      <c r="BA9" s="103" t="s">
        <v>355</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22</v>
      </c>
      <c r="E10" s="38">
        <f>IF(LEFT(VLOOKUP($B10,'Indicator chart'!$D$1:$J$36,5,FALSE),1)=" "," ",VLOOKUP($B10,'Indicator chart'!$D$1:$J$36,5,FALSE))</f>
        <v>167.5807434491164</v>
      </c>
      <c r="F10" s="38">
        <f>IF(LEFT(VLOOKUP($B10,'Indicator chart'!$D$1:$J$36,6,FALSE),1)=" "," ",VLOOKUP($B10,'Indicator chart'!$D$1:$J$36,6,FALSE))</f>
        <v>104.98452963726959</v>
      </c>
      <c r="G10" s="38">
        <f>IF(LEFT(VLOOKUP($B10,'Indicator chart'!$D$1:$J$36,7,FALSE),1)=" "," ",VLOOKUP($B10,'Indicator chart'!$D$1:$J$36,7,FALSE))</f>
        <v>253.73247925562228</v>
      </c>
      <c r="H10" s="50">
        <f t="shared" si="0"/>
        <v>2</v>
      </c>
      <c r="I10" s="38">
        <v>44.173431396484375</v>
      </c>
      <c r="J10" s="38">
        <v>127.54288482666016</v>
      </c>
      <c r="K10" s="38">
        <v>200.9796600341797</v>
      </c>
      <c r="L10" s="38">
        <v>294.5661315917969</v>
      </c>
      <c r="M10" s="38">
        <v>518.8181762695312</v>
      </c>
      <c r="N10" s="80">
        <f>VLOOKUP('Hide - Control'!B$3,'All practice data'!A:CA,A10+29,FALSE)</f>
        <v>225.778768258875</v>
      </c>
      <c r="O10" s="80">
        <f>VLOOKUP('Hide - Control'!C$3,'All practice data'!A:CA,A10+29,FALSE)</f>
        <v>234.12259778895606</v>
      </c>
      <c r="P10" s="38">
        <f>VLOOKUP('Hide - Control'!$B$4,'All practice data'!B:BC,A10+2,FALSE)</f>
        <v>1005</v>
      </c>
      <c r="Q10" s="38">
        <f>VLOOKUP('Hide - Control'!$B$4,'All practice data'!B:BC,3,FALSE)</f>
        <v>445126</v>
      </c>
      <c r="R10" s="38">
        <f>100000*(P10*(1-1/(9*P10)-1.96/(3*SQRT(P10)))^3)/Q10</f>
        <v>212.03358968431644</v>
      </c>
      <c r="S10" s="38">
        <f>100000*((P10+1)*(1-1/(9*(P10+1))+1.96/(3*SQRT(P10+1)))^3)/Q10</f>
        <v>240.18108628703663</v>
      </c>
      <c r="T10" s="53">
        <f t="shared" si="16"/>
        <v>518.8181762695312</v>
      </c>
      <c r="U10" s="51">
        <f t="shared" si="1"/>
        <v>44.173431396484375</v>
      </c>
      <c r="V10" s="7"/>
      <c r="W10" s="27">
        <f t="shared" si="2"/>
        <v>-116.85885620117188</v>
      </c>
      <c r="X10" s="27">
        <f t="shared" si="3"/>
        <v>518.8181762695312</v>
      </c>
      <c r="Y10" s="27">
        <f t="shared" si="4"/>
        <v>-116.85885620117188</v>
      </c>
      <c r="Z10" s="27">
        <f t="shared" si="5"/>
        <v>518.8181762695312</v>
      </c>
      <c r="AA10" s="32">
        <f t="shared" si="6"/>
        <v>0.2533240613897402</v>
      </c>
      <c r="AB10" s="33">
        <f t="shared" si="7"/>
        <v>0.3844747073492795</v>
      </c>
      <c r="AC10" s="33">
        <v>0.5</v>
      </c>
      <c r="AD10" s="33">
        <f t="shared" si="8"/>
        <v>0.6472233017352729</v>
      </c>
      <c r="AE10" s="33">
        <f t="shared" si="9"/>
        <v>1</v>
      </c>
      <c r="AF10" s="33">
        <f t="shared" si="10"/>
        <v>-999</v>
      </c>
      <c r="AG10" s="33">
        <f t="shared" si="11"/>
        <v>0.4474592994885299</v>
      </c>
      <c r="AH10" s="33">
        <f t="shared" si="12"/>
        <v>-999</v>
      </c>
      <c r="AI10" s="34">
        <f t="shared" si="13"/>
        <v>0.5521380135852303</v>
      </c>
      <c r="AJ10" s="4">
        <v>5.930037568584676</v>
      </c>
      <c r="AK10" s="32">
        <f t="shared" si="14"/>
        <v>-999</v>
      </c>
      <c r="AL10" s="34">
        <f t="shared" si="15"/>
        <v>-999</v>
      </c>
      <c r="AY10" s="103" t="s">
        <v>96</v>
      </c>
      <c r="AZ10" s="103" t="s">
        <v>97</v>
      </c>
      <c r="BA10" s="103" t="s">
        <v>536</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198</v>
      </c>
      <c r="E11" s="38">
        <f>IF(LEFT(VLOOKUP($B11,'Indicator chart'!$D$1:$J$36,5,FALSE),1)=" "," ",VLOOKUP($B11,'Indicator chart'!$D$1:$J$36,5,FALSE))</f>
        <v>0.015</v>
      </c>
      <c r="F11" s="38">
        <f>IF(LEFT(VLOOKUP($B11,'Indicator chart'!$D$1:$J$36,6,FALSE),1)=" "," ",VLOOKUP($B11,'Indicator chart'!$D$1:$J$36,6,FALSE))</f>
        <v>0.01313468571530931</v>
      </c>
      <c r="G11" s="38">
        <f>IF(LEFT(VLOOKUP($B11,'Indicator chart'!$D$1:$J$36,7,FALSE),1)=" "," ",VLOOKUP($B11,'Indicator chart'!$D$1:$J$36,7,FALSE))</f>
        <v>0.017313564589507037</v>
      </c>
      <c r="H11" s="50">
        <f t="shared" si="0"/>
        <v>2</v>
      </c>
      <c r="I11" s="38">
        <v>0.0020000000949949026</v>
      </c>
      <c r="J11" s="38">
        <v>0.008999999612569809</v>
      </c>
      <c r="K11" s="38">
        <v>0.014000000432133675</v>
      </c>
      <c r="L11" s="38">
        <v>0.017000000923871994</v>
      </c>
      <c r="M11" s="38">
        <v>0.024000000208616257</v>
      </c>
      <c r="N11" s="80">
        <f>VLOOKUP('Hide - Control'!B$3,'All practice data'!A:CA,A11+29,FALSE)</f>
        <v>0.013991543967326105</v>
      </c>
      <c r="O11" s="80">
        <f>VLOOKUP('Hide - Control'!C$3,'All practice data'!A:CA,A11+29,FALSE)</f>
        <v>0.015940726342527432</v>
      </c>
      <c r="P11" s="38">
        <f>VLOOKUP('Hide - Control'!$B$4,'All practice data'!B:BC,A11+2,FALSE)</f>
        <v>6228</v>
      </c>
      <c r="Q11" s="38">
        <f>VLOOKUP('Hide - Control'!$B$4,'All practice data'!B:BC,3,FALSE)</f>
        <v>445126</v>
      </c>
      <c r="R11" s="80">
        <f aca="true" t="shared" si="17" ref="R11:R16">+((2*P11+1.96^2-1.96*SQRT(1.96^2+4*P11*(1-P11/Q11)))/(2*(Q11+1.96^2)))</f>
        <v>0.013650659830576464</v>
      </c>
      <c r="S11" s="80">
        <f aca="true" t="shared" si="18" ref="S11:S16">+((2*P11+1.96^2+1.96*SQRT(1.96^2+4*P11*(1-P11/Q11)))/(2*(Q11+1.96^2)))</f>
        <v>0.014340816892740126</v>
      </c>
      <c r="T11" s="53">
        <f t="shared" si="16"/>
        <v>0.024000000208616257</v>
      </c>
      <c r="U11" s="51">
        <f t="shared" si="1"/>
        <v>0.0020000000949949026</v>
      </c>
      <c r="V11" s="7"/>
      <c r="W11" s="27">
        <f t="shared" si="2"/>
        <v>0.0020000000949949026</v>
      </c>
      <c r="X11" s="27">
        <f t="shared" si="3"/>
        <v>0.026000000769272447</v>
      </c>
      <c r="Y11" s="27">
        <f t="shared" si="4"/>
        <v>0.0020000000949949026</v>
      </c>
      <c r="Z11" s="27">
        <f t="shared" si="5"/>
        <v>0.026000000769272447</v>
      </c>
      <c r="AA11" s="32">
        <f t="shared" si="6"/>
        <v>0</v>
      </c>
      <c r="AB11" s="33">
        <f t="shared" si="7"/>
        <v>0.29166663837127677</v>
      </c>
      <c r="AC11" s="33">
        <v>0.5</v>
      </c>
      <c r="AD11" s="33">
        <f t="shared" si="8"/>
        <v>0.625000016977234</v>
      </c>
      <c r="AE11" s="33">
        <f t="shared" si="9"/>
        <v>0.9166666456472341</v>
      </c>
      <c r="AF11" s="33">
        <f t="shared" si="10"/>
        <v>-999</v>
      </c>
      <c r="AG11" s="33">
        <f t="shared" si="11"/>
        <v>0.5416666474904767</v>
      </c>
      <c r="AH11" s="33">
        <f t="shared" si="12"/>
        <v>-999</v>
      </c>
      <c r="AI11" s="34">
        <f t="shared" si="13"/>
        <v>0.580863577327886</v>
      </c>
      <c r="AJ11" s="4">
        <v>7.0060329939666</v>
      </c>
      <c r="AK11" s="32">
        <f t="shared" si="14"/>
        <v>-999</v>
      </c>
      <c r="AL11" s="34">
        <f t="shared" si="15"/>
        <v>-999</v>
      </c>
      <c r="AY11" s="103" t="s">
        <v>214</v>
      </c>
      <c r="AZ11" s="103" t="s">
        <v>215</v>
      </c>
      <c r="BA11" s="103" t="s">
        <v>536</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782</v>
      </c>
      <c r="E12" s="38">
        <f>IF(LEFT(VLOOKUP($B12,'Indicator chart'!$D$1:$J$36,5,FALSE),1)=" "," ",VLOOKUP($B12,'Indicator chart'!$D$1:$J$36,5,FALSE))</f>
        <v>0.615264</v>
      </c>
      <c r="F12" s="38">
        <f>IF(LEFT(VLOOKUP($B12,'Indicator chart'!$D$1:$J$36,6,FALSE),1)=" "," ",VLOOKUP($B12,'Indicator chart'!$D$1:$J$36,6,FALSE))</f>
        <v>0.5882060499723297</v>
      </c>
      <c r="G12" s="38">
        <f>IF(LEFT(VLOOKUP($B12,'Indicator chart'!$D$1:$J$36,7,FALSE),1)=" "," ",VLOOKUP($B12,'Indicator chart'!$D$1:$J$36,7,FALSE))</f>
        <v>0.6416264249014115</v>
      </c>
      <c r="H12" s="50">
        <f t="shared" si="0"/>
        <v>1</v>
      </c>
      <c r="I12" s="38">
        <v>0.32558101415634155</v>
      </c>
      <c r="J12" s="38">
        <v>0.5395910143852234</v>
      </c>
      <c r="K12" s="38">
        <v>0.6281059980392456</v>
      </c>
      <c r="L12" s="38">
        <v>0.7119227647781372</v>
      </c>
      <c r="M12" s="38">
        <v>0.8492519855499268</v>
      </c>
      <c r="N12" s="80">
        <f>VLOOKUP('Hide - Control'!B$3,'All practice data'!A:CA,A12+29,FALSE)</f>
        <v>0.6725645945825338</v>
      </c>
      <c r="O12" s="80">
        <f>VLOOKUP('Hide - Control'!C$3,'All practice data'!A:CA,A12+29,FALSE)</f>
        <v>0.7248631360507991</v>
      </c>
      <c r="P12" s="38">
        <f>VLOOKUP('Hide - Control'!$B$4,'All practice data'!B:BC,A12+2,FALSE)</f>
        <v>30143</v>
      </c>
      <c r="Q12" s="38">
        <f>VLOOKUP('Hide - Control'!$B$4,'All practice data'!B:BJ,57,FALSE)</f>
        <v>44818</v>
      </c>
      <c r="R12" s="38">
        <f t="shared" si="17"/>
        <v>0.6682052667892304</v>
      </c>
      <c r="S12" s="38">
        <f t="shared" si="18"/>
        <v>0.6768943419693709</v>
      </c>
      <c r="T12" s="53">
        <f t="shared" si="16"/>
        <v>0.8492519855499268</v>
      </c>
      <c r="U12" s="51">
        <f t="shared" si="1"/>
        <v>0.32558101415634155</v>
      </c>
      <c r="V12" s="7"/>
      <c r="W12" s="27">
        <f t="shared" si="2"/>
        <v>0.32558101415634155</v>
      </c>
      <c r="X12" s="27">
        <f t="shared" si="3"/>
        <v>0.9306309819221497</v>
      </c>
      <c r="Y12" s="27">
        <f t="shared" si="4"/>
        <v>0.32558101415634155</v>
      </c>
      <c r="Z12" s="27">
        <f t="shared" si="5"/>
        <v>0.9306309819221497</v>
      </c>
      <c r="AA12" s="32">
        <f t="shared" si="6"/>
        <v>0</v>
      </c>
      <c r="AB12" s="33">
        <f t="shared" si="7"/>
        <v>0.35370632448610756</v>
      </c>
      <c r="AC12" s="33">
        <v>0.5</v>
      </c>
      <c r="AD12" s="33">
        <f t="shared" si="8"/>
        <v>0.6385286690426433</v>
      </c>
      <c r="AE12" s="33">
        <f t="shared" si="9"/>
        <v>0.8655003707004219</v>
      </c>
      <c r="AF12" s="33">
        <f t="shared" si="10"/>
        <v>-999</v>
      </c>
      <c r="AG12" s="33">
        <f t="shared" si="11"/>
        <v>-999</v>
      </c>
      <c r="AH12" s="33">
        <f t="shared" si="12"/>
        <v>0.4787753099356974</v>
      </c>
      <c r="AI12" s="34">
        <f t="shared" si="13"/>
        <v>0.6599159460644819</v>
      </c>
      <c r="AJ12" s="4">
        <v>8.082028419348523</v>
      </c>
      <c r="AK12" s="32">
        <f t="shared" si="14"/>
        <v>0.4787753099356974</v>
      </c>
      <c r="AL12" s="34">
        <f t="shared" si="15"/>
        <v>-999</v>
      </c>
      <c r="AY12" s="103" t="s">
        <v>261</v>
      </c>
      <c r="AZ12" s="103" t="s">
        <v>472</v>
      </c>
      <c r="BA12" s="103" t="s">
        <v>355</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252</v>
      </c>
      <c r="E13" s="38">
        <f>IF(LEFT(VLOOKUP($B13,'Indicator chart'!$D$1:$J$36,5,FALSE),1)=" "," ",VLOOKUP($B13,'Indicator chart'!$D$1:$J$36,5,FALSE))</f>
        <v>0.617647</v>
      </c>
      <c r="F13" s="38">
        <f>IF(LEFT(VLOOKUP($B13,'Indicator chart'!$D$1:$J$36,6,FALSE),1)=" "," ",VLOOKUP($B13,'Indicator chart'!$D$1:$J$36,6,FALSE))</f>
        <v>0.5696022091272778</v>
      </c>
      <c r="G13" s="38">
        <f>IF(LEFT(VLOOKUP($B13,'Indicator chart'!$D$1:$J$36,7,FALSE),1)=" "," ",VLOOKUP($B13,'Indicator chart'!$D$1:$J$36,7,FALSE))</f>
        <v>0.6634971183811624</v>
      </c>
      <c r="H13" s="50">
        <f t="shared" si="0"/>
        <v>1</v>
      </c>
      <c r="I13" s="38">
        <v>0</v>
      </c>
      <c r="J13" s="38">
        <v>0.4327484965324402</v>
      </c>
      <c r="K13" s="38">
        <v>0.6153849959373474</v>
      </c>
      <c r="L13" s="38">
        <v>0.7080990076065063</v>
      </c>
      <c r="M13" s="38">
        <v>0.8604649901390076</v>
      </c>
      <c r="N13" s="80">
        <f>VLOOKUP('Hide - Control'!B$3,'All practice data'!A:CA,A13+29,FALSE)</f>
        <v>0.6975395079015804</v>
      </c>
      <c r="O13" s="80">
        <f>VLOOKUP('Hide - Control'!C$3,'All practice data'!A:CA,A13+29,FALSE)</f>
        <v>0.7467412166569077</v>
      </c>
      <c r="P13" s="38">
        <f>VLOOKUP('Hide - Control'!$B$4,'All practice data'!B:BC,A13+2,FALSE)</f>
        <v>13948</v>
      </c>
      <c r="Q13" s="38">
        <f>VLOOKUP('Hide - Control'!$B$4,'All practice data'!B:BJ,58,FALSE)</f>
        <v>19996</v>
      </c>
      <c r="R13" s="38">
        <f t="shared" si="17"/>
        <v>0.6911355260131589</v>
      </c>
      <c r="S13" s="38">
        <f t="shared" si="18"/>
        <v>0.7038676024116183</v>
      </c>
      <c r="T13" s="53">
        <f t="shared" si="16"/>
        <v>0.8604649901390076</v>
      </c>
      <c r="U13" s="51">
        <f t="shared" si="1"/>
        <v>0</v>
      </c>
      <c r="V13" s="7"/>
      <c r="W13" s="27">
        <f t="shared" si="2"/>
        <v>0</v>
      </c>
      <c r="X13" s="27">
        <f t="shared" si="3"/>
        <v>1.2307699918746948</v>
      </c>
      <c r="Y13" s="27">
        <f t="shared" si="4"/>
        <v>0</v>
      </c>
      <c r="Z13" s="27">
        <f t="shared" si="5"/>
        <v>1.2307699918746948</v>
      </c>
      <c r="AA13" s="32">
        <f t="shared" si="6"/>
        <v>0</v>
      </c>
      <c r="AB13" s="33">
        <f t="shared" si="7"/>
        <v>0.3516079359988966</v>
      </c>
      <c r="AC13" s="33">
        <v>0.5</v>
      </c>
      <c r="AD13" s="33">
        <f t="shared" si="8"/>
        <v>0.5753300878972016</v>
      </c>
      <c r="AE13" s="33">
        <f t="shared" si="9"/>
        <v>0.6991273721488425</v>
      </c>
      <c r="AF13" s="33">
        <f t="shared" si="10"/>
        <v>-999</v>
      </c>
      <c r="AG13" s="33">
        <f t="shared" si="11"/>
        <v>-999</v>
      </c>
      <c r="AH13" s="33">
        <f t="shared" si="12"/>
        <v>0.5018378771643652</v>
      </c>
      <c r="AI13" s="34">
        <f t="shared" si="13"/>
        <v>0.6067268633349437</v>
      </c>
      <c r="AJ13" s="4">
        <v>9.158023844730446</v>
      </c>
      <c r="AK13" s="32">
        <f t="shared" si="14"/>
        <v>0.5018378771643652</v>
      </c>
      <c r="AL13" s="34">
        <f t="shared" si="15"/>
        <v>-999</v>
      </c>
      <c r="AY13" s="103" t="s">
        <v>260</v>
      </c>
      <c r="AZ13" s="103" t="s">
        <v>471</v>
      </c>
      <c r="BA13" s="103" t="s">
        <v>355</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2147</v>
      </c>
      <c r="E14" s="38">
        <f>IF(LEFT(VLOOKUP($B14,'Indicator chart'!$D$1:$J$36,5,FALSE),1)=" "," ",VLOOKUP($B14,'Indicator chart'!$D$1:$J$36,5,FALSE))</f>
        <v>0.700261</v>
      </c>
      <c r="F14" s="38">
        <f>IF(LEFT(VLOOKUP($B14,'Indicator chart'!$D$1:$J$36,6,FALSE),1)=" "," ",VLOOKUP($B14,'Indicator chart'!$D$1:$J$36,6,FALSE))</f>
        <v>0.683801491158299</v>
      </c>
      <c r="G14" s="38">
        <f>IF(LEFT(VLOOKUP($B14,'Indicator chart'!$D$1:$J$36,7,FALSE),1)=" "," ",VLOOKUP($B14,'Indicator chart'!$D$1:$J$36,7,FALSE))</f>
        <v>0.7162191483431005</v>
      </c>
      <c r="H14" s="50">
        <f t="shared" si="0"/>
        <v>2</v>
      </c>
      <c r="I14" s="38">
        <v>0.4136359989643097</v>
      </c>
      <c r="J14" s="38">
        <v>0.6391582489013672</v>
      </c>
      <c r="K14" s="38">
        <v>0.7042285203933716</v>
      </c>
      <c r="L14" s="38">
        <v>0.7597267627716064</v>
      </c>
      <c r="M14" s="38">
        <v>0.8279569745063782</v>
      </c>
      <c r="N14" s="80">
        <f>VLOOKUP('Hide - Control'!B$3,'All practice data'!A:CA,A14+29,FALSE)</f>
        <v>0.7059923485694114</v>
      </c>
      <c r="O14" s="80">
        <f>VLOOKUP('Hide - Control'!C$3,'All practice data'!A:CA,A14+29,FALSE)</f>
        <v>0.7559681673907895</v>
      </c>
      <c r="P14" s="38">
        <f>VLOOKUP('Hide - Control'!$B$4,'All practice data'!B:BC,A14+2,FALSE)</f>
        <v>74000</v>
      </c>
      <c r="Q14" s="38">
        <f>VLOOKUP('Hide - Control'!$B$4,'All practice data'!B:BJ,59,FALSE)</f>
        <v>104817</v>
      </c>
      <c r="R14" s="38">
        <f t="shared" si="17"/>
        <v>0.7032266789037928</v>
      </c>
      <c r="S14" s="38">
        <f t="shared" si="18"/>
        <v>0.7087429193254206</v>
      </c>
      <c r="T14" s="53">
        <f t="shared" si="16"/>
        <v>0.8279569745063782</v>
      </c>
      <c r="U14" s="51">
        <f t="shared" si="1"/>
        <v>0.4136359989643097</v>
      </c>
      <c r="V14" s="7"/>
      <c r="W14" s="27">
        <f t="shared" si="2"/>
        <v>0.4136359989643097</v>
      </c>
      <c r="X14" s="27">
        <f t="shared" si="3"/>
        <v>0.9948210418224335</v>
      </c>
      <c r="Y14" s="27">
        <f t="shared" si="4"/>
        <v>0.4136359989643097</v>
      </c>
      <c r="Z14" s="27">
        <f t="shared" si="5"/>
        <v>0.9948210418224335</v>
      </c>
      <c r="AA14" s="32">
        <f t="shared" si="6"/>
        <v>0</v>
      </c>
      <c r="AB14" s="33">
        <f t="shared" si="7"/>
        <v>0.3880386336647534</v>
      </c>
      <c r="AC14" s="33">
        <v>0.5</v>
      </c>
      <c r="AD14" s="33">
        <f t="shared" si="8"/>
        <v>0.5954915186827732</v>
      </c>
      <c r="AE14" s="33">
        <f t="shared" si="9"/>
        <v>0.712889948964517</v>
      </c>
      <c r="AF14" s="33">
        <f t="shared" si="10"/>
        <v>-999</v>
      </c>
      <c r="AG14" s="33">
        <f t="shared" si="11"/>
        <v>0.4931733955611447</v>
      </c>
      <c r="AH14" s="33">
        <f t="shared" si="12"/>
        <v>-999</v>
      </c>
      <c r="AI14" s="34">
        <f t="shared" si="13"/>
        <v>0.5890243952992582</v>
      </c>
      <c r="AJ14" s="4">
        <v>10.234019270112368</v>
      </c>
      <c r="AK14" s="32">
        <f t="shared" si="14"/>
        <v>-999</v>
      </c>
      <c r="AL14" s="34">
        <f t="shared" si="15"/>
        <v>-999</v>
      </c>
      <c r="AY14" s="103" t="s">
        <v>53</v>
      </c>
      <c r="AZ14" s="103" t="s">
        <v>479</v>
      </c>
      <c r="BA14" s="103" t="s">
        <v>536</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488</v>
      </c>
      <c r="E15" s="38">
        <f>IF(LEFT(VLOOKUP($B15,'Indicator chart'!$D$1:$J$36,5,FALSE),1)=" "," ",VLOOKUP($B15,'Indicator chart'!$D$1:$J$36,5,FALSE))</f>
        <v>0.419604</v>
      </c>
      <c r="F15" s="38">
        <f>IF(LEFT(VLOOKUP($B15,'Indicator chart'!$D$1:$J$36,6,FALSE),1)=" "," ",VLOOKUP($B15,'Indicator chart'!$D$1:$J$36,6,FALSE))</f>
        <v>0.3915519013878612</v>
      </c>
      <c r="G15" s="38">
        <f>IF(LEFT(VLOOKUP($B15,'Indicator chart'!$D$1:$J$36,7,FALSE),1)=" "," ",VLOOKUP($B15,'Indicator chart'!$D$1:$J$36,7,FALSE))</f>
        <v>0.44818641442124263</v>
      </c>
      <c r="H15" s="50">
        <f t="shared" si="0"/>
        <v>1</v>
      </c>
      <c r="I15" s="38">
        <v>0.1379310041666031</v>
      </c>
      <c r="J15" s="38">
        <v>0.363902747631073</v>
      </c>
      <c r="K15" s="38">
        <v>0.42874398827552795</v>
      </c>
      <c r="L15" s="38">
        <v>0.4935837388038635</v>
      </c>
      <c r="M15" s="38">
        <v>0.6888890266418457</v>
      </c>
      <c r="N15" s="80">
        <f>VLOOKUP('Hide - Control'!B$3,'All practice data'!A:CA,A15+29,FALSE)</f>
        <v>0.4962110580971092</v>
      </c>
      <c r="O15" s="80">
        <f>VLOOKUP('Hide - Control'!C$3,'All practice data'!A:CA,A15+29,FALSE)</f>
        <v>0.5147293797466616</v>
      </c>
      <c r="P15" s="38">
        <f>VLOOKUP('Hide - Control'!$B$4,'All practice data'!B:BC,A15+2,FALSE)</f>
        <v>19448</v>
      </c>
      <c r="Q15" s="38">
        <f>VLOOKUP('Hide - Control'!$B$4,'All practice data'!B:BJ,60,FALSE)</f>
        <v>39193</v>
      </c>
      <c r="R15" s="38">
        <f t="shared" si="17"/>
        <v>0.491261624670652</v>
      </c>
      <c r="S15" s="38">
        <f t="shared" si="18"/>
        <v>0.5011612342160191</v>
      </c>
      <c r="T15" s="53">
        <f t="shared" si="16"/>
        <v>0.6888890266418457</v>
      </c>
      <c r="U15" s="51">
        <f t="shared" si="1"/>
        <v>0.1379310041666031</v>
      </c>
      <c r="V15" s="7"/>
      <c r="W15" s="27">
        <f t="shared" si="2"/>
        <v>0.1379310041666031</v>
      </c>
      <c r="X15" s="27">
        <f t="shared" si="3"/>
        <v>0.7195569723844528</v>
      </c>
      <c r="Y15" s="27">
        <f t="shared" si="4"/>
        <v>0.1379310041666031</v>
      </c>
      <c r="Z15" s="27">
        <f t="shared" si="5"/>
        <v>0.7195569723844528</v>
      </c>
      <c r="AA15" s="32">
        <f t="shared" si="6"/>
        <v>0</v>
      </c>
      <c r="AB15" s="33">
        <f t="shared" si="7"/>
        <v>0.38851728741903685</v>
      </c>
      <c r="AC15" s="33">
        <v>0.5</v>
      </c>
      <c r="AD15" s="33">
        <f t="shared" si="8"/>
        <v>0.6114801505974878</v>
      </c>
      <c r="AE15" s="33">
        <f t="shared" si="9"/>
        <v>0.9472720486731769</v>
      </c>
      <c r="AF15" s="33">
        <f t="shared" si="10"/>
        <v>-999</v>
      </c>
      <c r="AG15" s="33">
        <f t="shared" si="11"/>
        <v>-999</v>
      </c>
      <c r="AH15" s="33">
        <f t="shared" si="12"/>
        <v>0.4842854535819065</v>
      </c>
      <c r="AI15" s="34">
        <f t="shared" si="13"/>
        <v>0.6478362318219731</v>
      </c>
      <c r="AJ15" s="4">
        <v>11.310014695494289</v>
      </c>
      <c r="AK15" s="32">
        <f t="shared" si="14"/>
        <v>0.4842854535819065</v>
      </c>
      <c r="AL15" s="34">
        <f t="shared" si="15"/>
        <v>-999</v>
      </c>
      <c r="AY15" s="103" t="s">
        <v>229</v>
      </c>
      <c r="AZ15" s="103" t="s">
        <v>230</v>
      </c>
      <c r="BA15" s="103" t="s">
        <v>355</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262</v>
      </c>
      <c r="E16" s="38">
        <f>IF(LEFT(VLOOKUP($B16,'Indicator chart'!$D$1:$J$36,5,FALSE),1)=" "," ",VLOOKUP($B16,'Indicator chart'!$D$1:$J$36,5,FALSE))</f>
        <v>0.396369</v>
      </c>
      <c r="F16" s="38">
        <f>IF(LEFT(VLOOKUP($B16,'Indicator chart'!$D$1:$J$36,6,FALSE),1)=" "," ",VLOOKUP($B16,'Indicator chart'!$D$1:$J$36,6,FALSE))</f>
        <v>0.3597811294922292</v>
      </c>
      <c r="G16" s="38">
        <f>IF(LEFT(VLOOKUP($B16,'Indicator chart'!$D$1:$J$36,7,FALSE),1)=" "," ",VLOOKUP($B16,'Indicator chart'!$D$1:$J$36,7,FALSE))</f>
        <v>0.43415474936974335</v>
      </c>
      <c r="H16" s="50">
        <f t="shared" si="0"/>
        <v>1</v>
      </c>
      <c r="I16" s="38">
        <v>0.1097560003399849</v>
      </c>
      <c r="J16" s="38">
        <v>0.3628774881362915</v>
      </c>
      <c r="K16" s="38">
        <v>0.4537254869937897</v>
      </c>
      <c r="L16" s="38">
        <v>0.5151100158691406</v>
      </c>
      <c r="M16" s="38">
        <v>0.6552129983901978</v>
      </c>
      <c r="N16" s="80">
        <f>VLOOKUP('Hide - Control'!B$3,'All practice data'!A:CA,A16+29,FALSE)</f>
        <v>0.5041520056298382</v>
      </c>
      <c r="O16" s="80">
        <f>VLOOKUP('Hide - Control'!C$3,'All practice data'!A:CA,A16+29,FALSE)</f>
        <v>0.5752927626212945</v>
      </c>
      <c r="P16" s="38">
        <f>VLOOKUP('Hide - Control'!$B$4,'All practice data'!B:BC,A16+2,FALSE)</f>
        <v>10746</v>
      </c>
      <c r="Q16" s="38">
        <f>VLOOKUP('Hide - Control'!$B$4,'All practice data'!B:BJ,61,FALSE)</f>
        <v>21315</v>
      </c>
      <c r="R16" s="38">
        <f t="shared" si="17"/>
        <v>0.4974396074185056</v>
      </c>
      <c r="S16" s="38">
        <f t="shared" si="18"/>
        <v>0.5108629074798648</v>
      </c>
      <c r="T16" s="53">
        <f aca="true" t="shared" si="19" ref="T16:T31">IF($C16=1,M16,I16)</f>
        <v>0.6552129983901978</v>
      </c>
      <c r="U16" s="51">
        <f aca="true" t="shared" si="20" ref="U16:U31">IF($C16=1,I16,M16)</f>
        <v>0.1097560003399849</v>
      </c>
      <c r="V16" s="7"/>
      <c r="W16" s="27">
        <f t="shared" si="2"/>
        <v>0.1097560003399849</v>
      </c>
      <c r="X16" s="27">
        <f t="shared" si="3"/>
        <v>0.7976949736475945</v>
      </c>
      <c r="Y16" s="27">
        <f t="shared" si="4"/>
        <v>0.1097560003399849</v>
      </c>
      <c r="Z16" s="27">
        <f t="shared" si="5"/>
        <v>0.7976949736475945</v>
      </c>
      <c r="AA16" s="32">
        <f t="shared" si="6"/>
        <v>0</v>
      </c>
      <c r="AB16" s="33">
        <f t="shared" si="7"/>
        <v>0.3679417762585813</v>
      </c>
      <c r="AC16" s="33">
        <v>0.5</v>
      </c>
      <c r="AD16" s="33">
        <f t="shared" si="8"/>
        <v>0.5892296137551478</v>
      </c>
      <c r="AE16" s="33">
        <f t="shared" si="9"/>
        <v>0.7928857343663152</v>
      </c>
      <c r="AF16" s="33">
        <f t="shared" si="10"/>
        <v>-999</v>
      </c>
      <c r="AG16" s="33">
        <f t="shared" si="11"/>
        <v>-999</v>
      </c>
      <c r="AH16" s="33">
        <f t="shared" si="12"/>
        <v>0.4166256176503277</v>
      </c>
      <c r="AI16" s="34">
        <f t="shared" si="13"/>
        <v>0.6767122962128596</v>
      </c>
      <c r="AJ16" s="4">
        <v>12.386010120876215</v>
      </c>
      <c r="AK16" s="32">
        <f t="shared" si="14"/>
        <v>0.4166256176503277</v>
      </c>
      <c r="AL16" s="34">
        <f t="shared" si="15"/>
        <v>-999</v>
      </c>
      <c r="AY16" s="103" t="s">
        <v>353</v>
      </c>
      <c r="AZ16" s="103" t="s">
        <v>374</v>
      </c>
      <c r="BA16" s="103" t="s">
        <v>536</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251</v>
      </c>
      <c r="E17" s="38">
        <f>IF(LEFT(VLOOKUP($B17,'Indicator chart'!$D$1:$J$36,5,FALSE),1)=" "," ",VLOOKUP($B17,'Indicator chart'!$D$1:$J$36,5,FALSE))</f>
        <v>1911.9439366240097</v>
      </c>
      <c r="F17" s="38">
        <f>IF(LEFT(VLOOKUP($B17,'Indicator chart'!$D$1:$J$36,6,FALSE),1)=" "," ",VLOOKUP($B17,'Indicator chart'!$D$1:$J$36,6,FALSE))</f>
        <v>1682.6967133979867</v>
      </c>
      <c r="G17" s="38">
        <f>IF(LEFT(VLOOKUP($B17,'Indicator chart'!$D$1:$J$36,7,FALSE),1)=" "," ",VLOOKUP($B17,'Indicator chart'!$D$1:$J$36,7,FALSE))</f>
        <v>2163.703181396503</v>
      </c>
      <c r="H17" s="50">
        <f t="shared" si="0"/>
        <v>3</v>
      </c>
      <c r="I17" s="38">
        <v>118.34319305419922</v>
      </c>
      <c r="J17" s="38">
        <v>585.8782958984375</v>
      </c>
      <c r="K17" s="38">
        <v>1367.3880615234375</v>
      </c>
      <c r="L17" s="38">
        <v>1900.1102294921875</v>
      </c>
      <c r="M17" s="38">
        <v>6304.728515625</v>
      </c>
      <c r="N17" s="80">
        <f>VLOOKUP('Hide - Control'!B$3,'All practice data'!A:CA,A17+29,FALSE)</f>
        <v>1615.7222898684868</v>
      </c>
      <c r="O17" s="80">
        <f>VLOOKUP('Hide - Control'!C$3,'All practice data'!A:CA,A17+29,FALSE)</f>
        <v>1812.1669120472948</v>
      </c>
      <c r="P17" s="38">
        <f>VLOOKUP('Hide - Control'!$B$4,'All practice data'!B:BC,A17+2,FALSE)</f>
        <v>7192</v>
      </c>
      <c r="Q17" s="38">
        <f>VLOOKUP('Hide - Control'!$B$4,'All practice data'!B:BC,3,FALSE)</f>
        <v>445126</v>
      </c>
      <c r="R17" s="38">
        <f>100000*(P17*(1-1/(9*P17)-1.96/(3*SQRT(P17)))^3)/Q17</f>
        <v>1578.5934631814343</v>
      </c>
      <c r="S17" s="38">
        <f>100000*((P17+1)*(1-1/(9*(P17+1))+1.96/(3*SQRT(P17+1)))^3)/Q17</f>
        <v>1653.5039488533835</v>
      </c>
      <c r="T17" s="53">
        <f t="shared" si="19"/>
        <v>6304.728515625</v>
      </c>
      <c r="U17" s="51">
        <f t="shared" si="20"/>
        <v>118.34319305419922</v>
      </c>
      <c r="V17" s="7"/>
      <c r="W17" s="27">
        <f t="shared" si="2"/>
        <v>-3569.952392578125</v>
      </c>
      <c r="X17" s="27">
        <f t="shared" si="3"/>
        <v>6304.728515625</v>
      </c>
      <c r="Y17" s="27">
        <f t="shared" si="4"/>
        <v>-3569.952392578125</v>
      </c>
      <c r="Z17" s="27">
        <f t="shared" si="5"/>
        <v>6304.728515625</v>
      </c>
      <c r="AA17" s="32">
        <f t="shared" si="6"/>
        <v>0.3735103564276565</v>
      </c>
      <c r="AB17" s="33">
        <f t="shared" si="7"/>
        <v>0.42085721322136277</v>
      </c>
      <c r="AC17" s="33">
        <v>0.5</v>
      </c>
      <c r="AD17" s="33">
        <f t="shared" si="8"/>
        <v>0.5539482918912555</v>
      </c>
      <c r="AE17" s="33">
        <f t="shared" si="9"/>
        <v>1</v>
      </c>
      <c r="AF17" s="33">
        <f t="shared" si="10"/>
        <v>-999</v>
      </c>
      <c r="AG17" s="33">
        <f t="shared" si="11"/>
        <v>-999</v>
      </c>
      <c r="AH17" s="33">
        <f t="shared" si="12"/>
        <v>0.5551466807042035</v>
      </c>
      <c r="AI17" s="34">
        <f t="shared" si="13"/>
        <v>0.5450423517132963</v>
      </c>
      <c r="AJ17" s="4">
        <v>13.462005546258133</v>
      </c>
      <c r="AK17" s="32">
        <f t="shared" si="14"/>
        <v>-999</v>
      </c>
      <c r="AL17" s="34">
        <f t="shared" si="15"/>
        <v>0.5551466807042035</v>
      </c>
      <c r="AY17" s="103" t="s">
        <v>103</v>
      </c>
      <c r="AZ17" s="103" t="s">
        <v>104</v>
      </c>
      <c r="BA17" s="103" t="s">
        <v>355</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251</v>
      </c>
      <c r="E18" s="80">
        <f>IF(LEFT(VLOOKUP($B18,'Indicator chart'!$D$1:$J$36,5,FALSE),1)=" "," ",VLOOKUP($B18,'Indicator chart'!$D$1:$J$36,5,FALSE))</f>
        <v>1.179528122</v>
      </c>
      <c r="F18" s="81">
        <f>IF(LEFT(VLOOKUP($B18,'Indicator chart'!$D$1:$J$36,6,FALSE),1)=" "," ",VLOOKUP($B18,'Indicator chart'!$D$1:$J$36,6,FALSE))</f>
        <v>1.038107224</v>
      </c>
      <c r="G18" s="38">
        <f>IF(LEFT(VLOOKUP($B18,'Indicator chart'!$D$1:$J$36,7,FALSE),1)=" "," ",VLOOKUP($B18,'Indicator chart'!$D$1:$J$36,7,FALSE))</f>
        <v>1.3348382570000001</v>
      </c>
      <c r="H18" s="50">
        <f>IF(LEFT(F18,1)=" ",4,IF(AND(ABS(N18-E18)&gt;SQRT((E18-G18)^2+(N18-R18)^2),E18&lt;N18),1,IF(AND(ABS(N18-E18)&gt;SQRT((E18-F18)^2+(N18-S18)^2),E18&gt;N18),3,2)))</f>
        <v>3</v>
      </c>
      <c r="I18" s="38">
        <v>0.11841097474098206</v>
      </c>
      <c r="J18" s="38"/>
      <c r="K18" s="38">
        <v>1</v>
      </c>
      <c r="L18" s="38"/>
      <c r="M18" s="38">
        <v>3.7894058227539062</v>
      </c>
      <c r="N18" s="80">
        <v>1</v>
      </c>
      <c r="O18" s="80">
        <f>VLOOKUP('Hide - Control'!C$3,'All practice data'!A:CA,A18+29,FALSE)</f>
        <v>1</v>
      </c>
      <c r="P18" s="38">
        <f>VLOOKUP('Hide - Control'!$B$4,'All practice data'!B:BC,A18+2,FALSE)</f>
        <v>7192</v>
      </c>
      <c r="Q18" s="38">
        <f>VLOOKUP('Hide - Control'!$B$4,'All practice data'!B:BC,14,FALSE)</f>
        <v>7192</v>
      </c>
      <c r="R18" s="81">
        <v>1</v>
      </c>
      <c r="S18" s="38">
        <v>1</v>
      </c>
      <c r="T18" s="53">
        <f t="shared" si="19"/>
        <v>3.7894058227539062</v>
      </c>
      <c r="U18" s="51">
        <f t="shared" si="20"/>
        <v>0.11841097474098206</v>
      </c>
      <c r="V18" s="7"/>
      <c r="W18" s="27">
        <f>IF((K18-I18)&gt;(M18-K18),I18,(K18-(M18-K18)))</f>
        <v>-1.7894058227539062</v>
      </c>
      <c r="X18" s="27">
        <f t="shared" si="3"/>
        <v>3.7894058227539062</v>
      </c>
      <c r="Y18" s="27">
        <f t="shared" si="4"/>
        <v>-1.7894058227539062</v>
      </c>
      <c r="Z18" s="27">
        <f t="shared" si="5"/>
        <v>3.7894058227539062</v>
      </c>
      <c r="AA18" s="32" t="s">
        <v>355</v>
      </c>
      <c r="AB18" s="33" t="s">
        <v>355</v>
      </c>
      <c r="AC18" s="33">
        <v>0.5</v>
      </c>
      <c r="AD18" s="33" t="s">
        <v>355</v>
      </c>
      <c r="AE18" s="33" t="s">
        <v>355</v>
      </c>
      <c r="AF18" s="33">
        <f t="shared" si="10"/>
        <v>-999</v>
      </c>
      <c r="AG18" s="33">
        <f t="shared" si="11"/>
        <v>-999</v>
      </c>
      <c r="AH18" s="33">
        <f t="shared" si="12"/>
        <v>0.5321803519114254</v>
      </c>
      <c r="AI18" s="34">
        <v>0.5</v>
      </c>
      <c r="AJ18" s="4">
        <v>14.538000971640056</v>
      </c>
      <c r="AK18" s="32">
        <f t="shared" si="14"/>
        <v>-999</v>
      </c>
      <c r="AL18" s="34">
        <f t="shared" si="15"/>
        <v>0.5321803519114254</v>
      </c>
      <c r="AY18" s="103" t="s">
        <v>105</v>
      </c>
      <c r="AZ18" s="103" t="s">
        <v>106</v>
      </c>
      <c r="BA18" s="103" t="s">
        <v>355</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14</v>
      </c>
      <c r="E19" s="38">
        <f>IF(LEFT(VLOOKUP($B19,'Indicator chart'!$D$1:$J$36,5,FALSE),1)=" "," ",VLOOKUP($B19,'Indicator chart'!$D$1:$J$36,5,FALSE))</f>
        <v>0.055776892430278883</v>
      </c>
      <c r="F19" s="38">
        <f>IF(LEFT(VLOOKUP($B19,'Indicator chart'!$D$1:$J$36,6,FALSE),1)=" "," ",VLOOKUP($B19,'Indicator chart'!$D$1:$J$36,6,FALSE))</f>
        <v>0.03351211582953218</v>
      </c>
      <c r="G19" s="38">
        <f>IF(LEFT(VLOOKUP($B19,'Indicator chart'!$D$1:$J$36,7,FALSE),1)=" "," ",VLOOKUP($B19,'Indicator chart'!$D$1:$J$36,7,FALSE))</f>
        <v>0.0914345176871307</v>
      </c>
      <c r="H19" s="50">
        <f t="shared" si="0"/>
        <v>1</v>
      </c>
      <c r="I19" s="38">
        <v>0.02070442959666252</v>
      </c>
      <c r="J19" s="38">
        <v>0.06956695765256882</v>
      </c>
      <c r="K19" s="38">
        <v>0.09392454475164413</v>
      </c>
      <c r="L19" s="38">
        <v>0.14531674981117249</v>
      </c>
      <c r="M19" s="38">
        <v>0.375</v>
      </c>
      <c r="N19" s="80">
        <f>VLOOKUP('Hide - Control'!B$3,'All practice data'!A:CA,A19+29,FALSE)</f>
        <v>0.10901001112347053</v>
      </c>
      <c r="O19" s="80">
        <f>VLOOKUP('Hide - Control'!C$3,'All practice data'!A:CA,A19+29,FALSE)</f>
        <v>0.10919341638628717</v>
      </c>
      <c r="P19" s="38">
        <f>VLOOKUP('Hide - Control'!$B$4,'All practice data'!B:BC,A19+2,FALSE)</f>
        <v>784</v>
      </c>
      <c r="Q19" s="38">
        <f>VLOOKUP('Hide - Control'!$B$4,'All practice data'!B:BC,15,FALSE)</f>
        <v>7192</v>
      </c>
      <c r="R19" s="38">
        <f>+((2*P19+1.96^2-1.96*SQRT(1.96^2+4*P19*(1-P19/Q19)))/(2*(Q19+1.96^2)))</f>
        <v>0.10201485336460056</v>
      </c>
      <c r="S19" s="38">
        <f>+((2*P19+1.96^2+1.96*SQRT(1.96^2+4*P19*(1-P19/Q19)))/(2*(Q19+1.96^2)))</f>
        <v>0.11642263975642646</v>
      </c>
      <c r="T19" s="53">
        <f t="shared" si="19"/>
        <v>0.375</v>
      </c>
      <c r="U19" s="51">
        <f t="shared" si="20"/>
        <v>0.02070442959666252</v>
      </c>
      <c r="V19" s="7"/>
      <c r="W19" s="27">
        <f t="shared" si="2"/>
        <v>-0.18715091049671173</v>
      </c>
      <c r="X19" s="27">
        <f t="shared" si="3"/>
        <v>0.375</v>
      </c>
      <c r="Y19" s="27">
        <f t="shared" si="4"/>
        <v>-0.18715091049671173</v>
      </c>
      <c r="Z19" s="27">
        <f t="shared" si="5"/>
        <v>0.375</v>
      </c>
      <c r="AA19" s="32">
        <f t="shared" si="6"/>
        <v>0.36975007282246514</v>
      </c>
      <c r="AB19" s="33">
        <f t="shared" si="7"/>
        <v>0.45667073263733904</v>
      </c>
      <c r="AC19" s="33">
        <v>0.5</v>
      </c>
      <c r="AD19" s="33">
        <f t="shared" si="8"/>
        <v>0.5914206560905837</v>
      </c>
      <c r="AE19" s="33">
        <f t="shared" si="9"/>
        <v>1</v>
      </c>
      <c r="AF19" s="33">
        <f t="shared" si="10"/>
        <v>-999</v>
      </c>
      <c r="AG19" s="33">
        <f t="shared" si="11"/>
        <v>-999</v>
      </c>
      <c r="AH19" s="33">
        <f t="shared" si="12"/>
        <v>0.4321398371699544</v>
      </c>
      <c r="AI19" s="34">
        <f t="shared" si="13"/>
        <v>0.5271615172181284</v>
      </c>
      <c r="AJ19" s="4">
        <v>15.61399639702198</v>
      </c>
      <c r="AK19" s="32">
        <f t="shared" si="14"/>
        <v>0.4321398371699544</v>
      </c>
      <c r="AL19" s="34">
        <f t="shared" si="15"/>
        <v>-999</v>
      </c>
      <c r="AY19" s="103" t="s">
        <v>270</v>
      </c>
      <c r="AZ19" s="103" t="s">
        <v>475</v>
      </c>
      <c r="BA19" s="103" t="s">
        <v>355</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54</v>
      </c>
      <c r="E20" s="38">
        <f>IF(LEFT(VLOOKUP($B20,'Indicator chart'!$D$1:$J$36,5,FALSE),1)=" "," ",VLOOKUP($B20,'Indicator chart'!$D$1:$J$36,5,FALSE))</f>
        <v>0.25925925925925924</v>
      </c>
      <c r="F20" s="38">
        <f>IF(LEFT(VLOOKUP($B20,'Indicator chart'!$D$1:$J$36,6,FALSE),1)=" "," ",VLOOKUP($B20,'Indicator chart'!$D$1:$J$36,6,FALSE))</f>
        <v>0.16118507964793902</v>
      </c>
      <c r="G20" s="38">
        <f>IF(LEFT(VLOOKUP($B20,'Indicator chart'!$D$1:$J$36,7,FALSE),1)=" "," ",VLOOKUP($B20,'Indicator chart'!$D$1:$J$36,7,FALSE))</f>
        <v>0.389311448802173</v>
      </c>
      <c r="H20" s="50">
        <f t="shared" si="0"/>
        <v>1</v>
      </c>
      <c r="I20" s="38">
        <v>0.09238772839307785</v>
      </c>
      <c r="J20" s="38">
        <v>0.16346153616905212</v>
      </c>
      <c r="K20" s="38">
        <v>0.37123170495033264</v>
      </c>
      <c r="L20" s="38">
        <v>0.4612937569618225</v>
      </c>
      <c r="M20" s="38">
        <v>0.6000000238418579</v>
      </c>
      <c r="N20" s="80">
        <f>VLOOKUP('Hide - Control'!B$3,'All practice data'!A:CA,A20+29,FALSE)</f>
        <v>0.399592252803262</v>
      </c>
      <c r="O20" s="80">
        <f>VLOOKUP('Hide - Control'!C$3,'All practice data'!A:CA,A20+29,FALSE)</f>
        <v>0.4534552930810221</v>
      </c>
      <c r="P20" s="38">
        <f>VLOOKUP('Hide - Control'!$B$4,'All practice data'!B:BC,A20+1,FALSE)</f>
        <v>784</v>
      </c>
      <c r="Q20" s="38">
        <f>VLOOKUP('Hide - Control'!$B$4,'All practice data'!B:BC,A20+2,FALSE)</f>
        <v>1962</v>
      </c>
      <c r="R20" s="38">
        <f>+((2*P20+1.96^2-1.96*SQRT(1.96^2+4*P20*(1-P20/Q20)))/(2*(Q20+1.96^2)))</f>
        <v>0.3781348070982248</v>
      </c>
      <c r="S20" s="38">
        <f>+((2*P20+1.96^2+1.96*SQRT(1.96^2+4*P20*(1-P20/Q20)))/(2*(Q20+1.96^2)))</f>
        <v>0.4214421272793975</v>
      </c>
      <c r="T20" s="53">
        <f t="shared" si="19"/>
        <v>0.6000000238418579</v>
      </c>
      <c r="U20" s="51">
        <f t="shared" si="20"/>
        <v>0.09238772839307785</v>
      </c>
      <c r="V20" s="7"/>
      <c r="W20" s="27">
        <f t="shared" si="2"/>
        <v>0.09238772839307785</v>
      </c>
      <c r="X20" s="27">
        <f t="shared" si="3"/>
        <v>0.6500756815075874</v>
      </c>
      <c r="Y20" s="27">
        <f t="shared" si="4"/>
        <v>0.09238772839307785</v>
      </c>
      <c r="Z20" s="27">
        <f t="shared" si="5"/>
        <v>0.6500756815075874</v>
      </c>
      <c r="AA20" s="32">
        <f t="shared" si="6"/>
        <v>0</v>
      </c>
      <c r="AB20" s="33">
        <f t="shared" si="7"/>
        <v>0.12744368491205466</v>
      </c>
      <c r="AC20" s="33">
        <v>0.5</v>
      </c>
      <c r="AD20" s="33">
        <f t="shared" si="8"/>
        <v>0.6614918369825312</v>
      </c>
      <c r="AE20" s="33">
        <f t="shared" si="9"/>
        <v>0.9102084644538708</v>
      </c>
      <c r="AF20" s="33">
        <f t="shared" si="10"/>
        <v>-999</v>
      </c>
      <c r="AG20" s="33">
        <f t="shared" si="11"/>
        <v>-999</v>
      </c>
      <c r="AH20" s="33">
        <f t="shared" si="12"/>
        <v>0.29922025378934053</v>
      </c>
      <c r="AI20" s="34">
        <f t="shared" si="13"/>
        <v>0.6474365506220763</v>
      </c>
      <c r="AJ20" s="4">
        <v>16.689991822403904</v>
      </c>
      <c r="AK20" s="32">
        <f t="shared" si="14"/>
        <v>0.29922025378934053</v>
      </c>
      <c r="AL20" s="34">
        <f t="shared" si="15"/>
        <v>-999</v>
      </c>
      <c r="AY20" s="103" t="s">
        <v>211</v>
      </c>
      <c r="AZ20" s="103" t="s">
        <v>456</v>
      </c>
      <c r="BA20" s="103" t="s">
        <v>355</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58</v>
      </c>
      <c r="E21" s="38">
        <f>IF(LEFT(VLOOKUP($B21,'Indicator chart'!$D$1:$J$36,5,FALSE),1)=" "," ",VLOOKUP($B21,'Indicator chart'!$D$1:$J$36,5,FALSE))</f>
        <v>441.8037781840341</v>
      </c>
      <c r="F21" s="38">
        <f>IF(LEFT(VLOOKUP($B21,'Indicator chart'!$D$1:$J$36,6,FALSE),1)=" "," ",VLOOKUP($B21,'Indicator chart'!$D$1:$J$36,6,FALSE))</f>
        <v>335.4584747268033</v>
      </c>
      <c r="G21" s="38">
        <f>IF(LEFT(VLOOKUP($B21,'Indicator chart'!$D$1:$J$36,7,FALSE),1)=" "," ",VLOOKUP($B21,'Indicator chart'!$D$1:$J$36,7,FALSE))</f>
        <v>571.1465292629799</v>
      </c>
      <c r="H21" s="50">
        <f t="shared" si="0"/>
        <v>2</v>
      </c>
      <c r="I21" s="38">
        <v>61.46357345581055</v>
      </c>
      <c r="J21" s="38">
        <v>191.06321716308594</v>
      </c>
      <c r="K21" s="38">
        <v>338.3681945800781</v>
      </c>
      <c r="L21" s="38">
        <v>450.66131591796875</v>
      </c>
      <c r="M21" s="38">
        <v>908.173583984375</v>
      </c>
      <c r="N21" s="80">
        <f>VLOOKUP('Hide - Control'!B$3,'All practice data'!A:CA,A21+29,FALSE)</f>
        <v>371.804837282028</v>
      </c>
      <c r="O21" s="80">
        <f>VLOOKUP('Hide - Control'!C$3,'All practice data'!A:CA,A21+29,FALSE)</f>
        <v>377.7293140102421</v>
      </c>
      <c r="P21" s="38">
        <f>VLOOKUP('Hide - Control'!$B$4,'All practice data'!B:BC,A21+2,FALSE)</f>
        <v>1655</v>
      </c>
      <c r="Q21" s="38">
        <f>VLOOKUP('Hide - Control'!$B$4,'All practice data'!B:BC,3,FALSE)</f>
        <v>445126</v>
      </c>
      <c r="R21" s="38">
        <f aca="true" t="shared" si="21" ref="R21:R27">100000*(P21*(1-1/(9*P21)-1.96/(3*SQRT(P21)))^3)/Q21</f>
        <v>354.1053258466736</v>
      </c>
      <c r="S21" s="38">
        <f aca="true" t="shared" si="22" ref="S21:S27">100000*((P21+1)*(1-1/(9*(P21+1))+1.96/(3*SQRT(P21+1)))^3)/Q21</f>
        <v>390.1599742794429</v>
      </c>
      <c r="T21" s="53">
        <f t="shared" si="19"/>
        <v>908.173583984375</v>
      </c>
      <c r="U21" s="51">
        <f t="shared" si="20"/>
        <v>61.46357345581055</v>
      </c>
      <c r="V21" s="7"/>
      <c r="W21" s="27">
        <f t="shared" si="2"/>
        <v>-231.43719482421875</v>
      </c>
      <c r="X21" s="27">
        <f t="shared" si="3"/>
        <v>908.173583984375</v>
      </c>
      <c r="Y21" s="27">
        <f t="shared" si="4"/>
        <v>-231.43719482421875</v>
      </c>
      <c r="Z21" s="27">
        <f t="shared" si="5"/>
        <v>908.173583984375</v>
      </c>
      <c r="AA21" s="32">
        <f t="shared" si="6"/>
        <v>0.2570182502013911</v>
      </c>
      <c r="AB21" s="33">
        <f t="shared" si="7"/>
        <v>0.37074097564170794</v>
      </c>
      <c r="AC21" s="33">
        <v>0.5</v>
      </c>
      <c r="AD21" s="33">
        <f t="shared" si="8"/>
        <v>0.5985363805134306</v>
      </c>
      <c r="AE21" s="33">
        <f t="shared" si="9"/>
        <v>1</v>
      </c>
      <c r="AF21" s="33">
        <f t="shared" si="10"/>
        <v>-999</v>
      </c>
      <c r="AG21" s="33">
        <f t="shared" si="11"/>
        <v>0.5907639568942062</v>
      </c>
      <c r="AH21" s="33">
        <f t="shared" si="12"/>
        <v>-999</v>
      </c>
      <c r="AI21" s="34">
        <f t="shared" si="13"/>
        <v>0.5345390901543718</v>
      </c>
      <c r="AJ21" s="4">
        <v>17.765987247785823</v>
      </c>
      <c r="AK21" s="32">
        <f t="shared" si="14"/>
        <v>-999</v>
      </c>
      <c r="AL21" s="34">
        <f t="shared" si="15"/>
        <v>-999</v>
      </c>
      <c r="AY21" s="103" t="s">
        <v>123</v>
      </c>
      <c r="AZ21" s="103" t="s">
        <v>430</v>
      </c>
      <c r="BA21" s="103" t="s">
        <v>355</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50</v>
      </c>
      <c r="E22" s="38">
        <f>IF(LEFT(VLOOKUP($B22,'Indicator chart'!$D$1:$J$36,5,FALSE),1)=" "," ",VLOOKUP($B22,'Indicator chart'!$D$1:$J$36,5,FALSE))</f>
        <v>380.86532602071907</v>
      </c>
      <c r="F22" s="38">
        <f>IF(LEFT(VLOOKUP($B22,'Indicator chart'!$D$1:$J$36,6,FALSE),1)=" "," ",VLOOKUP($B22,'Indicator chart'!$D$1:$J$36,6,FALSE))</f>
        <v>282.6621850474913</v>
      </c>
      <c r="G22" s="38">
        <f>IF(LEFT(VLOOKUP($B22,'Indicator chart'!$D$1:$J$36,7,FALSE),1)=" "," ",VLOOKUP($B22,'Indicator chart'!$D$1:$J$36,7,FALSE))</f>
        <v>502.13636415414146</v>
      </c>
      <c r="H22" s="50">
        <f t="shared" si="0"/>
        <v>3</v>
      </c>
      <c r="I22" s="38">
        <v>18.07059669494629</v>
      </c>
      <c r="J22" s="38">
        <v>50.595130920410156</v>
      </c>
      <c r="K22" s="38">
        <v>159.27305603027344</v>
      </c>
      <c r="L22" s="38">
        <v>289.4300537109375</v>
      </c>
      <c r="M22" s="38">
        <v>700.525390625</v>
      </c>
      <c r="N22" s="80">
        <f>VLOOKUP('Hide - Control'!B$3,'All practice data'!A:CA,A22+29,FALSE)</f>
        <v>239.25809770716606</v>
      </c>
      <c r="O22" s="80">
        <f>VLOOKUP('Hide - Control'!C$3,'All practice data'!A:CA,A22+29,FALSE)</f>
        <v>282.45290788403287</v>
      </c>
      <c r="P22" s="38">
        <f>VLOOKUP('Hide - Control'!$B$4,'All practice data'!B:BC,A22+2,FALSE)</f>
        <v>1065</v>
      </c>
      <c r="Q22" s="38">
        <f>VLOOKUP('Hide - Control'!$B$4,'All practice data'!B:BC,3,FALSE)</f>
        <v>445126</v>
      </c>
      <c r="R22" s="38">
        <f t="shared" si="21"/>
        <v>225.10224064623043</v>
      </c>
      <c r="S22" s="38">
        <f t="shared" si="22"/>
        <v>254.07089850380132</v>
      </c>
      <c r="T22" s="53">
        <f t="shared" si="19"/>
        <v>700.525390625</v>
      </c>
      <c r="U22" s="51">
        <f t="shared" si="20"/>
        <v>18.07059669494629</v>
      </c>
      <c r="V22" s="7"/>
      <c r="W22" s="27">
        <f t="shared" si="2"/>
        <v>-381.9792785644531</v>
      </c>
      <c r="X22" s="27">
        <f t="shared" si="3"/>
        <v>700.525390625</v>
      </c>
      <c r="Y22" s="27">
        <f t="shared" si="4"/>
        <v>-381.9792785644531</v>
      </c>
      <c r="Z22" s="27">
        <f t="shared" si="5"/>
        <v>700.525390625</v>
      </c>
      <c r="AA22" s="32">
        <f t="shared" si="6"/>
        <v>0.3695594916546131</v>
      </c>
      <c r="AB22" s="33">
        <f t="shared" si="7"/>
        <v>0.39960512115736363</v>
      </c>
      <c r="AC22" s="33">
        <v>0.5</v>
      </c>
      <c r="AD22" s="33">
        <f t="shared" si="8"/>
        <v>0.6202368926298689</v>
      </c>
      <c r="AE22" s="33">
        <f t="shared" si="9"/>
        <v>1</v>
      </c>
      <c r="AF22" s="33">
        <f t="shared" si="10"/>
        <v>-999</v>
      </c>
      <c r="AG22" s="33">
        <f t="shared" si="11"/>
        <v>-999</v>
      </c>
      <c r="AH22" s="33">
        <f t="shared" si="12"/>
        <v>0.7047032925561117</v>
      </c>
      <c r="AI22" s="34">
        <f t="shared" si="13"/>
        <v>0.613791520128955</v>
      </c>
      <c r="AJ22" s="4">
        <v>18.841982673167745</v>
      </c>
      <c r="AK22" s="32">
        <f t="shared" si="14"/>
        <v>-999</v>
      </c>
      <c r="AL22" s="34">
        <f t="shared" si="15"/>
        <v>0.7047032925561117</v>
      </c>
      <c r="AY22" s="103" t="s">
        <v>149</v>
      </c>
      <c r="AZ22" s="103" t="s">
        <v>440</v>
      </c>
      <c r="BA22" s="103" t="s">
        <v>355</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0</v>
      </c>
      <c r="K23" s="38">
        <v>23.28753662109375</v>
      </c>
      <c r="L23" s="38">
        <v>53.49069595336914</v>
      </c>
      <c r="M23" s="38">
        <v>170.06802368164062</v>
      </c>
      <c r="N23" s="80">
        <f>VLOOKUP('Hide - Control'!B$3,'All practice data'!A:CA,A23+29,FALSE)</f>
        <v>37.742122455214925</v>
      </c>
      <c r="O23" s="80">
        <f>VLOOKUP('Hide - Control'!C$3,'All practice data'!A:CA,A23+29,FALSE)</f>
        <v>70.46674929228394</v>
      </c>
      <c r="P23" s="38">
        <f>VLOOKUP('Hide - Control'!$B$4,'All practice data'!B:BC,A23+2,FALSE)</f>
        <v>168</v>
      </c>
      <c r="Q23" s="38">
        <f>VLOOKUP('Hide - Control'!$B$4,'All practice data'!B:BC,3,FALSE)</f>
        <v>445126</v>
      </c>
      <c r="R23" s="38">
        <f t="shared" si="21"/>
        <v>32.25022741152941</v>
      </c>
      <c r="S23" s="38">
        <f t="shared" si="22"/>
        <v>43.900948408694966</v>
      </c>
      <c r="T23" s="53">
        <f t="shared" si="19"/>
        <v>170.06802368164062</v>
      </c>
      <c r="U23" s="51">
        <f t="shared" si="20"/>
        <v>3.248678207397461</v>
      </c>
      <c r="V23" s="7"/>
      <c r="W23" s="27">
        <f t="shared" si="2"/>
        <v>-123.49295043945312</v>
      </c>
      <c r="X23" s="27">
        <f t="shared" si="3"/>
        <v>170.06802368164062</v>
      </c>
      <c r="Y23" s="27">
        <f t="shared" si="4"/>
        <v>-123.49295043945312</v>
      </c>
      <c r="Z23" s="27">
        <f t="shared" si="5"/>
        <v>170.06802368164062</v>
      </c>
      <c r="AA23" s="32">
        <f t="shared" si="6"/>
        <v>0.43173868402061416</v>
      </c>
      <c r="AB23" s="33">
        <f t="shared" si="7"/>
        <v>0.4206722327761194</v>
      </c>
      <c r="AC23" s="33">
        <v>0.5</v>
      </c>
      <c r="AD23" s="33">
        <f t="shared" si="8"/>
        <v>0.6028854718264308</v>
      </c>
      <c r="AE23" s="33">
        <f t="shared" si="9"/>
        <v>1</v>
      </c>
      <c r="AF23" s="33">
        <f t="shared" si="10"/>
        <v>-999</v>
      </c>
      <c r="AG23" s="33">
        <f t="shared" si="11"/>
        <v>-999</v>
      </c>
      <c r="AH23" s="33">
        <f t="shared" si="12"/>
        <v>-999</v>
      </c>
      <c r="AI23" s="34">
        <f t="shared" si="13"/>
        <v>0.6607135035998647</v>
      </c>
      <c r="AJ23" s="4">
        <v>19.917978098549675</v>
      </c>
      <c r="AK23" s="32">
        <f t="shared" si="14"/>
        <v>-999</v>
      </c>
      <c r="AL23" s="34">
        <f t="shared" si="15"/>
        <v>-999</v>
      </c>
      <c r="AY23" s="103" t="s">
        <v>264</v>
      </c>
      <c r="AZ23" s="103" t="s">
        <v>265</v>
      </c>
      <c r="BA23" s="103" t="s">
        <v>355</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84</v>
      </c>
      <c r="E24" s="38">
        <f>IF(LEFT(VLOOKUP($B24,'Indicator chart'!$D$1:$J$36,5,FALSE),1)=" "," ",VLOOKUP($B24,'Indicator chart'!$D$1:$J$36,5,FALSE))</f>
        <v>639.853747714808</v>
      </c>
      <c r="F24" s="38">
        <f>IF(LEFT(VLOOKUP($B24,'Indicator chart'!$D$1:$J$36,6,FALSE),1)=" "," ",VLOOKUP($B24,'Indicator chart'!$D$1:$J$36,6,FALSE))</f>
        <v>510.354314065696</v>
      </c>
      <c r="G24" s="38">
        <f>IF(LEFT(VLOOKUP($B24,'Indicator chart'!$D$1:$J$36,7,FALSE),1)=" "," ",VLOOKUP($B24,'Indicator chart'!$D$1:$J$36,7,FALSE))</f>
        <v>792.1945833651689</v>
      </c>
      <c r="H24" s="50">
        <f t="shared" si="0"/>
        <v>3</v>
      </c>
      <c r="I24" s="38">
        <v>27.3076171875</v>
      </c>
      <c r="J24" s="38">
        <v>83.92949676513672</v>
      </c>
      <c r="K24" s="38">
        <v>173.85826110839844</v>
      </c>
      <c r="L24" s="38">
        <v>318.4963684082031</v>
      </c>
      <c r="M24" s="38">
        <v>1996.497314453125</v>
      </c>
      <c r="N24" s="80">
        <f>VLOOKUP('Hide - Control'!B$3,'All practice data'!A:CA,A24+29,FALSE)</f>
        <v>267.56468954857723</v>
      </c>
      <c r="O24" s="80">
        <f>VLOOKUP('Hide - Control'!C$3,'All practice data'!A:CA,A24+29,FALSE)</f>
        <v>323.23046266988894</v>
      </c>
      <c r="P24" s="38">
        <f>VLOOKUP('Hide - Control'!$B$4,'All practice data'!B:BC,A24+2,FALSE)</f>
        <v>1191</v>
      </c>
      <c r="Q24" s="38">
        <f>VLOOKUP('Hide - Control'!$B$4,'All practice data'!B:BC,3,FALSE)</f>
        <v>445126</v>
      </c>
      <c r="R24" s="38">
        <f t="shared" si="21"/>
        <v>252.58249353706432</v>
      </c>
      <c r="S24" s="38">
        <f t="shared" si="22"/>
        <v>283.203467322773</v>
      </c>
      <c r="T24" s="53">
        <f t="shared" si="19"/>
        <v>1996.497314453125</v>
      </c>
      <c r="U24" s="51">
        <f t="shared" si="20"/>
        <v>27.3076171875</v>
      </c>
      <c r="V24" s="7"/>
      <c r="W24" s="27">
        <f t="shared" si="2"/>
        <v>-1648.7807922363281</v>
      </c>
      <c r="X24" s="27">
        <f t="shared" si="3"/>
        <v>1996.497314453125</v>
      </c>
      <c r="Y24" s="27">
        <f t="shared" si="4"/>
        <v>-1648.7807922363281</v>
      </c>
      <c r="Z24" s="27">
        <f t="shared" si="5"/>
        <v>1996.497314453125</v>
      </c>
      <c r="AA24" s="32">
        <f t="shared" si="6"/>
        <v>0.45979712942835194</v>
      </c>
      <c r="AB24" s="33">
        <f t="shared" si="7"/>
        <v>0.4753300676351049</v>
      </c>
      <c r="AC24" s="33">
        <v>0.5</v>
      </c>
      <c r="AD24" s="33">
        <f t="shared" si="8"/>
        <v>0.5396782091973666</v>
      </c>
      <c r="AE24" s="33">
        <f t="shared" si="9"/>
        <v>1</v>
      </c>
      <c r="AF24" s="33">
        <f t="shared" si="10"/>
        <v>-999</v>
      </c>
      <c r="AG24" s="33">
        <f t="shared" si="11"/>
        <v>-999</v>
      </c>
      <c r="AH24" s="33">
        <f t="shared" si="12"/>
        <v>0.6278353730408829</v>
      </c>
      <c r="AI24" s="34">
        <f t="shared" si="13"/>
        <v>0.5409769014022215</v>
      </c>
      <c r="AJ24" s="4">
        <v>20.99397352393159</v>
      </c>
      <c r="AK24" s="32">
        <f t="shared" si="14"/>
        <v>-999</v>
      </c>
      <c r="AL24" s="34">
        <f t="shared" si="15"/>
        <v>0.6278353730408829</v>
      </c>
      <c r="AY24" s="103" t="s">
        <v>65</v>
      </c>
      <c r="AZ24" s="103" t="s">
        <v>66</v>
      </c>
      <c r="BA24" s="103" t="s">
        <v>536</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70</v>
      </c>
      <c r="E25" s="38">
        <f>IF(LEFT(VLOOKUP($B25,'Indicator chart'!$D$1:$J$36,5,FALSE),1)=" "," ",VLOOKUP($B25,'Indicator chart'!$D$1:$J$36,5,FALSE))</f>
        <v>533.2114564290067</v>
      </c>
      <c r="F25" s="38">
        <f>IF(LEFT(VLOOKUP($B25,'Indicator chart'!$D$1:$J$36,6,FALSE),1)=" "," ",VLOOKUP($B25,'Indicator chart'!$D$1:$J$36,6,FALSE))</f>
        <v>415.6447721938768</v>
      </c>
      <c r="G25" s="38">
        <f>IF(LEFT(VLOOKUP($B25,'Indicator chart'!$D$1:$J$36,7,FALSE),1)=" "," ",VLOOKUP($B25,'Indicator chart'!$D$1:$J$36,7,FALSE))</f>
        <v>673.6929955955128</v>
      </c>
      <c r="H25" s="50">
        <f t="shared" si="0"/>
        <v>3</v>
      </c>
      <c r="I25" s="38">
        <v>94.88666534423828</v>
      </c>
      <c r="J25" s="38">
        <v>215.13690185546875</v>
      </c>
      <c r="K25" s="38">
        <v>377.7406921386719</v>
      </c>
      <c r="L25" s="38">
        <v>467.1664123535156</v>
      </c>
      <c r="M25" s="38">
        <v>980.7355346679688</v>
      </c>
      <c r="N25" s="80">
        <f>VLOOKUP('Hide - Control'!B$3,'All practice data'!A:CA,A25+29,FALSE)</f>
        <v>395.6183193073422</v>
      </c>
      <c r="O25" s="80">
        <f>VLOOKUP('Hide - Control'!C$3,'All practice data'!A:CA,A25+29,FALSE)</f>
        <v>562.6134400960308</v>
      </c>
      <c r="P25" s="38">
        <f>VLOOKUP('Hide - Control'!$B$4,'All practice data'!B:BC,A25+2,FALSE)</f>
        <v>1761</v>
      </c>
      <c r="Q25" s="38">
        <f>VLOOKUP('Hide - Control'!$B$4,'All practice data'!B:BC,3,FALSE)</f>
        <v>445126</v>
      </c>
      <c r="R25" s="38">
        <f t="shared" si="21"/>
        <v>377.35403086756077</v>
      </c>
      <c r="S25" s="38">
        <f t="shared" si="22"/>
        <v>414.53806967249636</v>
      </c>
      <c r="T25" s="53">
        <f t="shared" si="19"/>
        <v>980.7355346679688</v>
      </c>
      <c r="U25" s="51">
        <f t="shared" si="20"/>
        <v>94.88666534423828</v>
      </c>
      <c r="V25" s="7"/>
      <c r="W25" s="27">
        <f t="shared" si="2"/>
        <v>-225.254150390625</v>
      </c>
      <c r="X25" s="27">
        <f t="shared" si="3"/>
        <v>980.7355346679688</v>
      </c>
      <c r="Y25" s="27">
        <f t="shared" si="4"/>
        <v>-225.254150390625</v>
      </c>
      <c r="Z25" s="27">
        <f t="shared" si="5"/>
        <v>980.7355346679688</v>
      </c>
      <c r="AA25" s="32">
        <f t="shared" si="6"/>
        <v>0.26545899994103933</v>
      </c>
      <c r="AB25" s="33">
        <f t="shared" si="7"/>
        <v>0.36516983329314057</v>
      </c>
      <c r="AC25" s="33">
        <v>0.5</v>
      </c>
      <c r="AD25" s="33">
        <f t="shared" si="8"/>
        <v>0.5741513143294413</v>
      </c>
      <c r="AE25" s="33">
        <f t="shared" si="9"/>
        <v>1</v>
      </c>
      <c r="AF25" s="33">
        <f t="shared" si="10"/>
        <v>-999</v>
      </c>
      <c r="AG25" s="33">
        <f t="shared" si="11"/>
        <v>-999</v>
      </c>
      <c r="AH25" s="33">
        <f t="shared" si="12"/>
        <v>0.6289155008674732</v>
      </c>
      <c r="AI25" s="34">
        <f t="shared" si="13"/>
        <v>0.6532954636741994</v>
      </c>
      <c r="AJ25" s="4">
        <v>22.06996894931352</v>
      </c>
      <c r="AK25" s="32">
        <f t="shared" si="14"/>
        <v>-999</v>
      </c>
      <c r="AL25" s="34">
        <f t="shared" si="15"/>
        <v>0.6289155008674732</v>
      </c>
      <c r="AY25" s="103" t="s">
        <v>257</v>
      </c>
      <c r="AZ25" s="103" t="s">
        <v>258</v>
      </c>
      <c r="BA25" s="103" t="s">
        <v>536</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51</v>
      </c>
      <c r="E26" s="38">
        <f>IF(LEFT(VLOOKUP($B26,'Indicator chart'!$D$1:$J$36,5,FALSE),1)=" "," ",VLOOKUP($B26,'Indicator chart'!$D$1:$J$36,5,FALSE))</f>
        <v>388.48263254113346</v>
      </c>
      <c r="F26" s="38">
        <f>IF(LEFT(VLOOKUP($B26,'Indicator chart'!$D$1:$J$36,6,FALSE),1)=" "," ",VLOOKUP($B26,'Indicator chart'!$D$1:$J$36,6,FALSE))</f>
        <v>289.2276799660897</v>
      </c>
      <c r="G26" s="38">
        <f>IF(LEFT(VLOOKUP($B26,'Indicator chart'!$D$1:$J$36,7,FALSE),1)=" "," ",VLOOKUP($B26,'Indicator chart'!$D$1:$J$36,7,FALSE))</f>
        <v>510.7958024885858</v>
      </c>
      <c r="H26" s="50">
        <f t="shared" si="0"/>
        <v>2</v>
      </c>
      <c r="I26" s="38">
        <v>112.1823501586914</v>
      </c>
      <c r="J26" s="38">
        <v>193.697265625</v>
      </c>
      <c r="K26" s="38">
        <v>299.93670654296875</v>
      </c>
      <c r="L26" s="38">
        <v>396.6934814453125</v>
      </c>
      <c r="M26" s="38">
        <v>749.0636596679688</v>
      </c>
      <c r="N26" s="80">
        <f>VLOOKUP('Hide - Control'!B$3,'All practice data'!A:CA,A26+29,FALSE)</f>
        <v>331.8161599187646</v>
      </c>
      <c r="O26" s="80">
        <f>VLOOKUP('Hide - Control'!C$3,'All practice data'!A:CA,A26+29,FALSE)</f>
        <v>405.57105879375996</v>
      </c>
      <c r="P26" s="38">
        <f>VLOOKUP('Hide - Control'!$B$4,'All practice data'!B:BC,A26+2,FALSE)</f>
        <v>1477</v>
      </c>
      <c r="Q26" s="38">
        <f>VLOOKUP('Hide - Control'!$B$4,'All practice data'!B:BC,3,FALSE)</f>
        <v>445126</v>
      </c>
      <c r="R26" s="38">
        <f t="shared" si="21"/>
        <v>315.1073988399242</v>
      </c>
      <c r="S26" s="38">
        <f t="shared" si="22"/>
        <v>349.1808598429286</v>
      </c>
      <c r="T26" s="53">
        <f t="shared" si="19"/>
        <v>749.0636596679688</v>
      </c>
      <c r="U26" s="51">
        <f t="shared" si="20"/>
        <v>112.1823501586914</v>
      </c>
      <c r="V26" s="7"/>
      <c r="W26" s="27">
        <f t="shared" si="2"/>
        <v>-149.19024658203125</v>
      </c>
      <c r="X26" s="27">
        <f t="shared" si="3"/>
        <v>749.0636596679688</v>
      </c>
      <c r="Y26" s="27">
        <f t="shared" si="4"/>
        <v>-149.19024658203125</v>
      </c>
      <c r="Z26" s="27">
        <f t="shared" si="5"/>
        <v>749.0636596679688</v>
      </c>
      <c r="AA26" s="32">
        <f t="shared" si="6"/>
        <v>0.2909785250273969</v>
      </c>
      <c r="AB26" s="33">
        <f t="shared" si="7"/>
        <v>0.3817267142633495</v>
      </c>
      <c r="AC26" s="33">
        <v>0.5</v>
      </c>
      <c r="AD26" s="33">
        <f t="shared" si="8"/>
        <v>0.6077165089170395</v>
      </c>
      <c r="AE26" s="33">
        <f t="shared" si="9"/>
        <v>1</v>
      </c>
      <c r="AF26" s="33">
        <f t="shared" si="10"/>
        <v>-999</v>
      </c>
      <c r="AG26" s="33">
        <f t="shared" si="11"/>
        <v>0.5985756091702659</v>
      </c>
      <c r="AH26" s="33">
        <f t="shared" si="12"/>
        <v>-999</v>
      </c>
      <c r="AI26" s="34">
        <f t="shared" si="13"/>
        <v>0.6175996580875333</v>
      </c>
      <c r="AJ26" s="4">
        <v>23.145964374695435</v>
      </c>
      <c r="AK26" s="32">
        <f t="shared" si="14"/>
        <v>-999</v>
      </c>
      <c r="AL26" s="34">
        <f t="shared" si="15"/>
        <v>-999</v>
      </c>
      <c r="AY26" s="103" t="s">
        <v>120</v>
      </c>
      <c r="AZ26" s="103" t="s">
        <v>429</v>
      </c>
      <c r="BA26" s="103" t="s">
        <v>355</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102</v>
      </c>
      <c r="E27" s="38">
        <f>IF(LEFT(VLOOKUP($B27,'Indicator chart'!$D$1:$J$36,5,FALSE),1)=" "," ",VLOOKUP($B27,'Indicator chart'!$D$1:$J$36,5,FALSE))</f>
        <v>776.9652650822669</v>
      </c>
      <c r="F27" s="38">
        <f>IF(LEFT(VLOOKUP($B27,'Indicator chart'!$D$1:$J$36,6,FALSE),1)=" "," ",VLOOKUP($B27,'Indicator chart'!$D$1:$J$36,6,FALSE))</f>
        <v>633.5057046346624</v>
      </c>
      <c r="G27" s="38">
        <f>IF(LEFT(VLOOKUP($B27,'Indicator chart'!$D$1:$J$36,7,FALSE),1)=" "," ",VLOOKUP($B27,'Indicator chart'!$D$1:$J$36,7,FALSE))</f>
        <v>943.1946235297564</v>
      </c>
      <c r="H27" s="50">
        <f t="shared" si="0"/>
        <v>1</v>
      </c>
      <c r="I27" s="38">
        <v>262.0439453125</v>
      </c>
      <c r="J27" s="38">
        <v>686.3557739257812</v>
      </c>
      <c r="K27" s="38">
        <v>901.2012939453125</v>
      </c>
      <c r="L27" s="38">
        <v>1102.153076171875</v>
      </c>
      <c r="M27" s="38">
        <v>1751.3134765625</v>
      </c>
      <c r="N27" s="80">
        <f>VLOOKUP('Hide - Control'!B$3,'All practice data'!A:CA,A27+29,FALSE)</f>
        <v>947.1475492332509</v>
      </c>
      <c r="O27" s="80">
        <f>VLOOKUP('Hide - Control'!C$3,'All practice data'!A:CA,A27+29,FALSE)</f>
        <v>1059.3522061277838</v>
      </c>
      <c r="P27" s="38">
        <f>VLOOKUP('Hide - Control'!$B$4,'All practice data'!B:BC,A27+2,FALSE)</f>
        <v>4216</v>
      </c>
      <c r="Q27" s="38">
        <f>VLOOKUP('Hide - Control'!$B$4,'All practice data'!B:BC,3,FALSE)</f>
        <v>445126</v>
      </c>
      <c r="R27" s="38">
        <f t="shared" si="21"/>
        <v>918.7702701454616</v>
      </c>
      <c r="S27" s="38">
        <f t="shared" si="22"/>
        <v>976.1784505488631</v>
      </c>
      <c r="T27" s="53">
        <f t="shared" si="19"/>
        <v>1751.3134765625</v>
      </c>
      <c r="U27" s="51">
        <f t="shared" si="20"/>
        <v>262.0439453125</v>
      </c>
      <c r="V27" s="7"/>
      <c r="W27" s="27">
        <f t="shared" si="2"/>
        <v>51.089111328125</v>
      </c>
      <c r="X27" s="27">
        <f t="shared" si="3"/>
        <v>1751.3134765625</v>
      </c>
      <c r="Y27" s="27">
        <f t="shared" si="4"/>
        <v>51.089111328125</v>
      </c>
      <c r="Z27" s="27">
        <f t="shared" si="5"/>
        <v>1751.3134765625</v>
      </c>
      <c r="AA27" s="32">
        <f t="shared" si="6"/>
        <v>0.12407470349085074</v>
      </c>
      <c r="AB27" s="33">
        <f t="shared" si="7"/>
        <v>0.373636959678604</v>
      </c>
      <c r="AC27" s="33">
        <v>0.5</v>
      </c>
      <c r="AD27" s="33">
        <f t="shared" si="8"/>
        <v>0.618191331882755</v>
      </c>
      <c r="AE27" s="33">
        <f t="shared" si="9"/>
        <v>1</v>
      </c>
      <c r="AF27" s="33">
        <f t="shared" si="10"/>
        <v>-999</v>
      </c>
      <c r="AG27" s="33">
        <f t="shared" si="11"/>
        <v>-999</v>
      </c>
      <c r="AH27" s="33">
        <f t="shared" si="12"/>
        <v>0.4269296268166821</v>
      </c>
      <c r="AI27" s="34">
        <f t="shared" si="13"/>
        <v>0.5930176719121834</v>
      </c>
      <c r="AJ27" s="4">
        <v>24.221959800077364</v>
      </c>
      <c r="AK27" s="32">
        <f t="shared" si="14"/>
        <v>0.4269296268166821</v>
      </c>
      <c r="AL27" s="34">
        <f t="shared" si="15"/>
        <v>-999</v>
      </c>
      <c r="AY27" s="103" t="s">
        <v>115</v>
      </c>
      <c r="AZ27" s="103" t="s">
        <v>428</v>
      </c>
      <c r="BA27" s="103" t="s">
        <v>536</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73</v>
      </c>
      <c r="E28" s="38">
        <f>IF(LEFT(VLOOKUP($B28,'Indicator chart'!$D$1:$J$36,5,FALSE),1)=" "," ",VLOOKUP($B28,'Indicator chart'!$D$1:$J$36,5,FALSE))</f>
        <v>556.0633759902498</v>
      </c>
      <c r="F28" s="38">
        <f>IF(LEFT(VLOOKUP($B28,'Indicator chart'!$D$1:$J$36,6,FALSE),1)=" "," ",VLOOKUP($B28,'Indicator chart'!$D$1:$J$36,6,FALSE))</f>
        <v>435.8455999301729</v>
      </c>
      <c r="G28" s="38">
        <f>IF(LEFT(VLOOKUP($B28,'Indicator chart'!$D$1:$J$36,7,FALSE),1)=" "," ",VLOOKUP($B28,'Indicator chart'!$D$1:$J$36,7,FALSE))</f>
        <v>699.1785415532785</v>
      </c>
      <c r="H28" s="50">
        <f t="shared" si="0"/>
        <v>2</v>
      </c>
      <c r="I28" s="38">
        <v>155.9251708984375</v>
      </c>
      <c r="J28" s="38">
        <v>369.1817321777344</v>
      </c>
      <c r="K28" s="38">
        <v>534.6409301757812</v>
      </c>
      <c r="L28" s="38">
        <v>677.5043334960938</v>
      </c>
      <c r="M28" s="38">
        <v>1191.6922607421875</v>
      </c>
      <c r="N28" s="80">
        <f>VLOOKUP('Hide - Control'!B$3,'All practice data'!A:CA,A28+29,FALSE)</f>
        <v>555.5730287603959</v>
      </c>
      <c r="O28" s="80">
        <f>VLOOKUP('Hide - Control'!C$3,'All practice data'!A:CA,A28+29,FALSE)</f>
        <v>582.9390489900089</v>
      </c>
      <c r="P28" s="38">
        <f>VLOOKUP('Hide - Control'!$B$4,'All practice data'!B:BC,A28+2,FALSE)</f>
        <v>2473</v>
      </c>
      <c r="Q28" s="38">
        <f>VLOOKUP('Hide - Control'!$B$4,'All practice data'!B:BC,3,FALSE)</f>
        <v>445126</v>
      </c>
      <c r="R28" s="38">
        <f>100000*(P28*(1-1/(9*P28)-1.96/(3*SQRT(P28)))^3)/Q28</f>
        <v>533.8894929954752</v>
      </c>
      <c r="S28" s="38">
        <f>100000*((P28+1)*(1-1/(9*(P28+1))+1.96/(3*SQRT(P28+1)))^3)/Q28</f>
        <v>577.9112151752414</v>
      </c>
      <c r="T28" s="53">
        <f t="shared" si="19"/>
        <v>1191.6922607421875</v>
      </c>
      <c r="U28" s="51">
        <f t="shared" si="20"/>
        <v>155.9251708984375</v>
      </c>
      <c r="V28" s="7"/>
      <c r="W28" s="27">
        <f t="shared" si="2"/>
        <v>-122.410400390625</v>
      </c>
      <c r="X28" s="27">
        <f t="shared" si="3"/>
        <v>1191.6922607421875</v>
      </c>
      <c r="Y28" s="27">
        <f t="shared" si="4"/>
        <v>-122.410400390625</v>
      </c>
      <c r="Z28" s="27">
        <f t="shared" si="5"/>
        <v>1191.6922607421875</v>
      </c>
      <c r="AA28" s="32">
        <f t="shared" si="6"/>
        <v>0.21180656543920653</v>
      </c>
      <c r="AB28" s="33">
        <f t="shared" si="7"/>
        <v>0.37408959521061014</v>
      </c>
      <c r="AC28" s="33">
        <v>0.5</v>
      </c>
      <c r="AD28" s="33">
        <f t="shared" si="8"/>
        <v>0.6087155574262045</v>
      </c>
      <c r="AE28" s="33">
        <f t="shared" si="9"/>
        <v>1</v>
      </c>
      <c r="AF28" s="33">
        <f t="shared" si="10"/>
        <v>-999</v>
      </c>
      <c r="AG28" s="33">
        <f t="shared" si="11"/>
        <v>0.5163019575624339</v>
      </c>
      <c r="AH28" s="33">
        <f t="shared" si="12"/>
        <v>-999</v>
      </c>
      <c r="AI28" s="34">
        <f t="shared" si="13"/>
        <v>0.5367536877009234</v>
      </c>
      <c r="AJ28" s="4">
        <v>25.297955225459287</v>
      </c>
      <c r="AK28" s="32">
        <f t="shared" si="14"/>
        <v>-999</v>
      </c>
      <c r="AL28" s="34">
        <f t="shared" si="15"/>
        <v>-999</v>
      </c>
      <c r="AY28" s="103" t="s">
        <v>241</v>
      </c>
      <c r="AZ28" s="103" t="s">
        <v>242</v>
      </c>
      <c r="BA28" s="103" t="s">
        <v>536</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431</v>
      </c>
      <c r="BA29" s="103" t="s">
        <v>355</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355</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452</v>
      </c>
      <c r="BA31" s="103" t="s">
        <v>355</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411</v>
      </c>
      <c r="BA32" s="103" t="s">
        <v>355</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476</v>
      </c>
      <c r="BA33" s="103" t="s">
        <v>536</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355</v>
      </c>
      <c r="BB34" s="10">
        <v>532801</v>
      </c>
      <c r="BE34" s="77"/>
      <c r="BF34" s="253"/>
    </row>
    <row r="35" spans="2:58" ht="12.75">
      <c r="B35" s="17" t="s">
        <v>41</v>
      </c>
      <c r="C35" s="18"/>
      <c r="H35" s="290" t="s">
        <v>627</v>
      </c>
      <c r="I35" s="291"/>
      <c r="Y35" s="43"/>
      <c r="Z35" s="44"/>
      <c r="AA35" s="44"/>
      <c r="AB35" s="43"/>
      <c r="AC35" s="43"/>
      <c r="AY35" s="103" t="s">
        <v>159</v>
      </c>
      <c r="AZ35" s="103" t="s">
        <v>444</v>
      </c>
      <c r="BA35" s="103" t="s">
        <v>355</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433</v>
      </c>
      <c r="BA36" s="103" t="s">
        <v>355</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450</v>
      </c>
      <c r="BA37" s="103" t="s">
        <v>355</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355</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355</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355</v>
      </c>
      <c r="BB40" s="10">
        <v>714731</v>
      </c>
      <c r="BF40" s="252"/>
    </row>
    <row r="41" spans="1:58" ht="12.75">
      <c r="A41" s="3"/>
      <c r="B41" s="71"/>
      <c r="C41" s="3"/>
      <c r="T41" s="13"/>
      <c r="U41" s="2"/>
      <c r="W41" s="2"/>
      <c r="X41" s="10"/>
      <c r="Y41" s="44"/>
      <c r="Z41" s="44"/>
      <c r="AA41" s="44"/>
      <c r="AB41" s="44"/>
      <c r="AC41" s="44"/>
      <c r="AD41" s="2"/>
      <c r="AE41" s="2"/>
      <c r="AY41" s="103" t="s">
        <v>272</v>
      </c>
      <c r="AZ41" s="103" t="s">
        <v>477</v>
      </c>
      <c r="BA41" s="103" t="s">
        <v>536</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355</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474</v>
      </c>
      <c r="BA43" s="103" t="s">
        <v>355</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462</v>
      </c>
      <c r="BA44" s="103" t="s">
        <v>355</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355</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453</v>
      </c>
      <c r="BA46" s="103" t="s">
        <v>536</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355</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457</v>
      </c>
      <c r="BA48" s="103" t="s">
        <v>536</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468</v>
      </c>
      <c r="BA49" s="103" t="s">
        <v>536</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355</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434</v>
      </c>
      <c r="BA51" s="103" t="s">
        <v>355</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355</v>
      </c>
      <c r="BB52" s="10">
        <v>611636</v>
      </c>
      <c r="BF52" s="252"/>
    </row>
    <row r="53" spans="1:58" ht="12.75">
      <c r="A53" s="3"/>
      <c r="B53" s="12"/>
      <c r="C53" s="3"/>
      <c r="I53" s="11"/>
      <c r="J53" s="11"/>
      <c r="K53" s="11"/>
      <c r="L53" s="11"/>
      <c r="S53" s="11"/>
      <c r="U53" s="2"/>
      <c r="X53" s="2"/>
      <c r="Y53" s="2"/>
      <c r="Z53" s="2"/>
      <c r="AA53" s="2"/>
      <c r="AB53" s="2"/>
      <c r="AY53" s="103" t="s">
        <v>244</v>
      </c>
      <c r="AZ53" s="103" t="s">
        <v>467</v>
      </c>
      <c r="BA53" s="103" t="s">
        <v>355</v>
      </c>
      <c r="BB53" s="10">
        <v>230998</v>
      </c>
      <c r="BF53" s="252"/>
    </row>
    <row r="54" spans="1:58" ht="12.75">
      <c r="A54" s="3"/>
      <c r="B54" s="12"/>
      <c r="C54" s="3"/>
      <c r="I54" s="11"/>
      <c r="J54" s="11"/>
      <c r="K54" s="11"/>
      <c r="L54" s="11"/>
      <c r="S54" s="11"/>
      <c r="U54" s="2"/>
      <c r="X54" s="2"/>
      <c r="Y54" s="2"/>
      <c r="Z54" s="2"/>
      <c r="AA54" s="2"/>
      <c r="AB54" s="2"/>
      <c r="AY54" s="103" t="s">
        <v>67</v>
      </c>
      <c r="AZ54" s="103" t="s">
        <v>408</v>
      </c>
      <c r="BA54" s="103" t="s">
        <v>355</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454</v>
      </c>
      <c r="BA55" s="103" t="s">
        <v>355</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424</v>
      </c>
      <c r="BA56" s="103" t="s">
        <v>355</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469</v>
      </c>
      <c r="BA57" s="103" t="s">
        <v>355</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414</v>
      </c>
      <c r="BA58" s="103" t="s">
        <v>355</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355</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355</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458</v>
      </c>
      <c r="BA61" s="103" t="s">
        <v>536</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536</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447</v>
      </c>
      <c r="BA63" s="103" t="s">
        <v>355</v>
      </c>
      <c r="BB63" s="10">
        <v>318405</v>
      </c>
      <c r="BE63" s="70"/>
      <c r="BF63" s="239"/>
    </row>
    <row r="64" spans="1:58" ht="12.75">
      <c r="A64" s="3"/>
      <c r="B64" s="12"/>
      <c r="C64" s="3"/>
      <c r="I64" s="11"/>
      <c r="V64" s="3"/>
      <c r="AY64" s="103" t="s">
        <v>78</v>
      </c>
      <c r="AZ64" s="103" t="s">
        <v>415</v>
      </c>
      <c r="BA64" s="103" t="s">
        <v>536</v>
      </c>
      <c r="BB64" s="10">
        <v>181285</v>
      </c>
      <c r="BE64" s="70"/>
      <c r="BF64" s="241"/>
    </row>
    <row r="65" spans="1:58" ht="12.75">
      <c r="A65" s="3"/>
      <c r="B65" s="12"/>
      <c r="C65" s="3"/>
      <c r="AY65" s="103" t="s">
        <v>525</v>
      </c>
      <c r="AZ65" s="103" t="s">
        <v>526</v>
      </c>
      <c r="BA65" s="103" t="s">
        <v>355</v>
      </c>
      <c r="BB65" s="10">
        <v>1169302</v>
      </c>
      <c r="BE65" s="70"/>
      <c r="BF65" s="241"/>
    </row>
    <row r="66" spans="1:58" ht="12.75">
      <c r="A66" s="3"/>
      <c r="B66" s="12"/>
      <c r="C66" s="3"/>
      <c r="E66" s="2"/>
      <c r="F66" s="2"/>
      <c r="G66" s="2"/>
      <c r="V66" s="2"/>
      <c r="AY66" s="103" t="s">
        <v>200</v>
      </c>
      <c r="AZ66" s="103" t="s">
        <v>455</v>
      </c>
      <c r="BA66" s="103" t="s">
        <v>355</v>
      </c>
      <c r="BB66" s="10">
        <v>217916</v>
      </c>
      <c r="BE66" s="70"/>
      <c r="BF66" s="239"/>
    </row>
    <row r="67" spans="1:58" ht="12.75">
      <c r="A67" s="3"/>
      <c r="B67" s="12"/>
      <c r="C67" s="3"/>
      <c r="AY67" s="103" t="s">
        <v>69</v>
      </c>
      <c r="AZ67" s="103" t="s">
        <v>70</v>
      </c>
      <c r="BA67" s="103" t="s">
        <v>355</v>
      </c>
      <c r="BB67" s="10">
        <v>270842</v>
      </c>
      <c r="BE67" s="70"/>
      <c r="BF67" s="239"/>
    </row>
    <row r="68" spans="1:58" ht="12.75">
      <c r="A68" s="3"/>
      <c r="B68" s="12"/>
      <c r="C68" s="3"/>
      <c r="AY68" s="103" t="s">
        <v>109</v>
      </c>
      <c r="AZ68" s="103" t="s">
        <v>110</v>
      </c>
      <c r="BA68" s="103" t="s">
        <v>355</v>
      </c>
      <c r="BB68" s="10">
        <v>251613</v>
      </c>
      <c r="BF68" s="252"/>
    </row>
    <row r="69" spans="1:58" ht="12.75">
      <c r="A69" s="3"/>
      <c r="B69" s="12"/>
      <c r="C69" s="3"/>
      <c r="AY69" s="103" t="s">
        <v>209</v>
      </c>
      <c r="AZ69" s="103" t="s">
        <v>210</v>
      </c>
      <c r="BA69" s="103" t="s">
        <v>355</v>
      </c>
      <c r="BB69" s="10">
        <v>283547</v>
      </c>
      <c r="BE69" s="70"/>
      <c r="BF69" s="241"/>
    </row>
    <row r="70" spans="1:58" ht="12.75">
      <c r="A70" s="3"/>
      <c r="B70" s="12"/>
      <c r="C70" s="3"/>
      <c r="AY70" s="103" t="s">
        <v>275</v>
      </c>
      <c r="AZ70" s="103" t="s">
        <v>478</v>
      </c>
      <c r="BA70" s="103" t="s">
        <v>535</v>
      </c>
      <c r="BB70" s="10">
        <v>141474</v>
      </c>
      <c r="BE70" s="70"/>
      <c r="BF70" s="239"/>
    </row>
    <row r="71" spans="1:58" ht="12.75">
      <c r="A71" s="3"/>
      <c r="B71" s="12"/>
      <c r="C71" s="3"/>
      <c r="AY71" s="103" t="s">
        <v>127</v>
      </c>
      <c r="AZ71" s="103" t="s">
        <v>432</v>
      </c>
      <c r="BA71" s="103" t="s">
        <v>355</v>
      </c>
      <c r="BB71" s="10">
        <v>213326</v>
      </c>
      <c r="BE71" s="70"/>
      <c r="BF71" s="239"/>
    </row>
    <row r="72" spans="1:58" ht="12.75">
      <c r="A72" s="3"/>
      <c r="B72" s="12"/>
      <c r="C72" s="3"/>
      <c r="AY72" s="103" t="s">
        <v>136</v>
      </c>
      <c r="AZ72" s="103" t="s">
        <v>137</v>
      </c>
      <c r="BA72" s="103" t="s">
        <v>355</v>
      </c>
      <c r="BB72" s="10">
        <v>183220</v>
      </c>
      <c r="BE72" s="250"/>
      <c r="BF72" s="239"/>
    </row>
    <row r="73" spans="1:58" ht="12.75">
      <c r="A73" s="3"/>
      <c r="B73" s="12"/>
      <c r="C73" s="3"/>
      <c r="AY73" s="103" t="s">
        <v>64</v>
      </c>
      <c r="AZ73" s="103" t="s">
        <v>407</v>
      </c>
      <c r="BA73" s="103" t="s">
        <v>355</v>
      </c>
      <c r="BB73" s="10">
        <v>190143</v>
      </c>
      <c r="BE73" s="70"/>
      <c r="BF73" s="239"/>
    </row>
    <row r="74" spans="1:58" ht="12.75">
      <c r="A74" s="3"/>
      <c r="B74" s="12"/>
      <c r="C74" s="3"/>
      <c r="AY74" s="103" t="s">
        <v>165</v>
      </c>
      <c r="AZ74" s="103" t="s">
        <v>166</v>
      </c>
      <c r="BA74" s="103" t="s">
        <v>536</v>
      </c>
      <c r="BB74" s="10">
        <v>419928</v>
      </c>
      <c r="BE74" s="70"/>
      <c r="BF74" s="241"/>
    </row>
    <row r="75" spans="1:58" ht="12.75">
      <c r="A75" s="3"/>
      <c r="B75" s="12"/>
      <c r="C75" s="3"/>
      <c r="AY75" s="103" t="s">
        <v>113</v>
      </c>
      <c r="AZ75" s="103" t="s">
        <v>426</v>
      </c>
      <c r="BA75" s="103" t="s">
        <v>355</v>
      </c>
      <c r="BB75" s="10">
        <v>158106</v>
      </c>
      <c r="BE75" s="70"/>
      <c r="BF75" s="241"/>
    </row>
    <row r="76" spans="1:58" ht="12.75">
      <c r="A76" s="3"/>
      <c r="B76" s="12"/>
      <c r="C76" s="3"/>
      <c r="AY76" s="103" t="s">
        <v>140</v>
      </c>
      <c r="AZ76" s="103" t="s">
        <v>141</v>
      </c>
      <c r="BA76" s="103" t="s">
        <v>355</v>
      </c>
      <c r="BB76" s="10">
        <v>377807</v>
      </c>
      <c r="BE76" s="70"/>
      <c r="BF76" s="241"/>
    </row>
    <row r="77" spans="1:58" ht="12.75">
      <c r="A77" s="3"/>
      <c r="B77" s="12"/>
      <c r="C77" s="3"/>
      <c r="AY77" s="103" t="s">
        <v>163</v>
      </c>
      <c r="AZ77" s="103" t="s">
        <v>164</v>
      </c>
      <c r="BA77" s="103" t="s">
        <v>536</v>
      </c>
      <c r="BB77" s="10">
        <v>799634</v>
      </c>
      <c r="BE77" s="70"/>
      <c r="BF77" s="249"/>
    </row>
    <row r="78" spans="1:58" ht="12.75">
      <c r="A78" s="3"/>
      <c r="B78" s="12"/>
      <c r="C78" s="3"/>
      <c r="AY78" s="103" t="s">
        <v>224</v>
      </c>
      <c r="AZ78" s="103" t="s">
        <v>225</v>
      </c>
      <c r="BA78" s="103" t="s">
        <v>355</v>
      </c>
      <c r="BB78" s="10">
        <v>362638</v>
      </c>
      <c r="BE78" s="70"/>
      <c r="BF78" s="239"/>
    </row>
    <row r="79" spans="1:58" ht="12.75">
      <c r="A79" s="3"/>
      <c r="B79" s="12"/>
      <c r="C79" s="3"/>
      <c r="AY79" s="103" t="s">
        <v>223</v>
      </c>
      <c r="AZ79" s="103" t="s">
        <v>460</v>
      </c>
      <c r="BA79" s="103" t="s">
        <v>355</v>
      </c>
      <c r="BB79" s="10">
        <v>678998</v>
      </c>
      <c r="BF79" s="239"/>
    </row>
    <row r="80" spans="1:58" ht="12.75">
      <c r="A80" s="3"/>
      <c r="B80" s="12"/>
      <c r="C80" s="3"/>
      <c r="AY80" s="103" t="s">
        <v>144</v>
      </c>
      <c r="AZ80" s="103" t="s">
        <v>145</v>
      </c>
      <c r="BA80" s="103" t="s">
        <v>355</v>
      </c>
      <c r="BB80" s="10">
        <v>290986</v>
      </c>
      <c r="BF80" s="252"/>
    </row>
    <row r="81" spans="1:58" ht="12.75">
      <c r="A81" s="3"/>
      <c r="B81" s="12"/>
      <c r="C81" s="3"/>
      <c r="AY81" s="103" t="s">
        <v>178</v>
      </c>
      <c r="AZ81" s="103" t="s">
        <v>449</v>
      </c>
      <c r="BA81" s="103" t="s">
        <v>536</v>
      </c>
      <c r="BB81" s="10">
        <v>747976</v>
      </c>
      <c r="BF81" s="252"/>
    </row>
    <row r="82" spans="1:58" ht="12.75">
      <c r="A82" s="3"/>
      <c r="B82" s="12"/>
      <c r="C82" s="3"/>
      <c r="AY82" s="103" t="s">
        <v>193</v>
      </c>
      <c r="AZ82" s="103" t="s">
        <v>194</v>
      </c>
      <c r="BA82" s="103" t="s">
        <v>355</v>
      </c>
      <c r="BB82" s="10">
        <v>489140</v>
      </c>
      <c r="BF82" s="252"/>
    </row>
    <row r="83" spans="1:58" ht="12.75">
      <c r="A83" s="3"/>
      <c r="B83" s="12"/>
      <c r="C83" s="3"/>
      <c r="AY83" s="103" t="s">
        <v>98</v>
      </c>
      <c r="AZ83" s="103" t="s">
        <v>423</v>
      </c>
      <c r="BA83" s="103" t="s">
        <v>536</v>
      </c>
      <c r="BB83" s="10">
        <v>208442</v>
      </c>
      <c r="BE83" s="70"/>
      <c r="BF83" s="241"/>
    </row>
    <row r="84" spans="1:58" ht="12.75">
      <c r="A84" s="3"/>
      <c r="B84" s="12"/>
      <c r="C84" s="3"/>
      <c r="AY84" s="103" t="s">
        <v>203</v>
      </c>
      <c r="AZ84" s="103" t="s">
        <v>204</v>
      </c>
      <c r="BA84" s="103" t="s">
        <v>536</v>
      </c>
      <c r="BB84" s="10">
        <v>545543</v>
      </c>
      <c r="BE84" s="70"/>
      <c r="BF84" s="241"/>
    </row>
    <row r="85" spans="1:58" ht="12.75">
      <c r="A85" s="3"/>
      <c r="B85" s="12"/>
      <c r="C85" s="3"/>
      <c r="AY85" s="103" t="s">
        <v>135</v>
      </c>
      <c r="AZ85" s="103" t="s">
        <v>438</v>
      </c>
      <c r="BA85" s="103" t="s">
        <v>536</v>
      </c>
      <c r="BB85" s="10">
        <v>274067</v>
      </c>
      <c r="BE85" s="70"/>
      <c r="BF85" s="241"/>
    </row>
    <row r="86" spans="1:58" ht="12.75">
      <c r="A86" s="3"/>
      <c r="B86" s="12"/>
      <c r="C86" s="3"/>
      <c r="AY86" s="103" t="s">
        <v>251</v>
      </c>
      <c r="AZ86" s="103" t="s">
        <v>252</v>
      </c>
      <c r="BA86" s="103" t="s">
        <v>536</v>
      </c>
      <c r="BB86" s="10">
        <v>374861</v>
      </c>
      <c r="BE86" s="70"/>
      <c r="BF86" s="249"/>
    </row>
    <row r="87" spans="1:58" ht="12.75">
      <c r="A87" s="3"/>
      <c r="B87" s="12"/>
      <c r="C87" s="3"/>
      <c r="AY87" s="103" t="s">
        <v>132</v>
      </c>
      <c r="AZ87" s="103" t="s">
        <v>133</v>
      </c>
      <c r="BA87" s="103" t="s">
        <v>355</v>
      </c>
      <c r="BB87" s="10">
        <v>153833</v>
      </c>
      <c r="BE87" s="70"/>
      <c r="BF87" s="249"/>
    </row>
    <row r="88" spans="1:58" ht="12.75">
      <c r="A88" s="3"/>
      <c r="B88" s="12"/>
      <c r="C88" s="3"/>
      <c r="AY88" s="103" t="s">
        <v>79</v>
      </c>
      <c r="AZ88" s="103" t="s">
        <v>80</v>
      </c>
      <c r="BA88" s="103" t="s">
        <v>536</v>
      </c>
      <c r="BB88" s="10">
        <v>258492</v>
      </c>
      <c r="BE88" s="70"/>
      <c r="BF88" s="241"/>
    </row>
    <row r="89" spans="1:58" ht="12.75">
      <c r="A89" s="3"/>
      <c r="B89" s="12"/>
      <c r="C89" s="3"/>
      <c r="AY89" s="103" t="s">
        <v>81</v>
      </c>
      <c r="AZ89" s="103" t="s">
        <v>416</v>
      </c>
      <c r="BA89" s="103" t="s">
        <v>355</v>
      </c>
      <c r="BB89" s="10">
        <v>283085</v>
      </c>
      <c r="BE89" s="70"/>
      <c r="BF89" s="241"/>
    </row>
    <row r="90" spans="1:58" ht="12.75">
      <c r="A90" s="3"/>
      <c r="B90" s="12"/>
      <c r="C90" s="3"/>
      <c r="AY90" s="103" t="s">
        <v>76</v>
      </c>
      <c r="AZ90" s="103" t="s">
        <v>413</v>
      </c>
      <c r="BA90" s="103" t="s">
        <v>355</v>
      </c>
      <c r="BB90" s="10">
        <v>357346</v>
      </c>
      <c r="BE90" s="70"/>
      <c r="BF90" s="241"/>
    </row>
    <row r="91" spans="1:58" ht="12.75">
      <c r="A91" s="3"/>
      <c r="B91" s="12"/>
      <c r="C91" s="3"/>
      <c r="AY91" s="103" t="s">
        <v>243</v>
      </c>
      <c r="AZ91" s="103" t="s">
        <v>466</v>
      </c>
      <c r="BA91" s="103" t="s">
        <v>536</v>
      </c>
      <c r="BB91" s="10">
        <v>748575</v>
      </c>
      <c r="BE91" s="247"/>
      <c r="BF91" s="249"/>
    </row>
    <row r="92" spans="1:58" ht="12.75">
      <c r="A92" s="3"/>
      <c r="B92" s="12"/>
      <c r="C92" s="3"/>
      <c r="AY92" s="103" t="s">
        <v>249</v>
      </c>
      <c r="AZ92" s="103" t="s">
        <v>250</v>
      </c>
      <c r="BA92" s="103" t="s">
        <v>536</v>
      </c>
      <c r="BB92" s="10">
        <v>322673</v>
      </c>
      <c r="BE92" s="247"/>
      <c r="BF92" s="249"/>
    </row>
    <row r="93" spans="1:58" ht="12.75">
      <c r="A93" s="3"/>
      <c r="B93" s="12"/>
      <c r="C93" s="3"/>
      <c r="AY93" s="103" t="s">
        <v>58</v>
      </c>
      <c r="AZ93" s="103" t="s">
        <v>59</v>
      </c>
      <c r="BA93" s="103" t="s">
        <v>355</v>
      </c>
      <c r="BB93" s="10">
        <v>165284</v>
      </c>
      <c r="BF93" s="252"/>
    </row>
    <row r="94" spans="1:58" ht="12.75">
      <c r="A94" s="3"/>
      <c r="B94" s="12"/>
      <c r="C94" s="3"/>
      <c r="AY94" s="103" t="s">
        <v>186</v>
      </c>
      <c r="AZ94" s="103" t="s">
        <v>451</v>
      </c>
      <c r="BA94" s="103" t="s">
        <v>355</v>
      </c>
      <c r="BB94" s="10">
        <v>339272</v>
      </c>
      <c r="BE94" s="70"/>
      <c r="BF94" s="241"/>
    </row>
    <row r="95" spans="1:58" ht="12.75">
      <c r="A95" s="3"/>
      <c r="B95" s="12"/>
      <c r="C95" s="3"/>
      <c r="AY95" s="103" t="s">
        <v>86</v>
      </c>
      <c r="AZ95" s="103" t="s">
        <v>87</v>
      </c>
      <c r="BA95" s="103" t="s">
        <v>355</v>
      </c>
      <c r="BB95" s="10">
        <v>165642</v>
      </c>
      <c r="BE95" s="247"/>
      <c r="BF95" s="249"/>
    </row>
    <row r="96" spans="1:58" ht="12.75">
      <c r="A96" s="3"/>
      <c r="B96" s="12"/>
      <c r="C96" s="3"/>
      <c r="AY96" s="103" t="s">
        <v>157</v>
      </c>
      <c r="AZ96" s="103" t="s">
        <v>158</v>
      </c>
      <c r="BA96" s="103" t="s">
        <v>355</v>
      </c>
      <c r="BB96" s="10">
        <v>208351</v>
      </c>
      <c r="BE96" s="243"/>
      <c r="BF96" s="238"/>
    </row>
    <row r="97" spans="1:58" ht="12.75">
      <c r="A97" s="3"/>
      <c r="B97" s="12"/>
      <c r="C97" s="3"/>
      <c r="AY97" s="103" t="s">
        <v>231</v>
      </c>
      <c r="AZ97" s="103" t="s">
        <v>232</v>
      </c>
      <c r="BA97" s="103" t="s">
        <v>355</v>
      </c>
      <c r="BB97" s="10">
        <v>203178</v>
      </c>
      <c r="BE97" s="243"/>
      <c r="BF97" s="238"/>
    </row>
    <row r="98" spans="1:58" ht="12.75">
      <c r="A98" s="3"/>
      <c r="B98" s="12"/>
      <c r="C98" s="3"/>
      <c r="AY98" s="103" t="s">
        <v>82</v>
      </c>
      <c r="AZ98" s="103" t="s">
        <v>417</v>
      </c>
      <c r="BA98" s="103" t="s">
        <v>355</v>
      </c>
      <c r="BB98" s="10">
        <v>214052</v>
      </c>
      <c r="BE98" s="248"/>
      <c r="BF98" s="241"/>
    </row>
    <row r="99" spans="1:58" ht="12.75">
      <c r="A99" s="3"/>
      <c r="B99" s="12"/>
      <c r="C99" s="3"/>
      <c r="AY99" s="103" t="s">
        <v>205</v>
      </c>
      <c r="AZ99" s="103" t="s">
        <v>206</v>
      </c>
      <c r="BA99" s="103" t="s">
        <v>536</v>
      </c>
      <c r="BB99" s="10">
        <v>795503</v>
      </c>
      <c r="BE99" s="70"/>
      <c r="BF99" s="249"/>
    </row>
    <row r="100" spans="1:58" ht="12.75">
      <c r="A100" s="3"/>
      <c r="B100" s="12"/>
      <c r="C100" s="3"/>
      <c r="AY100" s="103" t="s">
        <v>226</v>
      </c>
      <c r="AZ100" s="103" t="s">
        <v>461</v>
      </c>
      <c r="BA100" s="103" t="s">
        <v>355</v>
      </c>
      <c r="BB100" s="10">
        <v>648340</v>
      </c>
      <c r="BE100" s="70"/>
      <c r="BF100" s="249"/>
    </row>
    <row r="101" spans="51:58" ht="12.75">
      <c r="AY101" s="103" t="s">
        <v>51</v>
      </c>
      <c r="AZ101" s="103" t="s">
        <v>52</v>
      </c>
      <c r="BA101" s="103" t="s">
        <v>355</v>
      </c>
      <c r="BB101" s="10">
        <v>320818</v>
      </c>
      <c r="BE101" s="237"/>
      <c r="BF101" s="238"/>
    </row>
    <row r="102" spans="51:58" ht="12.75">
      <c r="AY102" s="103" t="s">
        <v>88</v>
      </c>
      <c r="AZ102" s="103" t="s">
        <v>89</v>
      </c>
      <c r="BA102" s="103" t="s">
        <v>355</v>
      </c>
      <c r="BB102" s="10">
        <v>339920</v>
      </c>
      <c r="BE102" s="237"/>
      <c r="BF102" s="238"/>
    </row>
    <row r="103" spans="51:58" ht="12.75">
      <c r="AY103" s="103" t="s">
        <v>177</v>
      </c>
      <c r="AZ103" s="103" t="s">
        <v>448</v>
      </c>
      <c r="BA103" s="103" t="s">
        <v>355</v>
      </c>
      <c r="BB103" s="10">
        <v>656875</v>
      </c>
      <c r="BE103" s="70"/>
      <c r="BF103" s="239"/>
    </row>
    <row r="104" spans="51:58" ht="12.75">
      <c r="AY104" s="103" t="s">
        <v>114</v>
      </c>
      <c r="AZ104" s="103" t="s">
        <v>427</v>
      </c>
      <c r="BA104" s="103" t="s">
        <v>355</v>
      </c>
      <c r="BB104" s="10">
        <v>236592</v>
      </c>
      <c r="BF104" s="252"/>
    </row>
    <row r="105" spans="51:58" ht="12.75">
      <c r="AY105" s="103" t="s">
        <v>259</v>
      </c>
      <c r="AZ105" s="103" t="s">
        <v>470</v>
      </c>
      <c r="BA105" s="103" t="s">
        <v>536</v>
      </c>
      <c r="BB105" s="10">
        <v>671572</v>
      </c>
      <c r="BE105" s="237"/>
      <c r="BF105" s="238"/>
    </row>
    <row r="106" spans="51:58" ht="12.75">
      <c r="AY106" s="103" t="s">
        <v>239</v>
      </c>
      <c r="AZ106" s="103" t="s">
        <v>240</v>
      </c>
      <c r="BA106" s="103" t="s">
        <v>536</v>
      </c>
      <c r="BB106" s="10">
        <v>177882</v>
      </c>
      <c r="BF106" s="252"/>
    </row>
    <row r="107" spans="51:58" ht="12.75">
      <c r="AY107" s="103" t="s">
        <v>91</v>
      </c>
      <c r="AZ107" s="103" t="s">
        <v>420</v>
      </c>
      <c r="BA107" s="103" t="s">
        <v>355</v>
      </c>
      <c r="BB107" s="10">
        <v>274443</v>
      </c>
      <c r="BF107" s="252"/>
    </row>
    <row r="108" spans="51:58" ht="12.75">
      <c r="AY108" s="103" t="s">
        <v>95</v>
      </c>
      <c r="AZ108" s="103" t="s">
        <v>422</v>
      </c>
      <c r="BA108" s="103" t="s">
        <v>355</v>
      </c>
      <c r="BB108" s="10">
        <v>213174</v>
      </c>
      <c r="BE108" s="70"/>
      <c r="BF108" s="239"/>
    </row>
    <row r="109" spans="51:58" ht="12.75">
      <c r="AY109" s="103" t="s">
        <v>179</v>
      </c>
      <c r="AZ109" s="103" t="s">
        <v>180</v>
      </c>
      <c r="BA109" s="103" t="s">
        <v>355</v>
      </c>
      <c r="BB109" s="10">
        <v>278950</v>
      </c>
      <c r="BE109" s="237"/>
      <c r="BF109" s="238"/>
    </row>
    <row r="110" spans="51:58" ht="12.75">
      <c r="AY110" s="103" t="s">
        <v>273</v>
      </c>
      <c r="AZ110" s="103" t="s">
        <v>274</v>
      </c>
      <c r="BA110" s="103" t="s">
        <v>355</v>
      </c>
      <c r="BB110" s="10">
        <v>133304</v>
      </c>
      <c r="BE110" s="70"/>
      <c r="BF110" s="249"/>
    </row>
    <row r="111" spans="51:58" ht="12.75">
      <c r="AY111" s="103" t="s">
        <v>155</v>
      </c>
      <c r="AZ111" s="103" t="s">
        <v>442</v>
      </c>
      <c r="BA111" s="103" t="s">
        <v>355</v>
      </c>
      <c r="BB111" s="10">
        <v>197060</v>
      </c>
      <c r="BE111" s="70"/>
      <c r="BF111" s="239"/>
    </row>
    <row r="112" spans="51:58" ht="12.75">
      <c r="AY112" s="103" t="s">
        <v>100</v>
      </c>
      <c r="AZ112" s="103" t="s">
        <v>101</v>
      </c>
      <c r="BA112" s="103" t="s">
        <v>355</v>
      </c>
      <c r="BB112" s="10">
        <v>253140</v>
      </c>
      <c r="BE112" s="250"/>
      <c r="BF112" s="249"/>
    </row>
    <row r="113" spans="51:58" ht="12.75">
      <c r="AY113" s="103" t="s">
        <v>92</v>
      </c>
      <c r="AZ113" s="103" t="s">
        <v>93</v>
      </c>
      <c r="BA113" s="103" t="s">
        <v>355</v>
      </c>
      <c r="BB113" s="10">
        <v>240983</v>
      </c>
      <c r="BE113" s="70"/>
      <c r="BF113" s="241"/>
    </row>
    <row r="114" spans="51:58" ht="12.75">
      <c r="AY114" s="103" t="s">
        <v>228</v>
      </c>
      <c r="AZ114" s="103" t="s">
        <v>463</v>
      </c>
      <c r="BA114" s="103" t="s">
        <v>355</v>
      </c>
      <c r="BB114" s="10">
        <v>340451</v>
      </c>
      <c r="BF114" s="241"/>
    </row>
    <row r="115" spans="51:58" ht="12.75">
      <c r="AY115" s="103" t="s">
        <v>189</v>
      </c>
      <c r="AZ115" s="103" t="s">
        <v>190</v>
      </c>
      <c r="BA115" s="103" t="s">
        <v>355</v>
      </c>
      <c r="BB115" s="10">
        <v>280673</v>
      </c>
      <c r="BE115" s="248"/>
      <c r="BF115" s="241"/>
    </row>
    <row r="116" spans="51:58" ht="12.75">
      <c r="AY116" s="103" t="s">
        <v>169</v>
      </c>
      <c r="AZ116" s="103" t="s">
        <v>170</v>
      </c>
      <c r="BA116" s="103" t="s">
        <v>355</v>
      </c>
      <c r="BB116" s="10">
        <v>565874</v>
      </c>
      <c r="BE116" s="70"/>
      <c r="BF116" s="239"/>
    </row>
    <row r="117" spans="51:58" ht="12.75">
      <c r="AY117" s="103" t="s">
        <v>152</v>
      </c>
      <c r="AZ117" s="103" t="s">
        <v>441</v>
      </c>
      <c r="BA117" s="103" t="s">
        <v>536</v>
      </c>
      <c r="BB117" s="10">
        <v>295379</v>
      </c>
      <c r="BE117" s="237"/>
      <c r="BF117" s="238"/>
    </row>
    <row r="118" spans="51:58" ht="12.75">
      <c r="AY118" s="103" t="s">
        <v>56</v>
      </c>
      <c r="AZ118" s="103" t="s">
        <v>57</v>
      </c>
      <c r="BA118" s="103" t="s">
        <v>355</v>
      </c>
      <c r="BB118" s="10">
        <v>217094</v>
      </c>
      <c r="BE118" s="70"/>
      <c r="BF118" s="239"/>
    </row>
    <row r="119" spans="51:58" ht="12.75">
      <c r="AY119" s="103" t="s">
        <v>268</v>
      </c>
      <c r="AZ119" s="103" t="s">
        <v>473</v>
      </c>
      <c r="BA119" s="103" t="s">
        <v>355</v>
      </c>
      <c r="BB119" s="10">
        <v>538131</v>
      </c>
      <c r="BE119" s="70"/>
      <c r="BF119" s="239"/>
    </row>
    <row r="120" spans="51:58" ht="12.75">
      <c r="AY120" s="103" t="s">
        <v>150</v>
      </c>
      <c r="AZ120" s="103" t="s">
        <v>151</v>
      </c>
      <c r="BA120" s="103" t="s">
        <v>536</v>
      </c>
      <c r="BB120" s="10">
        <v>389725</v>
      </c>
      <c r="BE120" s="70"/>
      <c r="BF120" s="239"/>
    </row>
    <row r="121" spans="51:58" ht="12.75">
      <c r="AY121" s="103" t="s">
        <v>212</v>
      </c>
      <c r="AZ121" s="103" t="s">
        <v>213</v>
      </c>
      <c r="BA121" s="103" t="s">
        <v>536</v>
      </c>
      <c r="BB121" s="10">
        <v>356812</v>
      </c>
      <c r="BE121" s="237"/>
      <c r="BF121" s="238"/>
    </row>
    <row r="122" spans="51:58" ht="12.75">
      <c r="AY122" s="103" t="s">
        <v>60</v>
      </c>
      <c r="AZ122" s="103" t="s">
        <v>61</v>
      </c>
      <c r="BA122" s="103" t="s">
        <v>355</v>
      </c>
      <c r="BB122" s="10">
        <v>256321</v>
      </c>
      <c r="BE122" s="70"/>
      <c r="BF122" s="249"/>
    </row>
    <row r="123" spans="51:58" ht="12.75">
      <c r="AY123" s="103" t="s">
        <v>234</v>
      </c>
      <c r="AZ123" s="103" t="s">
        <v>465</v>
      </c>
      <c r="BA123" s="103" t="s">
        <v>536</v>
      </c>
      <c r="BB123" s="10">
        <v>615835</v>
      </c>
      <c r="BF123" s="252"/>
    </row>
    <row r="124" spans="51:58" ht="12.75">
      <c r="AY124" s="103" t="s">
        <v>130</v>
      </c>
      <c r="AZ124" s="103" t="s">
        <v>435</v>
      </c>
      <c r="BA124" s="103" t="s">
        <v>355</v>
      </c>
      <c r="BB124" s="10">
        <v>150179</v>
      </c>
      <c r="BF124" s="252"/>
    </row>
    <row r="125" spans="51:58" ht="12.75">
      <c r="AY125" s="103" t="s">
        <v>253</v>
      </c>
      <c r="AZ125" s="103" t="s">
        <v>254</v>
      </c>
      <c r="BA125" s="103" t="s">
        <v>355</v>
      </c>
      <c r="BB125" s="10">
        <v>420503</v>
      </c>
      <c r="BE125" s="70"/>
      <c r="BF125" s="249"/>
    </row>
    <row r="126" spans="51:58" ht="12.75">
      <c r="AY126" s="103" t="s">
        <v>134</v>
      </c>
      <c r="AZ126" s="103" t="s">
        <v>437</v>
      </c>
      <c r="BA126" s="103" t="s">
        <v>355</v>
      </c>
      <c r="BB126" s="10">
        <v>263936</v>
      </c>
      <c r="BE126" s="70"/>
      <c r="BF126" s="239"/>
    </row>
    <row r="127" spans="51:58" ht="12.75">
      <c r="AY127" s="103" t="s">
        <v>142</v>
      </c>
      <c r="AZ127" s="103" t="s">
        <v>143</v>
      </c>
      <c r="BA127" s="103" t="s">
        <v>355</v>
      </c>
      <c r="BB127" s="10">
        <v>308593</v>
      </c>
      <c r="BF127" s="252"/>
    </row>
    <row r="128" spans="51:58" ht="12.75">
      <c r="AY128" s="103" t="s">
        <v>94</v>
      </c>
      <c r="AZ128" s="103" t="s">
        <v>421</v>
      </c>
      <c r="BA128" s="103" t="s">
        <v>536</v>
      </c>
      <c r="BB128" s="10">
        <v>298190</v>
      </c>
      <c r="BE128" s="250"/>
      <c r="BF128" s="249"/>
    </row>
    <row r="129" spans="51:58" ht="12.75">
      <c r="AY129" s="103" t="s">
        <v>85</v>
      </c>
      <c r="AZ129" s="103" t="s">
        <v>418</v>
      </c>
      <c r="BA129" s="103" t="s">
        <v>355</v>
      </c>
      <c r="BB129" s="10">
        <v>191885</v>
      </c>
      <c r="BE129" s="70"/>
      <c r="BF129" s="249"/>
    </row>
    <row r="130" spans="51:58" ht="12.75">
      <c r="AY130" s="103" t="s">
        <v>233</v>
      </c>
      <c r="AZ130" s="103" t="s">
        <v>464</v>
      </c>
      <c r="BA130" s="103" t="s">
        <v>355</v>
      </c>
      <c r="BB130" s="10">
        <v>268223</v>
      </c>
      <c r="BE130" s="70"/>
      <c r="BF130" s="249"/>
    </row>
    <row r="131" spans="51:58" ht="12.75">
      <c r="AY131" s="103" t="s">
        <v>245</v>
      </c>
      <c r="AZ131" s="103" t="s">
        <v>246</v>
      </c>
      <c r="BA131" s="103" t="s">
        <v>536</v>
      </c>
      <c r="BB131" s="10">
        <v>616983</v>
      </c>
      <c r="BE131" s="247"/>
      <c r="BF131" s="249"/>
    </row>
    <row r="132" spans="51:58" ht="12.75">
      <c r="AY132" s="103" t="s">
        <v>131</v>
      </c>
      <c r="AZ132" s="103" t="s">
        <v>436</v>
      </c>
      <c r="BA132" s="103" t="s">
        <v>355</v>
      </c>
      <c r="BB132" s="10">
        <v>283991</v>
      </c>
      <c r="BE132" s="247"/>
      <c r="BF132" s="249"/>
    </row>
    <row r="133" spans="51:58" ht="12.75">
      <c r="AY133" s="103" t="s">
        <v>216</v>
      </c>
      <c r="AZ133" s="103" t="s">
        <v>217</v>
      </c>
      <c r="BA133" s="103" t="s">
        <v>355</v>
      </c>
      <c r="BB133" s="10">
        <v>1156805</v>
      </c>
      <c r="BE133" s="247"/>
      <c r="BF133" s="251"/>
    </row>
    <row r="134" spans="51:58" ht="12.75">
      <c r="AY134" s="103" t="s">
        <v>156</v>
      </c>
      <c r="AZ134" s="103" t="s">
        <v>443</v>
      </c>
      <c r="BA134" s="103" t="s">
        <v>355</v>
      </c>
      <c r="BB134" s="10">
        <v>390971</v>
      </c>
      <c r="BE134" s="243"/>
      <c r="BF134" s="238"/>
    </row>
    <row r="135" spans="51:58" ht="12.75">
      <c r="AY135" s="103" t="s">
        <v>121</v>
      </c>
      <c r="AZ135" s="103" t="s">
        <v>122</v>
      </c>
      <c r="BA135" s="103" t="s">
        <v>535</v>
      </c>
      <c r="BB135" s="10">
        <v>218182</v>
      </c>
      <c r="BE135" s="250"/>
      <c r="BF135" s="249"/>
    </row>
    <row r="136" spans="51:58" ht="12.75">
      <c r="AY136" s="103" t="s">
        <v>148</v>
      </c>
      <c r="AZ136" s="103" t="s">
        <v>439</v>
      </c>
      <c r="BA136" s="103" t="s">
        <v>536</v>
      </c>
      <c r="BB136" s="10">
        <v>236598</v>
      </c>
      <c r="BE136" s="237"/>
      <c r="BF136" s="238"/>
    </row>
    <row r="137" spans="51:58" ht="12.75">
      <c r="AY137" s="103" t="s">
        <v>160</v>
      </c>
      <c r="AZ137" s="103" t="s">
        <v>445</v>
      </c>
      <c r="BA137" s="103" t="s">
        <v>536</v>
      </c>
      <c r="BB137" s="10">
        <v>165993</v>
      </c>
      <c r="BF137" s="252"/>
    </row>
    <row r="138" spans="51:58" ht="12.75">
      <c r="AY138" s="103" t="s">
        <v>54</v>
      </c>
      <c r="AZ138" s="103" t="s">
        <v>55</v>
      </c>
      <c r="BA138" s="103" t="s">
        <v>355</v>
      </c>
      <c r="BB138" s="10">
        <v>145889</v>
      </c>
      <c r="BE138" s="70"/>
      <c r="BF138" s="239"/>
    </row>
    <row r="139" spans="51:58" ht="12.75">
      <c r="AY139" s="103" t="s">
        <v>75</v>
      </c>
      <c r="AZ139" s="103" t="s">
        <v>412</v>
      </c>
      <c r="BA139" s="103" t="s">
        <v>355</v>
      </c>
      <c r="BB139" s="10">
        <v>267393</v>
      </c>
      <c r="BE139" s="237"/>
      <c r="BF139" s="238"/>
    </row>
    <row r="140" spans="51:58" ht="12.75">
      <c r="AY140" s="103" t="s">
        <v>201</v>
      </c>
      <c r="AZ140" s="103" t="s">
        <v>202</v>
      </c>
      <c r="BA140" s="103" t="s">
        <v>536</v>
      </c>
      <c r="BB140" s="10">
        <v>232551</v>
      </c>
      <c r="BE140" s="70"/>
      <c r="BF140" s="239"/>
    </row>
    <row r="141" spans="51:58" ht="12.75">
      <c r="AY141" s="103" t="s">
        <v>167</v>
      </c>
      <c r="AZ141" s="103" t="s">
        <v>168</v>
      </c>
      <c r="BA141" s="103" t="s">
        <v>536</v>
      </c>
      <c r="BB141" s="10">
        <v>350958</v>
      </c>
      <c r="BE141" s="70"/>
      <c r="BF141" s="239"/>
    </row>
    <row r="142" spans="51:58" ht="12.75">
      <c r="AY142" s="103" t="s">
        <v>153</v>
      </c>
      <c r="AZ142" s="103" t="s">
        <v>154</v>
      </c>
      <c r="BA142" s="103" t="s">
        <v>355</v>
      </c>
      <c r="BB142" s="10">
        <v>265654</v>
      </c>
      <c r="BE142" s="70"/>
      <c r="BF142" s="241"/>
    </row>
    <row r="143" spans="51:58" ht="12.75">
      <c r="AY143" s="103" t="s">
        <v>181</v>
      </c>
      <c r="AZ143" s="103" t="s">
        <v>182</v>
      </c>
      <c r="BA143" s="103" t="s">
        <v>355</v>
      </c>
      <c r="BB143" s="10">
        <v>284466</v>
      </c>
      <c r="BE143" s="70"/>
      <c r="BF143" s="249"/>
    </row>
    <row r="144" spans="51:58" ht="12.75">
      <c r="AY144" s="103" t="s">
        <v>146</v>
      </c>
      <c r="AZ144" s="103" t="s">
        <v>147</v>
      </c>
      <c r="BA144" s="103" t="s">
        <v>355</v>
      </c>
      <c r="BB144" s="10">
        <v>319933</v>
      </c>
      <c r="BE144" s="70"/>
      <c r="BF144" s="241"/>
    </row>
    <row r="145" spans="51:58" ht="12.75">
      <c r="AY145" s="103" t="s">
        <v>111</v>
      </c>
      <c r="AZ145" s="103" t="s">
        <v>112</v>
      </c>
      <c r="BA145" s="103" t="s">
        <v>355</v>
      </c>
      <c r="BB145" s="10">
        <v>192336</v>
      </c>
      <c r="BE145" s="248"/>
      <c r="BF145" s="249"/>
    </row>
    <row r="146" spans="51:58" ht="12.75">
      <c r="AY146" s="103" t="s">
        <v>237</v>
      </c>
      <c r="AZ146" s="103" t="s">
        <v>238</v>
      </c>
      <c r="BA146" s="103" t="s">
        <v>355</v>
      </c>
      <c r="BB146" s="10">
        <v>548313</v>
      </c>
      <c r="BF146" s="252"/>
    </row>
    <row r="147" spans="51:58" ht="12.75">
      <c r="AY147" s="103" t="s">
        <v>247</v>
      </c>
      <c r="AZ147" s="103" t="s">
        <v>248</v>
      </c>
      <c r="BA147" s="103" t="s">
        <v>355</v>
      </c>
      <c r="BB147" s="10">
        <v>287229</v>
      </c>
      <c r="BF147" s="252"/>
    </row>
    <row r="148" spans="51:58" ht="12.75">
      <c r="AY148" s="103" t="s">
        <v>222</v>
      </c>
      <c r="AZ148" s="103" t="s">
        <v>459</v>
      </c>
      <c r="BA148" s="103" t="s">
        <v>536</v>
      </c>
      <c r="BB148" s="10">
        <v>707573</v>
      </c>
      <c r="BF148" s="252"/>
    </row>
    <row r="149" spans="51:58" ht="12.75">
      <c r="AY149" s="103" t="s">
        <v>218</v>
      </c>
      <c r="AZ149" s="103" t="s">
        <v>219</v>
      </c>
      <c r="BA149" s="103" t="s">
        <v>536</v>
      </c>
      <c r="BB149" s="10">
        <v>825533</v>
      </c>
      <c r="BE149" s="248"/>
      <c r="BF149" s="249"/>
    </row>
    <row r="150" spans="51:58" ht="12.75">
      <c r="AY150" s="103" t="s">
        <v>196</v>
      </c>
      <c r="AZ150" s="103" t="s">
        <v>197</v>
      </c>
      <c r="BA150" s="103" t="s">
        <v>355</v>
      </c>
      <c r="BB150" s="10">
        <v>259945</v>
      </c>
      <c r="BF150" s="252"/>
    </row>
    <row r="151" spans="51:58" ht="12.75">
      <c r="AY151" s="103" t="s">
        <v>138</v>
      </c>
      <c r="AZ151" s="103" t="s">
        <v>139</v>
      </c>
      <c r="BA151" s="103" t="s">
        <v>355</v>
      </c>
      <c r="BB151" s="10">
        <v>246573</v>
      </c>
      <c r="BF151" s="252"/>
    </row>
    <row r="152" spans="51:58" ht="12.75">
      <c r="AY152" s="103" t="s">
        <v>266</v>
      </c>
      <c r="AZ152" s="103" t="s">
        <v>267</v>
      </c>
      <c r="BA152" s="103" t="s">
        <v>536</v>
      </c>
      <c r="BB152" s="10">
        <v>462395</v>
      </c>
      <c r="BE152" s="250"/>
      <c r="BF152" s="239"/>
    </row>
    <row r="153" spans="51:58" ht="12.75">
      <c r="AY153" s="103" t="s">
        <v>191</v>
      </c>
      <c r="AZ153" s="103" t="s">
        <v>192</v>
      </c>
      <c r="BA153" s="103" t="s">
        <v>355</v>
      </c>
      <c r="BB153" s="10">
        <v>332176</v>
      </c>
      <c r="BF153" s="252"/>
    </row>
    <row r="154" spans="51:58" ht="12.75">
      <c r="AY154" s="103" t="s">
        <v>161</v>
      </c>
      <c r="AZ154" s="103" t="s">
        <v>446</v>
      </c>
      <c r="BA154" s="103" t="s">
        <v>355</v>
      </c>
      <c r="BB154" s="10">
        <v>246213</v>
      </c>
      <c r="BE154" s="237"/>
      <c r="BF154" s="238"/>
    </row>
    <row r="155" spans="51:58" ht="12.75">
      <c r="AY155" s="103" t="s">
        <v>235</v>
      </c>
      <c r="AZ155" s="103" t="s">
        <v>236</v>
      </c>
      <c r="BA155" s="103" t="s">
        <v>536</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628</v>
      </c>
      <c r="B3" s="56" t="s">
        <v>230</v>
      </c>
      <c r="C3" s="56" t="s">
        <v>24</v>
      </c>
    </row>
    <row r="4" spans="1:2" ht="12.75">
      <c r="A4" s="76">
        <v>1</v>
      </c>
      <c r="B4" s="78" t="s">
        <v>229</v>
      </c>
    </row>
    <row r="5" ht="12.75">
      <c r="A5" s="280" t="s">
        <v>628</v>
      </c>
    </row>
    <row r="6" ht="12.75">
      <c r="A6" s="280" t="s">
        <v>600</v>
      </c>
    </row>
    <row r="7" ht="12.75">
      <c r="A7" s="280" t="s">
        <v>581</v>
      </c>
    </row>
    <row r="8" ht="12.75">
      <c r="A8" s="280" t="s">
        <v>616</v>
      </c>
    </row>
    <row r="9" ht="12.75">
      <c r="A9" s="280" t="s">
        <v>614</v>
      </c>
    </row>
    <row r="10" ht="12.75">
      <c r="A10" s="280" t="s">
        <v>599</v>
      </c>
    </row>
    <row r="11" ht="12.75">
      <c r="A11" s="280" t="s">
        <v>577</v>
      </c>
    </row>
    <row r="12" ht="12.75">
      <c r="A12" s="280" t="s">
        <v>544</v>
      </c>
    </row>
    <row r="13" ht="12.75">
      <c r="A13" s="280" t="s">
        <v>548</v>
      </c>
    </row>
    <row r="14" ht="12.75">
      <c r="A14" s="280" t="s">
        <v>576</v>
      </c>
    </row>
    <row r="15" ht="12.75">
      <c r="A15" s="280" t="s">
        <v>556</v>
      </c>
    </row>
    <row r="16" ht="12.75">
      <c r="A16" s="280" t="s">
        <v>613</v>
      </c>
    </row>
    <row r="17" ht="12.75">
      <c r="A17" s="280" t="s">
        <v>592</v>
      </c>
    </row>
    <row r="18" ht="12.75">
      <c r="A18" s="280" t="s">
        <v>570</v>
      </c>
    </row>
    <row r="19" ht="12.75">
      <c r="A19" s="280" t="s">
        <v>597</v>
      </c>
    </row>
    <row r="20" ht="12.75">
      <c r="A20" s="280" t="s">
        <v>551</v>
      </c>
    </row>
    <row r="21" ht="12.75">
      <c r="A21" s="280" t="s">
        <v>629</v>
      </c>
    </row>
    <row r="22" ht="12.75">
      <c r="A22" s="280" t="s">
        <v>582</v>
      </c>
    </row>
    <row r="23" ht="12.75">
      <c r="A23" s="280" t="s">
        <v>586</v>
      </c>
    </row>
    <row r="24" ht="12.75">
      <c r="A24" s="280" t="s">
        <v>609</v>
      </c>
    </row>
    <row r="25" ht="12.75">
      <c r="A25" s="280" t="s">
        <v>571</v>
      </c>
    </row>
    <row r="26" ht="12.75">
      <c r="A26" s="280" t="s">
        <v>568</v>
      </c>
    </row>
    <row r="27" ht="12.75">
      <c r="A27" s="280" t="s">
        <v>601</v>
      </c>
    </row>
    <row r="28" ht="12.75">
      <c r="A28" s="280" t="s">
        <v>603</v>
      </c>
    </row>
    <row r="29" ht="12.75">
      <c r="A29" s="280" t="s">
        <v>550</v>
      </c>
    </row>
    <row r="30" ht="12.75">
      <c r="A30" s="280" t="s">
        <v>583</v>
      </c>
    </row>
    <row r="31" ht="12.75">
      <c r="A31" s="280" t="s">
        <v>611</v>
      </c>
    </row>
    <row r="32" ht="12.75">
      <c r="A32" s="280" t="s">
        <v>557</v>
      </c>
    </row>
    <row r="33" ht="12.75">
      <c r="A33" s="280" t="s">
        <v>612</v>
      </c>
    </row>
    <row r="34" ht="12.75">
      <c r="A34" s="280" t="s">
        <v>560</v>
      </c>
    </row>
    <row r="35" ht="12.75">
      <c r="A35" s="280" t="s">
        <v>565</v>
      </c>
    </row>
    <row r="36" ht="12.75">
      <c r="A36" s="280" t="s">
        <v>591</v>
      </c>
    </row>
    <row r="37" ht="12.75">
      <c r="A37" s="280" t="s">
        <v>573</v>
      </c>
    </row>
    <row r="38" ht="12.75">
      <c r="A38" s="280" t="s">
        <v>593</v>
      </c>
    </row>
    <row r="39" ht="12.75">
      <c r="A39" s="280" t="s">
        <v>584</v>
      </c>
    </row>
    <row r="40" ht="12.75">
      <c r="A40" s="280" t="s">
        <v>595</v>
      </c>
    </row>
    <row r="41" ht="12.75">
      <c r="A41" s="280" t="s">
        <v>617</v>
      </c>
    </row>
    <row r="42" ht="12.75">
      <c r="A42" s="280" t="s">
        <v>606</v>
      </c>
    </row>
    <row r="43" ht="12.75">
      <c r="A43" s="280" t="s">
        <v>564</v>
      </c>
    </row>
    <row r="44" ht="12.75">
      <c r="A44" s="280" t="s">
        <v>590</v>
      </c>
    </row>
    <row r="45" ht="12.75">
      <c r="A45" s="280" t="s">
        <v>549</v>
      </c>
    </row>
    <row r="46" ht="12.75">
      <c r="A46" s="280" t="s">
        <v>608</v>
      </c>
    </row>
    <row r="47" ht="12.75">
      <c r="A47" s="280" t="s">
        <v>567</v>
      </c>
    </row>
    <row r="48" ht="12.75">
      <c r="A48" s="280" t="s">
        <v>604</v>
      </c>
    </row>
    <row r="49" ht="12.75">
      <c r="A49" s="280" t="s">
        <v>546</v>
      </c>
    </row>
    <row r="50" ht="12.75">
      <c r="A50" s="280" t="s">
        <v>559</v>
      </c>
    </row>
    <row r="51" ht="12.75">
      <c r="A51" s="280" t="s">
        <v>598</v>
      </c>
    </row>
    <row r="52" ht="12.75">
      <c r="A52" s="280" t="s">
        <v>554</v>
      </c>
    </row>
    <row r="53" ht="12.75">
      <c r="A53" s="280" t="s">
        <v>602</v>
      </c>
    </row>
    <row r="54" ht="12.75">
      <c r="A54" s="280" t="s">
        <v>579</v>
      </c>
    </row>
    <row r="55" ht="12.75">
      <c r="A55" s="280" t="s">
        <v>615</v>
      </c>
    </row>
    <row r="56" ht="12.75">
      <c r="A56" s="280" t="s">
        <v>588</v>
      </c>
    </row>
    <row r="57" ht="12.75">
      <c r="A57" s="280" t="s">
        <v>563</v>
      </c>
    </row>
    <row r="58" ht="12.75">
      <c r="A58" s="280" t="s">
        <v>585</v>
      </c>
    </row>
    <row r="59" ht="12.75">
      <c r="A59" s="280" t="s">
        <v>575</v>
      </c>
    </row>
    <row r="60" ht="12.75">
      <c r="A60" s="280" t="s">
        <v>594</v>
      </c>
    </row>
    <row r="61" ht="12.75">
      <c r="A61" s="280" t="s">
        <v>580</v>
      </c>
    </row>
    <row r="62" ht="12.75">
      <c r="A62" s="280" t="s">
        <v>574</v>
      </c>
    </row>
    <row r="63" ht="12.75">
      <c r="A63" s="280" t="s">
        <v>596</v>
      </c>
    </row>
    <row r="64" ht="12.75">
      <c r="A64" s="280" t="s">
        <v>605</v>
      </c>
    </row>
    <row r="65" ht="12.75">
      <c r="A65" s="280" t="s">
        <v>578</v>
      </c>
    </row>
    <row r="66" ht="12.75">
      <c r="A66" s="280" t="s">
        <v>587</v>
      </c>
    </row>
    <row r="67" ht="12.75">
      <c r="A67" s="280" t="s">
        <v>566</v>
      </c>
    </row>
    <row r="68" ht="12.75">
      <c r="A68" s="280" t="s">
        <v>552</v>
      </c>
    </row>
    <row r="69" ht="12.75">
      <c r="A69" s="280" t="s">
        <v>553</v>
      </c>
    </row>
    <row r="70" ht="12.75">
      <c r="A70" s="280" t="s">
        <v>545</v>
      </c>
    </row>
    <row r="71" ht="12.75">
      <c r="A71" s="280" t="s">
        <v>607</v>
      </c>
    </row>
    <row r="72" ht="12.75">
      <c r="A72" s="280" t="s">
        <v>547</v>
      </c>
    </row>
    <row r="73" ht="12.75">
      <c r="A73" s="280" t="s">
        <v>562</v>
      </c>
    </row>
    <row r="74" ht="12.75">
      <c r="A74" s="280" t="s">
        <v>555</v>
      </c>
    </row>
    <row r="75" ht="12.75">
      <c r="A75" s="280" t="s">
        <v>589</v>
      </c>
    </row>
    <row r="76" ht="12.75">
      <c r="A76" s="280" t="s">
        <v>610</v>
      </c>
    </row>
    <row r="77" ht="12.75">
      <c r="A77" s="280" t="s">
        <v>572</v>
      </c>
    </row>
    <row r="78" ht="12.75">
      <c r="A78" s="280" t="s">
        <v>561</v>
      </c>
    </row>
    <row r="79" ht="12.75">
      <c r="A79" s="280" t="s">
        <v>558</v>
      </c>
    </row>
    <row r="80" ht="12.75">
      <c r="A80" s="280" t="s">
        <v>569</v>
      </c>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2012-07-27T16:06:44Z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