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<sst xmlns="http://schemas.openxmlformats.org/spreadsheetml/2006/main" count="2323" uniqueCount="669">
  <si>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</si>
  <si>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</si>
  <si>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</si>
  <si>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</si>
  <si>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</si>
  <si>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</si>
  <si>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</si>
  <si>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</si>
  <si>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</si>
  <si>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</si>
  <si>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</si>
  <si>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</si>
  <si>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</si>
  <si>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</si>
  <si>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</si>
  <si>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</si>
  <si>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</si>
  <si>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</si>
  <si>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</si>
  <si>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</si>
  <si>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</si>
  <si>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</si>
  <si>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</si>
  <si>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</si>
  <si>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</si>
  <si>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</si>
  <si>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</si>
  <si>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</si>
  <si>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</si>
  <si>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</si>
  <si>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</si>
  <si>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</si>
  <si>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</si>
  <si>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</si>
  <si>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</si>
  <si>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</si>
  <si>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</si>
  <si>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</si>
  <si>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</si>
  <si>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</si>
  <si>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</si>
  <si>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</si>
  <si>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</si>
  <si>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</si>
  <si>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</si>
  <si>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</si>
  <si>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</si>
  <si>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</si>
  <si>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</si>
  <si>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</si>
  <si>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</si>
  <si>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</si>
  <si>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</si>
  <si>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</si>
  <si>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</si>
  <si>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</si>
  <si>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</si>
  <si>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</si>
  <si>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</si>
  <si>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</si>
  <si>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</si>
  <si>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</si>
  <si>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</si>
  <si>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</si>
  <si>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</si>
  <si>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</si>
  <si>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</si>
  <si>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</si>
  <si>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</si>
  <si>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</si>
  <si>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</si>
  <si>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</si>
  <si>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</si>
  <si>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</si>
  <si>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</si>
  <si>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</si>
  <si>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</si>
  <si>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</si>
  <si>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</si>
  <si>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</si>
  <si>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</si>
  <si>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</si>
  <si>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</si>
  <si>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</si>
  <si>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</si>
  <si>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</si>
  <si>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</si>
  <si>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</si>
  <si>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</si>
  <si>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</si>
  <si>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</si>
  <si>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</si>
  <si>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</si>
  <si>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</si>
  <si>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</si>
  <si>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</si>
  <si>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</si>
  <si>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</si>
  <si>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</si>
  <si>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</si>
  <si>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</si>
  <si>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</si>
  <si>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</si>
  <si>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</si>
  <si>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</si>
  <si>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</si>
  <si>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</si>
  <si>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</si>
  <si>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</si>
  <si>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</si>
  <si>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</si>
  <si>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</si>
  <si>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</si>
  <si>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</si>
  <si>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</si>
  <si>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</si>
  <si>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</si>
  <si>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</si>
  <si>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</si>
  <si>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</si>
  <si>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</si>
  <si>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</si>
  <si>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</si>
  <si>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</si>
  <si>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</si>
  <si>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</si>
  <si>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</si>
  <si>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</si>
  <si>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</si>
  <si>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</si>
  <si>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</si>
  <si>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</si>
  <si>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</si>
  <si>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</si>
  <si>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</si>
  <si>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</si>
  <si>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</si>
  <si>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</si>
  <si>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</si>
  <si>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</si>
  <si>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</si>
  <si>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</si>
  <si>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</si>
  <si>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</si>
  <si>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</si>
  <si>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</si>
  <si>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</si>
  <si>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</si>
  <si>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</si>
  <si>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</si>
  <si>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</si>
  <si>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</si>
  <si>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</si>
  <si>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</si>
  <si>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</si>
  <si>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</si>
  <si>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</si>
  <si>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</si>
  <si>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</si>
  <si>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</si>
  <si>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</si>
  <si>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</si>
  <si>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</si>
  <si>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</si>
  <si>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</si>
  <si>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</si>
  <si>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</si>
  <si>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</si>
  <si>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</si>
  <si>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</si>
  <si>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</si>
  <si>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</si>
  <si>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</si>
  <si>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</si>
  <si>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</si>
  <si>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</si>
  <si>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</si>
  <si>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</si>
  <si>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</si>
  <si>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</si>
  <si>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</si>
  <si>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</si>
  <si>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</si>
  <si>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</si>
  <si>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</si>
  <si>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</si>
  <si>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</si>
  <si>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</si>
  <si>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</si>
  <si>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</si>
  <si>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</si>
  <si>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</si>
  <si>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</si>
  <si>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</si>
  <si>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</si>
  <si>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</si>
  <si>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</si>
  <si>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</si>
  <si>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</si>
  <si>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</si>
  <si>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</si>
  <si>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</si>
  <si>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</si>
  <si>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</si>
  <si>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</si>
  <si>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</si>
  <si>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</si>
  <si>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</si>
  <si>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</si>
  <si>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</si>
  <si>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</si>
  <si>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</si>
  <si>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</si>
  <si>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</si>
  <si>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</si>
  <si>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</si>
  <si>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</si>
  <si>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</si>
  <si>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</si>
  <si>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</si>
  <si>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</si>
  <si>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</si>
  <si>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</si>
  <si>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</si>
  <si>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</si>
  <si>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</si>
  <si>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</si>
  <si>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</si>
  <si>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</si>
  <si>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</si>
  <si>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</si>
  <si>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</si>
  <si>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</si>
  <si>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</si>
  <si>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</si>
  <si>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</si>
  <si>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</si>
  <si>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</si>
  <si>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</si>
  <si>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</si>
  <si>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</si>
  <si>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</si>
  <si>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</si>
  <si>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</si>
  <si>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</si>
  <si>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</si>
  <si>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</si>
  <si>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</si>
  <si>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</si>
  <si>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</si>
  <si>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</si>
  <si>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</si>
  <si>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</si>
  <si>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</si>
  <si>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</si>
  <si>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</si>
  <si>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</si>
  <si>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</si>
  <si>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</si>
  <si>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</si>
  <si>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</si>
  <si>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</si>
  <si>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</si>
  <si>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</si>
  <si>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</si>
  <si>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</si>
  <si>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</si>
  <si>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</si>
  <si>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</si>
  <si>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</si>
  <si>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</si>
  <si>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</si>
  <si>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</si>
  <si>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</si>
  <si>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</si>
  <si>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</si>
  <si>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</si>
  <si>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</si>
  <si>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</si>
  <si>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</si>
  <si>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</si>
  <si>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</si>
  <si>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C81018</t>
  </si>
  <si>
    <t>M83001</t>
  </si>
  <si>
    <t>M83006</t>
  </si>
  <si>
    <t>M83009</t>
  </si>
  <si>
    <t>M83010</t>
  </si>
  <si>
    <t>M83013</t>
  </si>
  <si>
    <t>M83016</t>
  </si>
  <si>
    <t>M83018</t>
  </si>
  <si>
    <t>M83020</t>
  </si>
  <si>
    <t>M83022</t>
  </si>
  <si>
    <t>M83024</t>
  </si>
  <si>
    <t>M83026</t>
  </si>
  <si>
    <t>M83027</t>
  </si>
  <si>
    <t>M83030</t>
  </si>
  <si>
    <t>M83031</t>
  </si>
  <si>
    <t>M83032</t>
  </si>
  <si>
    <t>M83033</t>
  </si>
  <si>
    <t>M83035</t>
  </si>
  <si>
    <t>M83036</t>
  </si>
  <si>
    <t>M83037</t>
  </si>
  <si>
    <t>M83041</t>
  </si>
  <si>
    <t>M83042</t>
  </si>
  <si>
    <t>M83043</t>
  </si>
  <si>
    <t>M83044</t>
  </si>
  <si>
    <t>M83045</t>
  </si>
  <si>
    <t>M83048</t>
  </si>
  <si>
    <t>M83049</t>
  </si>
  <si>
    <t>M83050</t>
  </si>
  <si>
    <t>M83051</t>
  </si>
  <si>
    <t>M83052</t>
  </si>
  <si>
    <t>M83057</t>
  </si>
  <si>
    <t>M83059</t>
  </si>
  <si>
    <t>M83062</t>
  </si>
  <si>
    <t>M83063</t>
  </si>
  <si>
    <t>M83064</t>
  </si>
  <si>
    <t>M83065</t>
  </si>
  <si>
    <t>M83069</t>
  </si>
  <si>
    <t>M83070</t>
  </si>
  <si>
    <t>M83072</t>
  </si>
  <si>
    <t>M83073</t>
  </si>
  <si>
    <t>M83074</t>
  </si>
  <si>
    <t>M83078</t>
  </si>
  <si>
    <t>M83080</t>
  </si>
  <si>
    <t>M83088</t>
  </si>
  <si>
    <t>M83092</t>
  </si>
  <si>
    <t>M83093</t>
  </si>
  <si>
    <t>M83097</t>
  </si>
  <si>
    <t>M83107</t>
  </si>
  <si>
    <t>M83109</t>
  </si>
  <si>
    <t>M83110</t>
  </si>
  <si>
    <t>M83111</t>
  </si>
  <si>
    <t>M83113</t>
  </si>
  <si>
    <t>M83115</t>
  </si>
  <si>
    <t>M83117</t>
  </si>
  <si>
    <t>M83125</t>
  </si>
  <si>
    <t>M83129</t>
  </si>
  <si>
    <t>M83130</t>
  </si>
  <si>
    <t>M83131</t>
  </si>
  <si>
    <t>M83132</t>
  </si>
  <si>
    <t>M83139</t>
  </si>
  <si>
    <t>M83144</t>
  </si>
  <si>
    <t>M83148</t>
  </si>
  <si>
    <t>M83608</t>
  </si>
  <si>
    <t>M83611</t>
  </si>
  <si>
    <t>M83613</t>
  </si>
  <si>
    <t>M83616</t>
  </si>
  <si>
    <t>M83617</t>
  </si>
  <si>
    <t>M83637</t>
  </si>
  <si>
    <t>M83638</t>
  </si>
  <si>
    <t>M83639</t>
  </si>
  <si>
    <t>M83641</t>
  </si>
  <si>
    <t>M83662</t>
  </si>
  <si>
    <t>M83668</t>
  </si>
  <si>
    <t>M83680</t>
  </si>
  <si>
    <t>M83681</t>
  </si>
  <si>
    <t>M83692</t>
  </si>
  <si>
    <t>M83693</t>
  </si>
  <si>
    <t>M83698</t>
  </si>
  <si>
    <t>M83703</t>
  </si>
  <si>
    <t>M83705</t>
  </si>
  <si>
    <t>M83706</t>
  </si>
  <si>
    <t>M83715</t>
  </si>
  <si>
    <t>M83717</t>
  </si>
  <si>
    <t>M83718</t>
  </si>
  <si>
    <t>M83719</t>
  </si>
  <si>
    <t>M83722</t>
  </si>
  <si>
    <t>M83726</t>
  </si>
  <si>
    <t>M83727</t>
  </si>
  <si>
    <t>M83733</t>
  </si>
  <si>
    <t>M83735</t>
  </si>
  <si>
    <t>M83738</t>
  </si>
  <si>
    <t>5CC</t>
  </si>
  <si>
    <t>Y00078</t>
  </si>
  <si>
    <t>Y02354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</si>
  <si>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</si>
  <si>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</si>
  <si>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</si>
  <si>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</si>
  <si>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</si>
  <si>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</si>
  <si>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</si>
  <si>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</si>
  <si>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</si>
  <si>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</si>
  <si>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</si>
  <si>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</si>
  <si>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</si>
  <si>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</si>
  <si>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</si>
  <si>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</si>
  <si>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</si>
  <si>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</si>
  <si>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</si>
  <si>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</si>
  <si>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</si>
  <si>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</si>
  <si>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</si>
  <si>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</si>
  <si>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</si>
  <si>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</si>
  <si>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</si>
  <si>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</si>
  <si>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</si>
  <si>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</si>
  <si>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</si>
  <si>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</si>
  <si>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</si>
  <si>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</si>
  <si>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</si>
  <si>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</si>
  <si>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</si>
  <si>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</si>
  <si>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</si>
  <si>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</si>
  <si>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</si>
  <si>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</si>
  <si>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</si>
  <si>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</si>
  <si>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</si>
  <si>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</si>
  <si>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</si>
  <si>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</si>
  <si>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</si>
  <si>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</si>
  <si>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</si>
  <si>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</si>
  <si>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</si>
  <si>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</si>
  <si>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</si>
  <si>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</si>
  <si>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</si>
  <si>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</si>
  <si>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</si>
  <si>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</si>
  <si>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</si>
  <si>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</si>
  <si>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</si>
  <si>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</si>
  <si>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</si>
  <si>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</si>
  <si>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</si>
  <si>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</si>
  <si>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</si>
  <si>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</si>
  <si>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</si>
  <si>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</si>
  <si>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</si>
  <si>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</si>
  <si>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</si>
  <si>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</si>
  <si>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</si>
  <si>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</si>
  <si>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</si>
  <si>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</si>
  <si>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</si>
  <si>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</si>
  <si>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</si>
  <si>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</si>
  <si>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</si>
  <si>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</si>
  <si>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</si>
  <si>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</si>
  <si>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</si>
  <si>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</si>
  <si>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</si>
  <si>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</si>
  <si>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</si>
  <si>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</si>
  <si>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</si>
  <si>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</si>
  <si>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</si>
  <si>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</si>
  <si>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</si>
  <si>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</si>
  <si>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</si>
  <si>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</si>
  <si>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</si>
  <si>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</si>
  <si>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</si>
  <si>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</si>
  <si>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</si>
  <si>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</si>
  <si>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</si>
  <si>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</si>
  <si>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</si>
  <si>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</si>
  <si>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</si>
  <si>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</si>
  <si>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</si>
  <si>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</si>
  <si>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</si>
  <si>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</si>
  <si>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</si>
  <si>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</si>
  <si>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</si>
  <si>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</si>
  <si>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</si>
  <si>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</si>
  <si>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</si>
  <si>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</si>
  <si>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</si>
  <si>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</si>
  <si>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</si>
  <si>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</si>
  <si>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</si>
  <si>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</si>
  <si>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</si>
  <si>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</si>
  <si>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</si>
  <si>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</si>
  <si>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</si>
  <si>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</si>
  <si>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</si>
  <si>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</si>
  <si>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</si>
  <si>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</si>
  <si>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</si>
  <si>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</si>
  <si>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</si>
  <si>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</si>
  <si>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</si>
  <si>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</si>
  <si>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</si>
  <si>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</si>
  <si>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</si>
  <si>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</si>
  <si>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</si>
  <si>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</si>
  <si>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</si>
  <si>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</si>
  <si>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</si>
  <si>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</si>
  <si>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</si>
  <si>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</si>
  <si>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</si>
  <si>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</si>
  <si>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</si>
  <si>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</si>
  <si>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</si>
  <si>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</si>
  <si>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</si>
  <si>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</si>
  <si>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</si>
  <si>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</si>
  <si>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</si>
  <si>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</si>
  <si>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</si>
  <si>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</si>
  <si>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</si>
  <si>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</si>
  <si>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</si>
  <si>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</si>
  <si>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</si>
  <si>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</si>
  <si>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</si>
  <si>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Y02414</t>
  </si>
  <si>
    <t>Y02594</t>
  </si>
  <si>
    <t>2010/11</t>
  </si>
  <si>
    <t>2008/09-2010/11</t>
  </si>
  <si>
    <t>2005/06-2010/11</t>
  </si>
  <si>
    <t>(C81018) DOVE RIVER</t>
  </si>
  <si>
    <t>(M83001) HORSEFAIR PRACTICE</t>
  </si>
  <si>
    <t>(M83006) THE WESTGATE PRACTICE</t>
  </si>
  <si>
    <t>(M83009) BREWOOD</t>
  </si>
  <si>
    <t>(M83010) GORDON STREET</t>
  </si>
  <si>
    <t>(M83013) YOXALL</t>
  </si>
  <si>
    <t>(M83016) HIGH STREET SURGERY</t>
  </si>
  <si>
    <t>(M83018) GRAVEL HILL</t>
  </si>
  <si>
    <t>(M83020) CUMBERLAND HOUSE</t>
  </si>
  <si>
    <t>(M83022) HAZELDENE HOUSE SURGERY</t>
  </si>
  <si>
    <t>(M83024) CASTLEFIELDS</t>
  </si>
  <si>
    <t>(M83026) CARLTON STREET</t>
  </si>
  <si>
    <t>(M83027) TRENT MEADOWS</t>
  </si>
  <si>
    <t>(M83030) THE LANGTON MEDICAL GROUP</t>
  </si>
  <si>
    <t>(M83031) RUSSELL HOUSE</t>
  </si>
  <si>
    <t>(M83032) THE ALDERGATE MEDICAL PRACTICE</t>
  </si>
  <si>
    <t>(M83033) DR JS CHANDRA</t>
  </si>
  <si>
    <t>(M83035) ALREWAS</t>
  </si>
  <si>
    <t>(M83036) RISING BROOK</t>
  </si>
  <si>
    <t>(M83037) TUTBURY</t>
  </si>
  <si>
    <t>(M83041) MOSS GROVE SURGERY KINVER</t>
  </si>
  <si>
    <t>(M83042) BRIDGE</t>
  </si>
  <si>
    <t>(M83043) ANCHOR MEDICAL PRACTICE</t>
  </si>
  <si>
    <t>(M83044) BROWNING STREET</t>
  </si>
  <si>
    <t>(M83045) PENKRIDGE MEDICAL PRACTICE</t>
  </si>
  <si>
    <t>(M83048) THE NILE PRACTICE</t>
  </si>
  <si>
    <t>(M83049) HOLMCROFT</t>
  </si>
  <si>
    <t>(M83050) WOLVERHAMPTON ROAD</t>
  </si>
  <si>
    <t>(M83051) WETMORE</t>
  </si>
  <si>
    <t>(M83052) WEEPING CROSS</t>
  </si>
  <si>
    <t>(M83057) MILL BANK</t>
  </si>
  <si>
    <t>(M83059) ABBOTS BROMLEY</t>
  </si>
  <si>
    <t>(M83062) LAUREL HOUSE SURGERY</t>
  </si>
  <si>
    <t>(M83063) NORTON CANES HEALTH CENTRE</t>
  </si>
  <si>
    <t>(M83064) WILNECOTE SURGERY</t>
  </si>
  <si>
    <t>(M83065) BARTON</t>
  </si>
  <si>
    <t>(M83069) MANSION HOUSE</t>
  </si>
  <si>
    <t>(M83070) GNOSALL</t>
  </si>
  <si>
    <t>(M83072) SALTERS MEADOW HEALTH CENTRE</t>
  </si>
  <si>
    <t>(M83073) STAPENHILL</t>
  </si>
  <si>
    <t>(M83074) BALANCE STREET</t>
  </si>
  <si>
    <t>(M83078) CLOISTERS MEDICAL PRACTICE</t>
  </si>
  <si>
    <t>(M83080) LANDYWOOD LANE SURGERY</t>
  </si>
  <si>
    <t>(M83088) HOLLIES PRACTICE</t>
  </si>
  <si>
    <t>(M83092) CROWN SURGERY</t>
  </si>
  <si>
    <t>(M83093) DALE MEDICAL CENTRE</t>
  </si>
  <si>
    <t>(M83097) BILBROOK</t>
  </si>
  <si>
    <t>(M83107) BIDEFORD WAY SURGERY</t>
  </si>
  <si>
    <t>(M83109) DR VK SINGH</t>
  </si>
  <si>
    <t>(M83110) HEATHVIEW MEDICAL CENTRE</t>
  </si>
  <si>
    <t>(M83111) RIVERSIDE SURGERY</t>
  </si>
  <si>
    <t>(M83113) DR KHARE'S SURGERY</t>
  </si>
  <si>
    <t>(M83115) DR AHMAD'S SURGERY</t>
  </si>
  <si>
    <t>(M83117) CROWN MEDICAL PRACTICE</t>
  </si>
  <si>
    <t>(M83125) CLAVERLEY</t>
  </si>
  <si>
    <t>(M83129) HEATH HAYES HEALTH CENTRE</t>
  </si>
  <si>
    <t>(M83130) RED LION SURGERY</t>
  </si>
  <si>
    <t>(M83131) STAFFORD ROAD SURGERY</t>
  </si>
  <si>
    <t>(M83132) LAKESIDE</t>
  </si>
  <si>
    <t>(M83139) MOSS STREET SURGERY</t>
  </si>
  <si>
    <t>(M83144) CHASETOWN MEDICAL CENTRE</t>
  </si>
  <si>
    <t>(M83148) THE PEEL MEDICAL PRACTICE</t>
  </si>
  <si>
    <t>(M83608) GREAT WYRLEY HEALTH CENTRE</t>
  </si>
  <si>
    <t>(M83611) JOHN AMERY DRIVE SURGERY</t>
  </si>
  <si>
    <t>(M83613) WARDLES LANE SURGERY</t>
  </si>
  <si>
    <t>(M83616) GP SUITE SURGERY</t>
  </si>
  <si>
    <t>(M83617) THE SPIRES PRACTICE</t>
  </si>
  <si>
    <t>(M83637) CHADSMOOR MEDICAL PRACTICE</t>
  </si>
  <si>
    <t>(M83638) THE COLLIERY PRACTICE</t>
  </si>
  <si>
    <t>(M83639) DR A YI</t>
  </si>
  <si>
    <t>(M83641) ROCESTER</t>
  </si>
  <si>
    <t>(M83662) NEWHALL STREET SURGERY</t>
  </si>
  <si>
    <t>(M83668) TAMAR</t>
  </si>
  <si>
    <t>(M83680) NORTH GATE</t>
  </si>
  <si>
    <t>(M83681) ALL SAINTS SURGERY</t>
  </si>
  <si>
    <t>(M83692) FULFEN PRACTICE</t>
  </si>
  <si>
    <t>(M83693) TRI-LINKS MEDICAL PRACTICE</t>
  </si>
  <si>
    <t>(M83698) SOUTHFIELD WAY SURGERY</t>
  </si>
  <si>
    <t>(M83703) BRERETON SURGERY</t>
  </si>
  <si>
    <t>(M83705) DR YANNAMANI'S SURGERY</t>
  </si>
  <si>
    <t>(M83706) DR VIJE'S SURGERY</t>
  </si>
  <si>
    <t>(M83715) FEATHERSTONE</t>
  </si>
  <si>
    <t>(M83717) NORTON CANES SURGERY</t>
  </si>
  <si>
    <t>(M83718) PEEL CROFT</t>
  </si>
  <si>
    <t>(M83719) RAWNSLEY SURGERY</t>
  </si>
  <si>
    <t>(M83722) DR M MURUGAN</t>
  </si>
  <si>
    <t>(M83726) KING STREET</t>
  </si>
  <si>
    <t>(M83727) NORTON CANES PRACTICE</t>
  </si>
  <si>
    <t>(M83733) FAZELEY SURGERY</t>
  </si>
  <si>
    <t>(M83735) THE MINSTER PRACTICE</t>
  </si>
  <si>
    <t>(M83738) AELFGAR SURGERY</t>
  </si>
  <si>
    <t>(Y00078) WINSHILL</t>
  </si>
  <si>
    <t>(Y02354) SANDY LANE SURGERY</t>
  </si>
  <si>
    <t>(Y02594) ESSINGTON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</si>
  <si>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</si>
  <si>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</si>
  <si>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</si>
  <si>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</si>
  <si>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</si>
  <si>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</si>
  <si>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</si>
  <si>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</si>
  <si>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</si>
  <si>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</si>
  <si>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(Y02414) BURNTWOOD HEALTH + WELLBEING CENTRE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</si>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</sst>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0.9280282477424433</c:v>
                </c:pt>
                <c:pt idx="3">
                  <c:v>1</c:v>
                </c:pt>
                <c:pt idx="4">
                  <c:v>1</c:v>
                </c:pt>
                <c:pt idx="5">
                  <c:v>1</c:v>
                </c:pt>
                <c:pt idx="6">
                  <c:v>0.9166666860692216</c:v>
                </c:pt>
                <c:pt idx="7">
                  <c:v>0.888472279354721</c:v>
                </c:pt>
                <c:pt idx="8">
                  <c:v>0.6849676182736899</c:v>
                </c:pt>
                <c:pt idx="9">
                  <c:v>0.7032213169945448</c:v>
                </c:pt>
                <c:pt idx="10">
                  <c:v>0.690185023477758</c:v>
                </c:pt>
                <c:pt idx="11">
                  <c:v>0.8149724353504222</c:v>
                </c:pt>
                <c:pt idx="12">
                  <c:v>1</c:v>
                </c:pt>
                <c:pt idx="13">
                  <c:v>0</c:v>
                </c:pt>
                <c:pt idx="14">
                  <c:v>1</c:v>
                </c:pt>
                <c:pt idx="15">
                  <c:v>1</c:v>
                </c:pt>
                <c:pt idx="16">
                  <c:v>1</c:v>
                </c:pt>
                <c:pt idx="17">
                  <c:v>1</c:v>
                </c:pt>
                <c:pt idx="18">
                  <c:v>1</c:v>
                </c:pt>
                <c:pt idx="19">
                  <c:v>1</c:v>
                </c:pt>
                <c:pt idx="20">
                  <c:v>1</c:v>
                </c:pt>
                <c:pt idx="21">
                  <c:v>1</c:v>
                </c:pt>
                <c:pt idx="22">
                  <c:v>0.9881537260021581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0.6012881163939239</c:v>
                </c:pt>
                <c:pt idx="3">
                  <c:v>0.6250000116415314</c:v>
                </c:pt>
                <c:pt idx="4">
                  <c:v>0.5812917552122693</c:v>
                </c:pt>
                <c:pt idx="5">
                  <c:v>0.5415020772631097</c:v>
                </c:pt>
                <c:pt idx="6">
                  <c:v>0.6250000291038325</c:v>
                </c:pt>
                <c:pt idx="7">
                  <c:v>0.6018496584521226</c:v>
                </c:pt>
                <c:pt idx="8">
                  <c:v>0.5440183912070512</c:v>
                </c:pt>
                <c:pt idx="9">
                  <c:v>0.5626126569003376</c:v>
                </c:pt>
                <c:pt idx="10">
                  <c:v>0.5778060525054994</c:v>
                </c:pt>
                <c:pt idx="11">
                  <c:v>0.5921240462826988</c:v>
                </c:pt>
                <c:pt idx="12">
                  <c:v>0.588493535146788</c:v>
                </c:pt>
                <c:pt idx="13">
                  <c:v>0</c:v>
                </c:pt>
                <c:pt idx="14">
                  <c:v>0.5902043462597121</c:v>
                </c:pt>
                <c:pt idx="15">
                  <c:v>0.6041130038912652</c:v>
                </c:pt>
                <c:pt idx="16">
                  <c:v>0.6009813483769331</c:v>
                </c:pt>
                <c:pt idx="17">
                  <c:v>0.5965239744793729</c:v>
                </c:pt>
                <c:pt idx="18">
                  <c:v>0.6096361975679582</c:v>
                </c:pt>
                <c:pt idx="19">
                  <c:v>0.606845608181823</c:v>
                </c:pt>
                <c:pt idx="20">
                  <c:v>0.6423859447505069</c:v>
                </c:pt>
                <c:pt idx="21">
                  <c:v>0.5760029278914842</c:v>
                </c:pt>
                <c:pt idx="22">
                  <c:v>0.5862344883801487</c:v>
                </c:pt>
                <c:pt idx="23">
                  <c:v>0.5999317965514755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0.33558093706263353</c:v>
                </c:pt>
                <c:pt idx="3">
                  <c:v>0.3125000523868911</c:v>
                </c:pt>
                <c:pt idx="4">
                  <c:v>0.39236606369231136</c:v>
                </c:pt>
                <c:pt idx="5">
                  <c:v>0.43009341489810027</c:v>
                </c:pt>
                <c:pt idx="6">
                  <c:v>0.3541666715173054</c:v>
                </c:pt>
                <c:pt idx="7">
                  <c:v>0.37074470580435603</c:v>
                </c:pt>
                <c:pt idx="8">
                  <c:v>0.4281047614210562</c:v>
                </c:pt>
                <c:pt idx="9">
                  <c:v>0.39131160191036307</c:v>
                </c:pt>
                <c:pt idx="10">
                  <c:v>0.3597308550806358</c:v>
                </c:pt>
                <c:pt idx="11">
                  <c:v>0.36766902038496213</c:v>
                </c:pt>
                <c:pt idx="12">
                  <c:v>0.4266194787160201</c:v>
                </c:pt>
                <c:pt idx="13">
                  <c:v>0</c:v>
                </c:pt>
                <c:pt idx="14">
                  <c:v>0.44779377461037306</c:v>
                </c:pt>
                <c:pt idx="15">
                  <c:v>0.41070948969536425</c:v>
                </c:pt>
                <c:pt idx="16">
                  <c:v>0.3740963069142572</c:v>
                </c:pt>
                <c:pt idx="17">
                  <c:v>0.38804357370329695</c:v>
                </c:pt>
                <c:pt idx="18">
                  <c:v>0.4191102144480785</c:v>
                </c:pt>
                <c:pt idx="19">
                  <c:v>0.41038168640623574</c:v>
                </c:pt>
                <c:pt idx="20">
                  <c:v>0.424675596175417</c:v>
                </c:pt>
                <c:pt idx="21">
                  <c:v>0.4295261137270357</c:v>
                </c:pt>
                <c:pt idx="22">
                  <c:v>0.3768544004618678</c:v>
                </c:pt>
                <c:pt idx="23">
                  <c:v>0.3699587765462714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0.12500003492459408</c:v>
                </c:pt>
                <c:pt idx="4">
                  <c:v>0.21702012437377433</c:v>
                </c:pt>
                <c:pt idx="5">
                  <c:v>0.2849837679350067</c:v>
                </c:pt>
                <c:pt idx="6">
                  <c:v>0</c:v>
                </c:pt>
                <c:pt idx="7">
                  <c:v>0</c:v>
                </c:pt>
                <c:pt idx="8">
                  <c:v>0</c:v>
                </c:pt>
                <c:pt idx="9">
                  <c:v>0</c:v>
                </c:pt>
                <c:pt idx="10">
                  <c:v>0</c:v>
                </c:pt>
                <c:pt idx="11">
                  <c:v>0</c:v>
                </c:pt>
                <c:pt idx="12">
                  <c:v>0.25343472603273226</c:v>
                </c:pt>
                <c:pt idx="13">
                  <c:v>0</c:v>
                </c:pt>
                <c:pt idx="14">
                  <c:v>0.25537131692097187</c:v>
                </c:pt>
                <c:pt idx="15">
                  <c:v>0.0011092071848885824</c:v>
                </c:pt>
                <c:pt idx="16">
                  <c:v>0.16508889703864554</c:v>
                </c:pt>
                <c:pt idx="17">
                  <c:v>0.2680028871581265</c:v>
                </c:pt>
                <c:pt idx="18">
                  <c:v>0.24341582941382744</c:v>
                </c:pt>
                <c:pt idx="19">
                  <c:v>0.3104517696151822</c:v>
                </c:pt>
                <c:pt idx="20">
                  <c:v>0.16077808823597858</c:v>
                </c:pt>
                <c:pt idx="21">
                  <c:v>0.3369533423639567</c:v>
                </c:pt>
                <c:pt idx="22">
                  <c:v>0</c:v>
                </c:pt>
                <c:pt idx="23">
                  <c:v>0.1098519318367361</c:v>
                </c:pt>
                <c:pt idx="24">
                  <c:v>0</c:v>
                </c:pt>
                <c:pt idx="25">
                  <c:v>0</c:v>
                </c:pt>
                <c:pt idx="26">
                  <c:v>0</c:v>
                </c:pt>
              </c:numCache>
            </c:numRef>
          </c:val>
        </c:ser>
        <c:overlap val="100"/>
        <c:gapWidth val="100"/>
        <c:axId val="36007094"/>
        <c:axId val="195171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0.4141512676710934</c:v>
                </c:pt>
                <c:pt idx="3">
                  <c:v>0.6881831467287532</c:v>
                </c:pt>
                <c:pt idx="4">
                  <c:v>0.5002312063359311</c:v>
                </c:pt>
                <c:pt idx="5">
                  <c:v>0.5134529516542219</c:v>
                </c:pt>
                <c:pt idx="6">
                  <c:v>0.37253028094318513</c:v>
                </c:pt>
                <c:pt idx="7">
                  <c:v>0.3945463230655688</c:v>
                </c:pt>
                <c:pt idx="8">
                  <c:v>0.5114935526402795</c:v>
                </c:pt>
                <c:pt idx="9">
                  <c:v>0.3949282111945267</c:v>
                </c:pt>
                <c:pt idx="10">
                  <c:v>0.41534145107856624</c:v>
                </c:pt>
                <c:pt idx="11">
                  <c:v>0.4658613662462696</c:v>
                </c:pt>
                <c:pt idx="12">
                  <c:v>0.5039608827331126</c:v>
                </c:pt>
                <c:pt idx="13">
                  <c:v>0.5</c:v>
                </c:pt>
                <c:pt idx="14">
                  <c:v>0.4786677591581719</c:v>
                </c:pt>
                <c:pt idx="15">
                  <c:v>0.45392344128792705</c:v>
                </c:pt>
                <c:pt idx="16">
                  <c:v>0.4815733603456421</c:v>
                </c:pt>
                <c:pt idx="17">
                  <c:v>0.5376579304285044</c:v>
                </c:pt>
                <c:pt idx="18">
                  <c:v>0.4734940642358742</c:v>
                </c:pt>
                <c:pt idx="19">
                  <c:v>0.5392367300748634</c:v>
                </c:pt>
                <c:pt idx="20">
                  <c:v>0.460319902863733</c:v>
                </c:pt>
                <c:pt idx="21">
                  <c:v>0.5256941531841884</c:v>
                </c:pt>
                <c:pt idx="22">
                  <c:v>0.44901179404602304</c:v>
                </c:pt>
                <c:pt idx="23">
                  <c:v>0.49603245253508654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0.5131704594231875</c:v>
                </c:pt>
                <c:pt idx="6">
                  <c:v>-999</c:v>
                </c:pt>
                <c:pt idx="7">
                  <c:v>0.42209283823940497</c:v>
                </c:pt>
                <c:pt idx="8">
                  <c:v>0.6278872117400885</c:v>
                </c:pt>
                <c:pt idx="9">
                  <c:v>-999</c:v>
                </c:pt>
                <c:pt idx="10">
                  <c:v>-999</c:v>
                </c:pt>
                <c:pt idx="11">
                  <c:v>0.49999998438042026</c:v>
                </c:pt>
                <c:pt idx="12">
                  <c:v>0.5335213872951281</c:v>
                </c:pt>
                <c:pt idx="13">
                  <c:v>0.47828676985547963</c:v>
                </c:pt>
                <c:pt idx="14">
                  <c:v>0.6015625055506465</c:v>
                </c:pt>
                <c:pt idx="15">
                  <c:v>0.601873534024002</c:v>
                </c:pt>
                <c:pt idx="16">
                  <c:v>0.3116268039879493</c:v>
                </c:pt>
                <c:pt idx="17">
                  <c:v>0.6471590556827872</c:v>
                </c:pt>
                <c:pt idx="18">
                  <c:v>-999</c:v>
                </c:pt>
                <c:pt idx="19">
                  <c:v>0.5505300377773191</c:v>
                </c:pt>
                <c:pt idx="20">
                  <c:v>0.4262725265368319</c:v>
                </c:pt>
                <c:pt idx="21">
                  <c:v>0.5489929498335367</c:v>
                </c:pt>
                <c:pt idx="22">
                  <c:v>0.654949396497127</c:v>
                </c:pt>
                <c:pt idx="23">
                  <c:v>0.6034035649301078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0.5868228909777727</c:v>
                </c:pt>
                <c:pt idx="3">
                  <c:v>0.12500004330649664</c:v>
                </c:pt>
                <c:pt idx="4">
                  <c:v>-999</c:v>
                </c:pt>
                <c:pt idx="5">
                  <c:v>-999</c:v>
                </c:pt>
                <c:pt idx="6">
                  <c:v>0.7916667122238659</c:v>
                </c:pt>
                <c:pt idx="7">
                  <c:v>-999</c:v>
                </c:pt>
                <c:pt idx="8">
                  <c:v>-999</c:v>
                </c:pt>
                <c:pt idx="9">
                  <c:v>0.6037975118682646</c:v>
                </c:pt>
                <c:pt idx="10">
                  <c:v>0.25579759583388595</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815912"/>
        <c:axId val="18673321"/>
      </c:scatterChart>
      <c:catAx>
        <c:axId val="36007094"/>
        <c:scaling>
          <c:orientation val="maxMin"/>
        </c:scaling>
        <c:axPos val="l"/>
        <c:delete val="0"/>
        <c:numFmt formatCode="General" sourceLinked="1"/>
        <c:majorTickMark val="out"/>
        <c:minorTickMark val="none"/>
        <c:tickLblPos val="none"/>
        <c:spPr>
          <a:ln w="3175">
            <a:noFill/>
          </a:ln>
        </c:spPr>
        <c:crossAx val="19517143"/>
        <c:crosses val="autoZero"/>
        <c:auto val="1"/>
        <c:lblOffset val="100"/>
        <c:tickLblSkip val="1"/>
        <c:noMultiLvlLbl val="0"/>
      </c:catAx>
      <c:valAx>
        <c:axId val="19517143"/>
        <c:scaling>
          <c:orientation val="minMax"/>
          <c:max val="1"/>
          <c:min val="0"/>
        </c:scaling>
        <c:axPos val="t"/>
        <c:delete val="0"/>
        <c:numFmt formatCode="General" sourceLinked="1"/>
        <c:majorTickMark val="none"/>
        <c:minorTickMark val="none"/>
        <c:tickLblPos val="none"/>
        <c:spPr>
          <a:ln w="3175">
            <a:noFill/>
          </a:ln>
        </c:spPr>
        <c:crossAx val="36007094"/>
        <c:crossesAt val="1"/>
        <c:crossBetween val="between"/>
        <c:dispUnits/>
        <c:majorUnit val="1"/>
      </c:valAx>
      <c:valAx>
        <c:axId val="16815912"/>
        <c:scaling>
          <c:orientation val="minMax"/>
          <c:max val="1"/>
          <c:min val="0"/>
        </c:scaling>
        <c:axPos val="t"/>
        <c:delete val="0"/>
        <c:numFmt formatCode="General" sourceLinked="1"/>
        <c:majorTickMark val="none"/>
        <c:minorTickMark val="none"/>
        <c:tickLblPos val="none"/>
        <c:spPr>
          <a:ln w="3175">
            <a:noFill/>
          </a:ln>
        </c:spPr>
        <c:crossAx val="18673321"/>
        <c:crosses val="max"/>
        <c:crossBetween val="midCat"/>
        <c:dispUnits/>
        <c:majorUnit val="0.1"/>
        <c:minorUnit val="0.020000000000000004"/>
      </c:valAx>
      <c:valAx>
        <c:axId val="18673321"/>
        <c:scaling>
          <c:orientation val="maxMin"/>
          <c:max val="29"/>
          <c:min val="0"/>
        </c:scaling>
        <c:axPos val="l"/>
        <c:delete val="0"/>
        <c:numFmt formatCode="General" sourceLinked="1"/>
        <c:majorTickMark val="none"/>
        <c:minorTickMark val="none"/>
        <c:tickLblPos val="none"/>
        <c:spPr>
          <a:ln w="3175">
            <a:noFill/>
          </a:ln>
        </c:spPr>
        <c:crossAx val="168159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(M83059) ABBOTS BROMLEY, SOUTH STAFFORDSHIRE PCT (5PK)</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529</v>
      </c>
      <c r="Q3" s="65"/>
      <c r="R3" s="66"/>
      <c r="S3" s="66"/>
      <c r="T3" s="66"/>
      <c r="U3" s="66"/>
      <c r="V3" s="66"/>
      <c r="W3" s="66"/>
      <c r="X3" s="66"/>
      <c r="Y3" s="66"/>
      <c r="Z3" s="66"/>
      <c r="AA3" s="66"/>
      <c r="AB3" s="66"/>
      <c r="AC3" s="66"/>
    </row>
    <row r="4" spans="2:29" ht="18" customHeight="1">
      <c r="B4" s="319" t="s">
        <v>659</v>
      </c>
      <c r="C4" s="320"/>
      <c r="D4" s="320"/>
      <c r="E4" s="320"/>
      <c r="F4" s="320"/>
      <c r="G4" s="321"/>
      <c r="H4" s="112"/>
      <c r="I4" s="112"/>
      <c r="J4" s="112"/>
      <c r="K4" s="112"/>
      <c r="L4" s="113"/>
      <c r="M4" s="65"/>
      <c r="N4" s="65"/>
      <c r="O4" s="65"/>
      <c r="P4" s="134" t="s">
        <v>530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658</v>
      </c>
      <c r="C8" s="115"/>
      <c r="D8" s="115"/>
      <c r="E8" s="128">
        <f>VLOOKUP('Hide - Control'!A$3,'All practice data'!A:CA,4,FALSE)</f>
        <v>3848</v>
      </c>
      <c r="F8" s="310" t="str">
        <f>VLOOKUP('Hide - Control'!B4,'Hide - Calculation'!AY:BA,3,FALSE)</f>
        <v>Please note: Bowel screening indicators are based on less than 30 but over 12 months of data.</v>
      </c>
      <c r="G8" s="310"/>
      <c r="H8" s="310"/>
      <c r="I8" s="115"/>
      <c r="J8" s="115"/>
      <c r="K8" s="115"/>
      <c r="L8" s="115"/>
      <c r="M8" s="109"/>
      <c r="N8" s="314" t="s">
        <v>539</v>
      </c>
      <c r="O8" s="314"/>
      <c r="P8" s="314"/>
      <c r="Q8" s="314" t="s">
        <v>32</v>
      </c>
      <c r="R8" s="314"/>
      <c r="S8" s="314"/>
      <c r="T8" s="314" t="s">
        <v>662</v>
      </c>
      <c r="U8" s="314"/>
      <c r="V8" s="314" t="s">
        <v>33</v>
      </c>
      <c r="W8" s="314"/>
      <c r="X8" s="314"/>
      <c r="Y8" s="135"/>
      <c r="Z8" s="314" t="s">
        <v>532</v>
      </c>
      <c r="AA8" s="314"/>
      <c r="AB8" s="161"/>
      <c r="AC8" s="109"/>
    </row>
    <row r="9" spans="2:29" s="61" customFormat="1" ht="19.5" customHeight="1" thickBot="1">
      <c r="B9" s="114" t="s">
        <v>524</v>
      </c>
      <c r="C9" s="114"/>
      <c r="D9" s="114"/>
      <c r="E9" s="129">
        <f>VLOOKUP('Hide - Control'!B4,'Hide - Calculation'!AY:BB,4,FALSE)</f>
        <v>615835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502</v>
      </c>
      <c r="E11" s="317"/>
      <c r="F11" s="318"/>
      <c r="G11" s="263" t="s">
        <v>500</v>
      </c>
      <c r="H11" s="255" t="s">
        <v>501</v>
      </c>
      <c r="I11" s="255" t="s">
        <v>512</v>
      </c>
      <c r="J11" s="255" t="s">
        <v>513</v>
      </c>
      <c r="K11" s="255" t="s">
        <v>385</v>
      </c>
      <c r="L11" s="256" t="s">
        <v>426</v>
      </c>
      <c r="M11" s="257" t="s">
        <v>522</v>
      </c>
      <c r="N11" s="334" t="s">
        <v>520</v>
      </c>
      <c r="O11" s="334"/>
      <c r="P11" s="334"/>
      <c r="Q11" s="334"/>
      <c r="R11" s="334"/>
      <c r="S11" s="334"/>
      <c r="T11" s="334"/>
      <c r="U11" s="334"/>
      <c r="V11" s="334"/>
      <c r="W11" s="334"/>
      <c r="X11" s="334"/>
      <c r="Y11" s="334"/>
      <c r="Z11" s="334"/>
      <c r="AA11" s="258" t="s">
        <v>523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383</v>
      </c>
      <c r="C13" s="163">
        <v>1</v>
      </c>
      <c r="D13" s="312" t="s">
        <v>379</v>
      </c>
      <c r="E13" s="313"/>
      <c r="F13" s="313"/>
      <c r="G13" s="166">
        <f>IF(VLOOKUP('Hide - Control'!A$3,'All practice data'!A:CA,C13+4,FALSE)=" "," ",VLOOKUP('Hide - Control'!A$3,'All practice data'!A:CA,C13+4,FALSE))</f>
        <v>768</v>
      </c>
      <c r="H13" s="190">
        <f>IF(VLOOKUP('Hide - Control'!A$3,'All practice data'!A:CA,C13+30,FALSE)=" "," ",VLOOKUP('Hide - Control'!A$3,'All practice data'!A:CA,C13+30,FALSE))</f>
        <v>0.1995841995841996</v>
      </c>
      <c r="I13" s="191">
        <f>IF(LEFT(G13,1)=" "," n/a",+((2*G13+1.96^2-1.96*SQRT(1.96^2+4*G13*(1-G13/E$8)))/(2*(E$8+1.96^2))))</f>
        <v>0.18725783706437538</v>
      </c>
      <c r="J13" s="191">
        <f>IF(LEFT(G13,1)=" "," n/a",+((2*G13+1.96^2+1.96*SQRT(1.96^2+4*G13*(1-G13/E$8)))/(2*(E$8+1.96^2))))</f>
        <v>0.21250979616332535</v>
      </c>
      <c r="K13" s="190">
        <f>IF('Hide - Calculation'!N7="","",'Hide - Calculation'!N7)</f>
        <v>0.17862252064270462</v>
      </c>
      <c r="L13" s="192">
        <f>'Hide - Calculation'!O7</f>
        <v>0.1599882305185145</v>
      </c>
      <c r="M13" s="208">
        <f>IF(ISBLANK('Hide - Calculation'!K7),"",'Hide - Calculation'!U7)</f>
        <v>0.06501767039299011</v>
      </c>
      <c r="N13" s="173"/>
      <c r="O13" s="173"/>
      <c r="P13" s="173"/>
      <c r="Q13" s="173"/>
      <c r="R13" s="173"/>
      <c r="S13" s="173"/>
      <c r="T13" s="173"/>
      <c r="U13" s="173"/>
      <c r="V13" s="173"/>
      <c r="W13" s="173"/>
      <c r="X13" s="173"/>
      <c r="Y13" s="173"/>
      <c r="Z13" s="173"/>
      <c r="AA13" s="226">
        <f>IF(ISBLANK('Hide - Calculation'!K7),"",'Hide - Calculation'!T7)</f>
        <v>0.27782726287841797</v>
      </c>
      <c r="AB13" s="233" t="s">
        <v>656</v>
      </c>
      <c r="AC13" s="209" t="s">
        <v>657</v>
      </c>
    </row>
    <row r="14" spans="2:29" ht="33.75" customHeight="1">
      <c r="B14" s="306"/>
      <c r="C14" s="137">
        <v>2</v>
      </c>
      <c r="D14" s="132" t="s">
        <v>533</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0.05292600034511787</v>
      </c>
      <c r="J14" s="120">
        <f>IF(LEFT(G14,1)=" "," n/a",+((2*H14*E8+1.96^2+1.96*SQRT(1.96^2+4*H14*E8*(1-H14*E8/E$8)))/(2*(E$8+1.96^2))))</f>
        <v>0.06795165983696229</v>
      </c>
      <c r="K14" s="119">
        <f>IF('Hide - Calculation'!N8="","",'Hide - Calculation'!N8)</f>
        <v>0.11322435392597044</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0.20000000298023224</v>
      </c>
      <c r="AB14" s="234" t="s">
        <v>39</v>
      </c>
      <c r="AC14" s="130" t="s">
        <v>657</v>
      </c>
    </row>
    <row r="15" spans="2:39" s="63" customFormat="1" ht="33.75" customHeight="1">
      <c r="B15" s="306"/>
      <c r="C15" s="137">
        <v>3</v>
      </c>
      <c r="D15" s="132" t="s">
        <v>388</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455.6415273571655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1068.5662841796875</v>
      </c>
      <c r="AB15" s="234" t="s">
        <v>503</v>
      </c>
      <c r="AC15" s="131">
        <v>2009</v>
      </c>
      <c r="AD15" s="64"/>
      <c r="AE15" s="64"/>
      <c r="AF15" s="64"/>
      <c r="AG15" s="64"/>
      <c r="AH15" s="64"/>
      <c r="AI15" s="64"/>
      <c r="AJ15" s="64"/>
      <c r="AK15" s="64"/>
      <c r="AL15" s="64"/>
      <c r="AM15" s="64"/>
    </row>
    <row r="16" spans="2:29" s="63" customFormat="1" ht="33.75" customHeight="1">
      <c r="B16" s="306"/>
      <c r="C16" s="137">
        <v>4</v>
      </c>
      <c r="D16" s="132" t="s">
        <v>525</v>
      </c>
      <c r="E16" s="85"/>
      <c r="F16" s="85"/>
      <c r="G16" s="121">
        <f>IF(VLOOKUP('Hide - Control'!A$3,'All practice data'!A:CA,C16+4,FALSE)=" "," ",VLOOKUP('Hide - Control'!A$3,'All practice data'!A:CA,C16+4,FALSE))</f>
        <v>9</v>
      </c>
      <c r="H16" s="122">
        <f>IF(VLOOKUP('Hide - Control'!A$3,'All practice data'!A:CA,C16+30,FALSE)=" "," ",VLOOKUP('Hide - Control'!A$3,'All practice data'!A:CA,C16+30,FALSE))</f>
        <v>233.8877338877339</v>
      </c>
      <c r="I16" s="123">
        <f>IF(LEFT(G16,1)=" "," n/a",IF(G16&lt;5,100000*VLOOKUP(G16,'Hide - Calculation'!AQ:AR,2,FALSE)/$E$8,100000*(G16*(1-1/(9*G16)-1.96/(3*SQRT(G16)))^3)/$E$8))</f>
        <v>106.72611703539914</v>
      </c>
      <c r="J16" s="123">
        <f>IF(LEFT(G16,1)=" "," n/a",IF(G16&lt;5,100000*VLOOKUP(G16,'Hide - Calculation'!AQ:AS,3,FALSE)/$E$8,100000*((G16+1)*(1-1/(9*(G16+1))+1.96/(3*SQRT(G16+1)))^3)/$E$8))</f>
        <v>444.02139970725733</v>
      </c>
      <c r="K16" s="122">
        <f>IF('Hide - Calculation'!N10="","",'Hide - Calculation'!N10)</f>
        <v>221.81266085883394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638.6375732421875</v>
      </c>
      <c r="AB16" s="234" t="s">
        <v>382</v>
      </c>
      <c r="AC16" s="131" t="s">
        <v>559</v>
      </c>
    </row>
    <row r="17" spans="2:29" s="63" customFormat="1" ht="33.75" customHeight="1" thickBot="1">
      <c r="B17" s="309"/>
      <c r="C17" s="180">
        <v>5</v>
      </c>
      <c r="D17" s="195" t="s">
        <v>387</v>
      </c>
      <c r="E17" s="182"/>
      <c r="F17" s="182"/>
      <c r="G17" s="140">
        <f>IF(VLOOKUP('Hide - Control'!A$3,'All practice data'!A:CA,C17+4,FALSE)=" "," ",VLOOKUP('Hide - Control'!A$3,'All practice data'!A:CA,C17+4,FALSE))</f>
        <v>100</v>
      </c>
      <c r="H17" s="141">
        <f>IF(VLOOKUP('Hide - Control'!A$3,'All practice data'!A:CA,C17+30,FALSE)=" "," ",VLOOKUP('Hide - Control'!A$3,'All practice data'!A:CA,C17+30,FALSE))</f>
        <v>0.026000000000000002</v>
      </c>
      <c r="I17" s="142">
        <f>IF(LEFT(G17,1)=" "," n/a",+((2*G17+1.96^2-1.96*SQRT(1.96^2+4*G17*(1-G17/E$8)))/(2*(E$8+1.96^2))))</f>
        <v>0.02141365876167743</v>
      </c>
      <c r="J17" s="142">
        <f>IF(LEFT(G17,1)=" "," n/a",+((2*G17+1.96^2+1.96*SQRT(1.96^2+4*G17*(1-G17/E$8)))/(2*(E$8+1.96^2))))</f>
        <v>0.03150689747303378</v>
      </c>
      <c r="K17" s="141">
        <f>IF('Hide - Calculation'!N11="","",'Hide - Calculation'!N11)</f>
        <v>0.01947924362856934</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0.028999999165534973</v>
      </c>
      <c r="AB17" s="235" t="s">
        <v>526</v>
      </c>
      <c r="AC17" s="189" t="s">
        <v>559</v>
      </c>
    </row>
    <row r="18" spans="2:29" s="63" customFormat="1" ht="33.75" customHeight="1">
      <c r="B18" s="308" t="s">
        <v>13</v>
      </c>
      <c r="C18" s="163">
        <v>6</v>
      </c>
      <c r="D18" s="164" t="s">
        <v>534</v>
      </c>
      <c r="E18" s="165"/>
      <c r="F18" s="165"/>
      <c r="G18" s="219">
        <f>IF(OR(VLOOKUP('Hide - Control'!A$3,'All practice data'!A:CA,C18+4,FALSE)=" ",VLOOKUP('Hide - Control'!A$3,'All practice data'!A:CA,C18+52,FALSE)=0)," n/a",VLOOKUP('Hide - Control'!A$3,'All practice data'!A:CA,C18+4,FALSE))</f>
        <v>462</v>
      </c>
      <c r="H18" s="220">
        <f>IF(OR(VLOOKUP('Hide - Control'!A$3,'All practice data'!A:CA,C18+30,FALSE)=" ",VLOOKUP('Hide - Control'!A$3,'All practice data'!A:CA,C18+52,FALSE)=0)," n/a",VLOOKUP('Hide - Control'!A$3,'All practice data'!A:CA,C18+30,FALSE))</f>
        <v>0.733333</v>
      </c>
      <c r="I18" s="191">
        <f>IF(OR(LEFT(H18,1)=" ",VLOOKUP('Hide - Control'!A$3,'All practice data'!A:CA,C18+52,FALSE)=0)," n/a",+((2*G18+1.96^2-1.96*SQRT(1.96^2+4*G18*(1-G18/(VLOOKUP('Hide - Control'!A$3,'All practice data'!A:CA,C18+52,FALSE)))))/(2*(((VLOOKUP('Hide - Control'!A$3,'All practice data'!A:CA,C18+52,FALSE)))+1.96^2))))</f>
        <v>0.697462981289732</v>
      </c>
      <c r="J18" s="191">
        <f>IF(OR(LEFT(H18,1)=" ",VLOOKUP('Hide - Control'!A$3,'All practice data'!A:CA,C18+52,FALSE)=0)," n/a",+((2*G18+1.96^2+1.96*SQRT(1.96^2+4*G18*(1-G18/(VLOOKUP('Hide - Control'!A$3,'All practice data'!A:CA,C18+52,FALSE)))))/(2*((VLOOKUP('Hide - Control'!A$3,'All practice data'!A:CA,C18+52,FALSE))+1.96^2))))</f>
        <v>0.7663753025969677</v>
      </c>
      <c r="K18" s="220">
        <f>IF('Hide - Calculation'!N12="","",'Hide - Calculation'!N12)</f>
        <v>0.7587423331735438</v>
      </c>
      <c r="L18" s="192">
        <f>'Hide - Calculation'!O12</f>
        <v>0.7248631360507991</v>
      </c>
      <c r="M18" s="193">
        <f>IF(ISBLANK('Hide - Calculation'!K12),"",'Hide - Calculation'!U12)</f>
        <v>0.6035500168800354</v>
      </c>
      <c r="N18" s="194"/>
      <c r="O18" s="173"/>
      <c r="P18" s="173"/>
      <c r="Q18" s="173"/>
      <c r="R18" s="173"/>
      <c r="S18" s="173"/>
      <c r="T18" s="173"/>
      <c r="U18" s="173"/>
      <c r="V18" s="173"/>
      <c r="W18" s="173"/>
      <c r="X18" s="173"/>
      <c r="Y18" s="173"/>
      <c r="Z18" s="174"/>
      <c r="AA18" s="193">
        <f>IF(ISBLANK('Hide - Calculation'!K12),"",'Hide - Calculation'!T12)</f>
        <v>0.8767330050468445</v>
      </c>
      <c r="AB18" s="233" t="s">
        <v>48</v>
      </c>
      <c r="AC18" s="175" t="s">
        <v>560</v>
      </c>
    </row>
    <row r="19" spans="2:29" s="63" customFormat="1" ht="33.75" customHeight="1">
      <c r="B19" s="306"/>
      <c r="C19" s="137">
        <v>7</v>
      </c>
      <c r="D19" s="132" t="s">
        <v>535</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0.916667</v>
      </c>
      <c r="I19" s="120">
        <f>IF(OR(LEFT(H19,1)=" ",VLOOKUP('Hide - Control'!A$3,'All practice data'!A:CA,C19+52,FALSE)=0)," n/a",+((2*G19+1.96^2-1.96*SQRT(1.96^2+4*G19*(1-G19/(VLOOKUP('Hide - Control'!A$3,'All practice data'!A:CA,C19+52,FALSE)))))/(2*(((VLOOKUP('Hide - Control'!A$3,'All practice data'!A:CA,C19+52,FALSE)))+1.96^2))))</f>
        <v>0.6461140782014047</v>
      </c>
      <c r="J19" s="120">
        <f>IF(OR(LEFT(H19,1)=" ",VLOOKUP('Hide - Control'!A$3,'All practice data'!A:CA,C19+52,FALSE)=0)," n/a",+((2*G19+1.96^2+1.96*SQRT(1.96^2+4*G19*(1-G19/(VLOOKUP('Hide - Control'!A$3,'All practice data'!A:CA,C19+52,FALSE)))))/(2*((VLOOKUP('Hide - Control'!A$3,'All practice data'!A:CA,C19+52,FALSE))+1.96^2))))</f>
        <v>0.9851352905492265</v>
      </c>
      <c r="K19" s="218">
        <f>IF('Hide - Calculation'!N13="","",'Hide - Calculation'!N13)</f>
        <v>0.7739235727768083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559</v>
      </c>
    </row>
    <row r="20" spans="2:29" s="63" customFormat="1" ht="33.75" customHeight="1">
      <c r="B20" s="306"/>
      <c r="C20" s="137">
        <v>8</v>
      </c>
      <c r="D20" s="132" t="s">
        <v>536</v>
      </c>
      <c r="E20" s="85"/>
      <c r="F20" s="85"/>
      <c r="G20" s="221">
        <f>IF(OR(VLOOKUP('Hide - Control'!A$3,'All practice data'!A:CA,C20+4,FALSE)=" ",VLOOKUP('Hide - Control'!A$3,'All practice data'!A:CA,C20+52,FALSE)=0)," n/a",VLOOKUP('Hide - Control'!A$3,'All practice data'!A:CA,C20+4,FALSE))</f>
        <v>757</v>
      </c>
      <c r="H20" s="218">
        <f>IF(OR(VLOOKUP('Hide - Control'!A$3,'All practice data'!A:CA,C20+30,FALSE)=" ",VLOOKUP('Hide - Control'!A$3,'All practice data'!A:CA,C20+52,FALSE)=0)," n/a",VLOOKUP('Hide - Control'!A$3,'All practice data'!A:CA,C20+30,FALSE))</f>
        <v>0.822826</v>
      </c>
      <c r="I20" s="120">
        <f>IF(OR(LEFT(H20,1)=" ",VLOOKUP('Hide - Control'!A$3,'All practice data'!A:CA,C20+52,FALSE)=0)," n/a",+((2*G20+1.96^2-1.96*SQRT(1.96^2+4*G20*(1-G20/(VLOOKUP('Hide - Control'!A$3,'All practice data'!A:CA,C20+52,FALSE)))))/(2*(((VLOOKUP('Hide - Control'!A$3,'All practice data'!A:CA,C20+52,FALSE)))+1.96^2))))</f>
        <v>0.7968258006641773</v>
      </c>
      <c r="J20" s="120">
        <f>IF(OR(LEFT(H20,1)=" ",VLOOKUP('Hide - Control'!A$3,'All practice data'!A:CA,C20+52,FALSE)=0)," n/a",+((2*G20+1.96^2+1.96*SQRT(1.96^2+4*G20*(1-G20/(VLOOKUP('Hide - Control'!A$3,'All practice data'!A:CA,C20+52,FALSE)))))/(2*((VLOOKUP('Hide - Control'!A$3,'All practice data'!A:CA,C20+52,FALSE))+1.96^2))))</f>
        <v>0.8461415651699656</v>
      </c>
      <c r="K20" s="218">
        <f>IF('Hide - Calculation'!N14="","",'Hide - Calculation'!N14)</f>
        <v>0.7829916496985535</v>
      </c>
      <c r="L20" s="155">
        <f>'Hide - Calculation'!O14</f>
        <v>0.7559681673907895</v>
      </c>
      <c r="M20" s="152">
        <f>IF(ISBLANK('Hide - Calculation'!K14),"",'Hide - Calculation'!U14)</f>
        <v>0.6295539736747742</v>
      </c>
      <c r="N20" s="160"/>
      <c r="O20" s="84"/>
      <c r="P20" s="84"/>
      <c r="Q20" s="84"/>
      <c r="R20" s="84"/>
      <c r="S20" s="84"/>
      <c r="T20" s="84"/>
      <c r="U20" s="84"/>
      <c r="V20" s="84"/>
      <c r="W20" s="84"/>
      <c r="X20" s="84"/>
      <c r="Y20" s="84"/>
      <c r="Z20" s="88"/>
      <c r="AA20" s="152">
        <f>IF(ISBLANK('Hide - Calculation'!K14),"",'Hide - Calculation'!T14)</f>
        <v>0.8546509742736816</v>
      </c>
      <c r="AB20" s="234" t="s">
        <v>48</v>
      </c>
      <c r="AC20" s="131" t="s">
        <v>561</v>
      </c>
    </row>
    <row r="21" spans="2:29" s="63" customFormat="1" ht="33.75" customHeight="1">
      <c r="B21" s="306"/>
      <c r="C21" s="137">
        <v>9</v>
      </c>
      <c r="D21" s="132" t="s">
        <v>537</v>
      </c>
      <c r="E21" s="85"/>
      <c r="F21" s="85"/>
      <c r="G21" s="221">
        <f>IF(OR(VLOOKUP('Hide - Control'!A$3,'All practice data'!A:CA,C21+4,FALSE)=" ",VLOOKUP('Hide - Control'!A$3,'All practice data'!A:CA,C21+52,FALSE)=0)," n/a",VLOOKUP('Hide - Control'!A$3,'All practice data'!A:CA,C21+4,FALSE))</f>
        <v>272</v>
      </c>
      <c r="H21" s="218">
        <f>IF(OR(VLOOKUP('Hide - Control'!A$3,'All practice data'!A:CA,C21+30,FALSE)=" ",VLOOKUP('Hide - Control'!A$3,'All practice data'!A:CA,C21+52,FALSE)=0)," n/a",VLOOKUP('Hide - Control'!A$3,'All practice data'!A:CA,C21+30,FALSE))</f>
        <v>0.427673</v>
      </c>
      <c r="I21" s="120">
        <f>IF(OR(LEFT(H21,1)=" ",VLOOKUP('Hide - Control'!A$3,'All practice data'!A:CA,C21+52,FALSE)=0)," n/a",+((2*G21+1.96^2-1.96*SQRT(1.96^2+4*G21*(1-G21/(VLOOKUP('Hide - Control'!A$3,'All practice data'!A:CA,C21+52,FALSE)))))/(2*(((VLOOKUP('Hide - Control'!A$3,'All practice data'!A:CA,C21+52,FALSE)))+1.96^2))))</f>
        <v>0.38976953562238026</v>
      </c>
      <c r="J21" s="120">
        <f>IF(OR(LEFT(H21,1)=" ",VLOOKUP('Hide - Control'!A$3,'All practice data'!A:CA,C21+52,FALSE)=0)," n/a",+((2*G21+1.96^2+1.96*SQRT(1.96^2+4*G21*(1-G21/(VLOOKUP('Hide - Control'!A$3,'All practice data'!A:CA,C21+52,FALSE)))))/(2*((VLOOKUP('Hide - Control'!A$3,'All practice data'!A:CA,C21+52,FALSE))+1.96^2))))</f>
        <v>0.4664448774448539</v>
      </c>
      <c r="K21" s="218">
        <f>IF('Hide - Calculation'!N15="","",'Hide - Calculation'!N15)</f>
        <v>0.5528099887443394</v>
      </c>
      <c r="L21" s="155">
        <f>'Hide - Calculation'!O15</f>
        <v>0.5147293797466616</v>
      </c>
      <c r="M21" s="152">
        <f>IF(ISBLANK('Hide - Calculation'!K15),"",'Hide - Calculation'!U15)</f>
        <v>0.28809499740600586</v>
      </c>
      <c r="N21" s="160"/>
      <c r="O21" s="84"/>
      <c r="P21" s="84"/>
      <c r="Q21" s="84"/>
      <c r="R21" s="84"/>
      <c r="S21" s="84"/>
      <c r="T21" s="84"/>
      <c r="U21" s="84"/>
      <c r="V21" s="84"/>
      <c r="W21" s="84"/>
      <c r="X21" s="84"/>
      <c r="Y21" s="84"/>
      <c r="Z21" s="88"/>
      <c r="AA21" s="152">
        <f>IF(ISBLANK('Hide - Calculation'!K15),"",'Hide - Calculation'!T15)</f>
        <v>0.6646999716758728</v>
      </c>
      <c r="AB21" s="234" t="s">
        <v>48</v>
      </c>
      <c r="AC21" s="131" t="s">
        <v>560</v>
      </c>
    </row>
    <row r="22" spans="2:29" s="63" customFormat="1" ht="33.75" customHeight="1" thickBot="1">
      <c r="B22" s="309"/>
      <c r="C22" s="180">
        <v>10</v>
      </c>
      <c r="D22" s="195" t="s">
        <v>538</v>
      </c>
      <c r="E22" s="182"/>
      <c r="F22" s="182"/>
      <c r="G22" s="222">
        <f>IF(OR(VLOOKUP('Hide - Control'!A$3,'All practice data'!A:CA,C22+4,FALSE)=" ",VLOOKUP('Hide - Control'!A$3,'All practice data'!A:CA,C22+52,FALSE)=0)," n/a",VLOOKUP('Hide - Control'!A$3,'All practice data'!A:CA,C22+4,FALSE))</f>
        <v>223</v>
      </c>
      <c r="H22" s="223">
        <f>IF(OR(VLOOKUP('Hide - Control'!A$3,'All practice data'!A:CA,C22+30,FALSE)=" ",VLOOKUP('Hide - Control'!A$3,'All practice data'!A:CA,C22+52,FALSE)=0)," n/a",VLOOKUP('Hide - Control'!A$3,'All practice data'!A:CA,C22+30,FALSE))</f>
        <v>0.588391</v>
      </c>
      <c r="I22" s="196">
        <f>IF(OR(LEFT(H22,1)=" ",VLOOKUP('Hide - Control'!A$3,'All practice data'!A:CA,C22+52,FALSE)=0)," n/a",+((2*G22+1.96^2-1.96*SQRT(1.96^2+4*G22*(1-G22/(VLOOKUP('Hide - Control'!A$3,'All practice data'!A:CA,C22+52,FALSE)))))/(2*(((VLOOKUP('Hide - Control'!A$3,'All practice data'!A:CA,C22+52,FALSE)))+1.96^2))))</f>
        <v>0.5381983992848652</v>
      </c>
      <c r="J22" s="196">
        <f>IF(OR(LEFT(H22,1)=" ",VLOOKUP('Hide - Control'!A$3,'All practice data'!A:CA,C22+52,FALSE)=0)," n/a",+((2*G22+1.96^2+1.96*SQRT(1.96^2+4*G22*(1-G22/(VLOOKUP('Hide - Control'!A$3,'All practice data'!A:CA,C22+52,FALSE)))))/(2*((VLOOKUP('Hide - Control'!A$3,'All practice data'!A:CA,C22+52,FALSE))+1.96^2))))</f>
        <v>0.636808705481179</v>
      </c>
      <c r="K22" s="223">
        <f>IF('Hide - Calculation'!N16="","",'Hide - Calculation'!N16)</f>
        <v>0.5983198433112301</v>
      </c>
      <c r="L22" s="197">
        <f>'Hide - Calculation'!O16</f>
        <v>0.5752927626212945</v>
      </c>
      <c r="M22" s="198">
        <f>IF(ISBLANK('Hide - Calculation'!K16),"",'Hide - Calculation'!U16)</f>
        <v>0.3965519964694977</v>
      </c>
      <c r="N22" s="199"/>
      <c r="O22" s="91"/>
      <c r="P22" s="91"/>
      <c r="Q22" s="91"/>
      <c r="R22" s="91"/>
      <c r="S22" s="91"/>
      <c r="T22" s="91"/>
      <c r="U22" s="91"/>
      <c r="V22" s="91"/>
      <c r="W22" s="91"/>
      <c r="X22" s="91"/>
      <c r="Y22" s="91"/>
      <c r="Z22" s="188"/>
      <c r="AA22" s="198">
        <f>IF(ISBLANK('Hide - Calculation'!K16),"",'Hide - Calculation'!T16)</f>
        <v>0.7092390060424805</v>
      </c>
      <c r="AB22" s="235" t="s">
        <v>48</v>
      </c>
      <c r="AC22" s="189" t="s">
        <v>559</v>
      </c>
    </row>
    <row r="23" spans="2:29" s="63" customFormat="1" ht="33.75" customHeight="1">
      <c r="B23" s="308" t="s">
        <v>377</v>
      </c>
      <c r="C23" s="163">
        <v>11</v>
      </c>
      <c r="D23" s="179" t="s">
        <v>389</v>
      </c>
      <c r="E23" s="165"/>
      <c r="F23" s="165"/>
      <c r="G23" s="118">
        <f>IF(VLOOKUP('Hide - Control'!A$3,'All practice data'!A:CA,C23+4,FALSE)=" "," ",VLOOKUP('Hide - Control'!A$3,'All practice data'!A:CA,C23+4,FALSE))</f>
        <v>76</v>
      </c>
      <c r="H23" s="216">
        <f>IF(VLOOKUP('Hide - Control'!A$3,'All practice data'!A:CA,C23+30,FALSE)=" "," ",VLOOKUP('Hide - Control'!A$3,'All practice data'!A:CA,C23+30,FALSE))</f>
        <v>1975.051975051975</v>
      </c>
      <c r="I23" s="215">
        <f>IF(LEFT(G23,1)=" "," n/a",IF(G23&lt;5,100000*VLOOKUP(G23,'Hide - Calculation'!AQ:AR,2,FALSE)/$E$8,100000*(G23*(1-1/(9*G23)-1.96/(3*SQRT(G23)))^3)/$E$8))</f>
        <v>1556.051649097324</v>
      </c>
      <c r="J23" s="215">
        <f>IF(LEFT(G23,1)=" "," n/a",IF(G23&lt;5,100000*VLOOKUP(G23,'Hide - Calculation'!AQ:AS,3,FALSE)/$E$8,100000*((G23+1)*(1-1/(9*(G23+1))+1.96/(3*SQRT(G23+1)))^3)/$E$8))</f>
        <v>2472.1139081966776</v>
      </c>
      <c r="K23" s="216">
        <f>IF('Hide - Calculation'!N17="","",'Hide - Calculation'!N17)</f>
        <v>1964.3248597432753</v>
      </c>
      <c r="L23" s="217">
        <f>'Hide - Calculation'!O17</f>
        <v>1812.1669120472948</v>
      </c>
      <c r="M23" s="170">
        <f>IF(ISBLANK('Hide - Calculation'!K17),"",'Hide - Calculation'!U17)</f>
        <v>431.7111511230469</v>
      </c>
      <c r="N23" s="171"/>
      <c r="O23" s="172"/>
      <c r="P23" s="172"/>
      <c r="Q23" s="172"/>
      <c r="R23" s="173"/>
      <c r="S23" s="173"/>
      <c r="T23" s="173"/>
      <c r="U23" s="173"/>
      <c r="V23" s="173"/>
      <c r="W23" s="173"/>
      <c r="X23" s="173"/>
      <c r="Y23" s="173"/>
      <c r="Z23" s="174"/>
      <c r="AA23" s="170">
        <f>IF(ISBLANK('Hide - Calculation'!K17),"",'Hide - Calculation'!T17)</f>
        <v>4545.45458984375</v>
      </c>
      <c r="AB23" s="233" t="s">
        <v>26</v>
      </c>
      <c r="AC23" s="175" t="s">
        <v>559</v>
      </c>
    </row>
    <row r="24" spans="2:29" s="63" customFormat="1" ht="33.75" customHeight="1">
      <c r="B24" s="306"/>
      <c r="C24" s="137">
        <v>12</v>
      </c>
      <c r="D24" s="147" t="s">
        <v>544</v>
      </c>
      <c r="E24" s="85"/>
      <c r="F24" s="85"/>
      <c r="G24" s="118">
        <f>IF(VLOOKUP('Hide - Control'!A$3,'All practice data'!A:CA,C24+4,FALSE)=" "," ",VLOOKUP('Hide - Control'!A$3,'All practice data'!A:CA,C24+4,FALSE))</f>
        <v>76</v>
      </c>
      <c r="H24" s="119">
        <f>IF(VLOOKUP('Hide - Control'!A$3,'All practice data'!A:CA,C24+30,FALSE)=" "," ",VLOOKUP('Hide - Control'!A$3,'All practice data'!A:CA,C24+30,FALSE))</f>
        <v>0.942907486</v>
      </c>
      <c r="I24" s="212">
        <f>IF(LEFT(VLOOKUP('Hide - Control'!A$3,'All practice data'!A:CA,C24+44,FALSE),1)=" "," n/a",VLOOKUP('Hide - Control'!A$3,'All practice data'!A:CA,C24+44,FALSE))</f>
        <v>0.7429039001</v>
      </c>
      <c r="J24" s="212">
        <f>IF(LEFT(VLOOKUP('Hide - Control'!A$3,'All practice data'!A:CA,C24+45,FALSE),1)=" "," n/a",VLOOKUP('Hide - Control'!A$3,'All practice data'!A:CA,C24+45,FALSE))</f>
        <v>1.180189362</v>
      </c>
      <c r="K24" s="152" t="s">
        <v>661</v>
      </c>
      <c r="L24" s="213">
        <v>1</v>
      </c>
      <c r="M24" s="152">
        <f>IF(ISBLANK('Hide - Calculation'!K18),"",'Hide - Calculation'!U18)</f>
        <v>0.22083641588687897</v>
      </c>
      <c r="N24" s="86"/>
      <c r="O24" s="87"/>
      <c r="P24" s="87"/>
      <c r="Q24" s="87"/>
      <c r="R24" s="84"/>
      <c r="S24" s="84"/>
      <c r="T24" s="84"/>
      <c r="U24" s="84"/>
      <c r="V24" s="84"/>
      <c r="W24" s="84"/>
      <c r="X24" s="84"/>
      <c r="Y24" s="84"/>
      <c r="Z24" s="88"/>
      <c r="AA24" s="152">
        <f>IF(ISBLANK('Hide - Calculation'!K18),"",'Hide - Calculation'!T18)</f>
        <v>2.3146941661834717</v>
      </c>
      <c r="AB24" s="234" t="s">
        <v>26</v>
      </c>
      <c r="AC24" s="131" t="s">
        <v>559</v>
      </c>
    </row>
    <row r="25" spans="2:29" s="63" customFormat="1" ht="33.75" customHeight="1">
      <c r="B25" s="306"/>
      <c r="C25" s="137">
        <v>13</v>
      </c>
      <c r="D25" s="147" t="s">
        <v>384</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0.15789473684210525</v>
      </c>
      <c r="I25" s="120">
        <f>IF(LEFT(G25,1)=" "," n/a",IF(G25=0," n/a",+((2*G25+1.96^2-1.96*SQRT(1.96^2+4*G25*(1-G25/G23)))/(2*(G23+1.96^2)))))</f>
        <v>0.09269405994267453</v>
      </c>
      <c r="J25" s="120">
        <f>IF(LEFT(G25,1)=" "," n/a",IF(G25=0," n/a",+((2*G25+1.96^2+1.96*SQRT(1.96^2+4*G25*(1-G25/G23)))/(2*(G23+1.96^2)))))</f>
        <v>0.25601638674176064</v>
      </c>
      <c r="K25" s="125">
        <f>IF('Hide - Calculation'!N19="","",'Hide - Calculation'!N19)</f>
        <v>0.11473919153509135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0.31578946113586426</v>
      </c>
      <c r="AB25" s="234" t="s">
        <v>26</v>
      </c>
      <c r="AC25" s="131" t="s">
        <v>559</v>
      </c>
    </row>
    <row r="26" spans="2:29" s="63" customFormat="1" ht="33.75" customHeight="1">
      <c r="B26" s="306"/>
      <c r="C26" s="137">
        <v>14</v>
      </c>
      <c r="D26" s="147" t="s">
        <v>527</v>
      </c>
      <c r="E26" s="85"/>
      <c r="F26" s="85"/>
      <c r="G26" s="121">
        <f>IF(VLOOKUP('Hide - Control'!A$3,'All practice data'!A:CA,C26+4,FALSE)=" "," ",VLOOKUP('Hide - Control'!A$3,'All practice data'!A:CA,C26+4,FALSE))</f>
        <v>21</v>
      </c>
      <c r="H26" s="119">
        <f>IF(VLOOKUP('Hide - Control'!A$3,'All practice data'!A:CA,C26+30,FALSE)=" "," ",VLOOKUP('Hide - Control'!A$3,'All practice data'!A:CA,C26+30,FALSE))</f>
        <v>0.5714285714285714</v>
      </c>
      <c r="I26" s="120">
        <f>IF(OR(LEFT(G26,1)=" ",LEFT(G25,1)=" ")," n/a",IF(G26=0," n/a",+((2*G25+1.96^2-1.96*SQRT(1.96^2+4*G25*(1-G25/G26)))/(2*(G26+1.96^2)))))</f>
        <v>0.3654621629703245</v>
      </c>
      <c r="J26" s="120">
        <f>IF(OR(LEFT(G26,1)=" ",LEFT(G25,1)=" ")," n/a",IF(G26=0," n/a",+((2*G25+1.96^2+1.96*SQRT(1.96^2+4*G25*(1-G25/G26)))/(2*(G26+1.96^2)))))</f>
        <v>0.7553030051347894</v>
      </c>
      <c r="K26" s="125">
        <f>IF('Hide - Calculation'!N20="","",'Hide - Calculation'!N20)</f>
        <v>0.49359886201991465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0.8888888955116272</v>
      </c>
      <c r="AB26" s="234" t="s">
        <v>26</v>
      </c>
      <c r="AC26" s="131" t="s">
        <v>559</v>
      </c>
    </row>
    <row r="27" spans="2:29" s="63" customFormat="1" ht="33.75" customHeight="1">
      <c r="B27" s="306"/>
      <c r="C27" s="137">
        <v>15</v>
      </c>
      <c r="D27" s="147" t="s">
        <v>514</v>
      </c>
      <c r="E27" s="85"/>
      <c r="F27" s="85"/>
      <c r="G27" s="121">
        <f>IF(VLOOKUP('Hide - Control'!A$3,'All practice data'!A:CA,C27+4,FALSE)=" "," ",VLOOKUP('Hide - Control'!A$3,'All practice data'!A:CA,C27+4,FALSE))</f>
        <v>8</v>
      </c>
      <c r="H27" s="122">
        <f>IF(VLOOKUP('Hide - Control'!A$3,'All practice data'!A:CA,C27+30,FALSE)=" "," ",VLOOKUP('Hide - Control'!A$3,'All practice data'!A:CA,C27+30,FALSE))</f>
        <v>207.9002079002079</v>
      </c>
      <c r="I27" s="123">
        <f>IF(LEFT(G27,1)=" "," n/a",IF(G27&lt;5,100000*VLOOKUP(G27,'Hide - Calculation'!AQ:AR,2,FALSE)/$E$8,100000*(G27*(1-1/(9*G27)-1.96/(3*SQRT(G27)))^3)/$E$8))</f>
        <v>89.51747826558508</v>
      </c>
      <c r="J27" s="123">
        <f>IF(LEFT(G27,1)=" "," n/a",IF(G27&lt;5,100000*VLOOKUP(G27,'Hide - Calculation'!AQ:AS,3,FALSE)/$E$8,100000*((G27+1)*(1-1/(9*(G27+1))+1.96/(3*SQRT(G27+1)))^3)/$E$8))</f>
        <v>409.6714524943149</v>
      </c>
      <c r="K27" s="122">
        <f>IF('Hide - Calculation'!N21="","",'Hide - Calculation'!N21)</f>
        <v>407.08956132730356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895.7976684570312</v>
      </c>
      <c r="AB27" s="234" t="s">
        <v>26</v>
      </c>
      <c r="AC27" s="131" t="s">
        <v>559</v>
      </c>
    </row>
    <row r="28" spans="2:29" s="63" customFormat="1" ht="33.75" customHeight="1">
      <c r="B28" s="306"/>
      <c r="C28" s="137">
        <v>16</v>
      </c>
      <c r="D28" s="147" t="s">
        <v>515</v>
      </c>
      <c r="E28" s="85"/>
      <c r="F28" s="85"/>
      <c r="G28" s="121">
        <f>IF(VLOOKUP('Hide - Control'!A$3,'All practice data'!A:CA,C28+4,FALSE)=" "," ",VLOOKUP('Hide - Control'!A$3,'All practice data'!A:CA,C28+4,FALSE))</f>
        <v>15</v>
      </c>
      <c r="H28" s="122">
        <f>IF(VLOOKUP('Hide - Control'!A$3,'All practice data'!A:CA,C28+30,FALSE)=" "," ",VLOOKUP('Hide - Control'!A$3,'All practice data'!A:CA,C28+30,FALSE))</f>
        <v>389.8128898128898</v>
      </c>
      <c r="I28" s="123">
        <f>IF(LEFT(G28,1)=" "," n/a",IF(G28&lt;5,100000*VLOOKUP(G28,'Hide - Calculation'!AQ:AR,2,FALSE)/$E$8,100000*(G28*(1-1/(9*G28)-1.96/(3*SQRT(G28)))^3)/$E$8))</f>
        <v>218.0137558919291</v>
      </c>
      <c r="J28" s="123">
        <f>IF(LEFT(G28,1)=" "," n/a",IF(G28&lt;5,100000*VLOOKUP(G28,'Hide - Calculation'!AQ:AS,3,FALSE)/$E$8,100000*((G28+1)*(1-1/(9*(G28+1))+1.96/(3*SQRT(G28+1)))^3)/$E$8))</f>
        <v>642.9787938490487</v>
      </c>
      <c r="K28" s="122">
        <f>IF('Hide - Calculation'!N22="","",'Hide - Calculation'!N22)</f>
        <v>274.91129929283005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735.7545166015625</v>
      </c>
      <c r="AB28" s="234" t="s">
        <v>26</v>
      </c>
      <c r="AC28" s="131" t="s">
        <v>559</v>
      </c>
    </row>
    <row r="29" spans="2:29" s="63" customFormat="1" ht="33.75" customHeight="1">
      <c r="B29" s="306"/>
      <c r="C29" s="137">
        <v>17</v>
      </c>
      <c r="D29" s="147" t="s">
        <v>516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86.06201336396924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224.28709411621094</v>
      </c>
      <c r="AB29" s="234" t="s">
        <v>26</v>
      </c>
      <c r="AC29" s="131" t="s">
        <v>559</v>
      </c>
    </row>
    <row r="30" spans="2:29" s="63" customFormat="1" ht="33.75" customHeight="1" thickBot="1">
      <c r="B30" s="309"/>
      <c r="C30" s="180">
        <v>18</v>
      </c>
      <c r="D30" s="181" t="s">
        <v>517</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337.8378378378378</v>
      </c>
      <c r="I30" s="185">
        <f>IF(LEFT(G30,1)=" "," n/a",IF(G30&lt;5,100000*VLOOKUP(G30,'Hide - Calculation'!AQ:AR,2,FALSE)/$E$8,100000*(G30*(1-1/(9*G30)-1.96/(3*SQRT(G30)))^3)/$E$8))</f>
        <v>179.7077882865002</v>
      </c>
      <c r="J30" s="185">
        <f>IF(LEFT(G30,1)=" "," n/a",IF(G30&lt;5,100000*VLOOKUP(G30,'Hide - Calculation'!AQ:AS,3,FALSE)/$E$8,100000*((G30+1)*(1-1/(9*(G30+1))+1.96/(3*SQRT(G30+1)))^3)/$E$8))</f>
        <v>577.7523500845213</v>
      </c>
      <c r="K30" s="184">
        <f>IF('Hide - Calculation'!N24="","",'Hide - Calculation'!N24)</f>
        <v>326.06136383934006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919.2066040039062</v>
      </c>
      <c r="AB30" s="235" t="s">
        <v>26</v>
      </c>
      <c r="AC30" s="189" t="s">
        <v>559</v>
      </c>
    </row>
    <row r="31" spans="2:29" s="63" customFormat="1" ht="33.75" customHeight="1">
      <c r="B31" s="304" t="s">
        <v>386</v>
      </c>
      <c r="C31" s="163">
        <v>19</v>
      </c>
      <c r="D31" s="164" t="s">
        <v>390</v>
      </c>
      <c r="E31" s="165"/>
      <c r="F31" s="165"/>
      <c r="G31" s="166">
        <f>IF(VLOOKUP('Hide - Control'!A$3,'All practice data'!A:CA,C31+4,FALSE)=" "," ",VLOOKUP('Hide - Control'!A$3,'All practice data'!A:CA,C31+4,FALSE))</f>
        <v>20</v>
      </c>
      <c r="H31" s="167">
        <f>IF(VLOOKUP('Hide - Control'!A$3,'All practice data'!A:CA,C31+30,FALSE)=" "," ",VLOOKUP('Hide - Control'!A$3,'All practice data'!A:CA,C31+30,FALSE))</f>
        <v>519.7505197505197</v>
      </c>
      <c r="I31" s="168">
        <f>IF(LEFT(G31,1)=" "," n/a",IF(G31&lt;5,100000*VLOOKUP(G31,'Hide - Calculation'!AQ:AR,2,FALSE)/$E$8,100000*(G31*(1-1/(9*G31)-1.96/(3*SQRT(G31)))^3)/$E$8))</f>
        <v>317.3418117041462</v>
      </c>
      <c r="J31" s="168">
        <f>IF(LEFT(G31,1)=" "," n/a",IF(G31&lt;5,100000*VLOOKUP(G31,'Hide - Calculation'!AQ:AS,3,FALSE)/$E$8,100000*((G31+1)*(1-1/(9*(G31+1))+1.96/(3*SQRT(G31+1)))^3)/$E$8))</f>
        <v>802.757116327258</v>
      </c>
      <c r="K31" s="167">
        <f>IF('Hide - Calculation'!N25="","",'Hide - Calculation'!N25)</f>
        <v>651.4732030495181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1242.0274658203125</v>
      </c>
      <c r="AB31" s="233" t="s">
        <v>47</v>
      </c>
      <c r="AC31" s="175" t="s">
        <v>559</v>
      </c>
    </row>
    <row r="32" spans="2:29" s="63" customFormat="1" ht="33.75" customHeight="1">
      <c r="B32" s="305"/>
      <c r="C32" s="137">
        <v>20</v>
      </c>
      <c r="D32" s="132" t="s">
        <v>391</v>
      </c>
      <c r="E32" s="85"/>
      <c r="F32" s="85"/>
      <c r="G32" s="121">
        <f>IF(VLOOKUP('Hide - Control'!A$3,'All practice data'!A:CA,C32+4,FALSE)=" "," ",VLOOKUP('Hide - Control'!A$3,'All practice data'!A:CA,C32+4,FALSE))</f>
        <v>17</v>
      </c>
      <c r="H32" s="122">
        <f>IF(VLOOKUP('Hide - Control'!A$3,'All practice data'!A:CA,C32+30,FALSE)=" "," ",VLOOKUP('Hide - Control'!A$3,'All practice data'!A:CA,C32+30,FALSE))</f>
        <v>441.7879417879418</v>
      </c>
      <c r="I32" s="123">
        <f>IF(LEFT(G32,1)=" "," n/a",IF(G32&lt;5,100000*VLOOKUP(G32,'Hide - Calculation'!AQ:AR,2,FALSE)/$E$8,100000*(G32*(1-1/(9*G32)-1.96/(3*SQRT(G32)))^3)/$E$8))</f>
        <v>257.20825291519503</v>
      </c>
      <c r="J32" s="123">
        <f>IF(LEFT(G32,1)=" "," n/a",IF(G32&lt;5,100000*VLOOKUP(G32,'Hide - Calculation'!AQ:AS,3,FALSE)/$E$8,100000*((G32+1)*(1-1/(9*(G32+1))+1.96/(3*SQRT(G32+1)))^3)/$E$8))</f>
        <v>707.3885321625495</v>
      </c>
      <c r="K32" s="122">
        <f>IF('Hide - Calculation'!N26="","",'Hide - Calculation'!N26)</f>
        <v>409.85004100124223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1142.857177734375</v>
      </c>
      <c r="AB32" s="234" t="s">
        <v>47</v>
      </c>
      <c r="AC32" s="131" t="s">
        <v>559</v>
      </c>
    </row>
    <row r="33" spans="2:29" s="63" customFormat="1" ht="33.75" customHeight="1">
      <c r="B33" s="305"/>
      <c r="C33" s="137">
        <v>21</v>
      </c>
      <c r="D33" s="132" t="s">
        <v>393</v>
      </c>
      <c r="E33" s="85"/>
      <c r="F33" s="85"/>
      <c r="G33" s="121">
        <f>IF(VLOOKUP('Hide - Control'!A$3,'All practice data'!A:CA,C33+4,FALSE)=" "," ",VLOOKUP('Hide - Control'!A$3,'All practice data'!A:CA,C33+4,FALSE))</f>
        <v>52</v>
      </c>
      <c r="H33" s="122">
        <f>IF(VLOOKUP('Hide - Control'!A$3,'All practice data'!A:CA,C33+30,FALSE)=" "," ",VLOOKUP('Hide - Control'!A$3,'All practice data'!A:CA,C33+30,FALSE))</f>
        <v>1351.3513513513512</v>
      </c>
      <c r="I33" s="123">
        <f>IF(LEFT(G33,1)=" "," n/a",IF(G33&lt;5,100000*VLOOKUP(G33,'Hide - Calculation'!AQ:AR,2,FALSE)/$E$8,100000*(G33*(1-1/(9*G33)-1.96/(3*SQRT(G33)))^3)/$E$8))</f>
        <v>1009.1756281561445</v>
      </c>
      <c r="J33" s="123">
        <f>IF(LEFT(G33,1)=" "," n/a",IF(G33&lt;5,100000*VLOOKUP(G33,'Hide - Calculation'!AQ:AS,3,FALSE)/$E$8,100000*((G33+1)*(1-1/(9*(G33+1))+1.96/(3*SQRT(G33+1)))^3)/$E$8))</f>
        <v>1772.16137424941</v>
      </c>
      <c r="K33" s="122">
        <f>IF('Hide - Calculation'!N27="","",'Hide - Calculation'!N27)</f>
        <v>1118.9685548888906</v>
      </c>
      <c r="L33" s="156">
        <f>'Hide - Calculation'!O27</f>
        <v>1059.3522061277838</v>
      </c>
      <c r="M33" s="148">
        <f>IF(ISBLANK('Hide - Calculation'!K27),"",'Hide - Calculation'!U27)</f>
        <v>422.6979064941406</v>
      </c>
      <c r="N33" s="86"/>
      <c r="O33" s="87"/>
      <c r="P33" s="87"/>
      <c r="Q33" s="87"/>
      <c r="R33" s="84"/>
      <c r="S33" s="84"/>
      <c r="T33" s="84"/>
      <c r="U33" s="84"/>
      <c r="V33" s="84"/>
      <c r="W33" s="84"/>
      <c r="X33" s="84"/>
      <c r="Y33" s="84"/>
      <c r="Z33" s="88"/>
      <c r="AA33" s="148">
        <f>IF(ISBLANK('Hide - Calculation'!K27),"",'Hide - Calculation'!T27)</f>
        <v>1823.8021240234375</v>
      </c>
      <c r="AB33" s="234" t="s">
        <v>47</v>
      </c>
      <c r="AC33" s="131" t="s">
        <v>559</v>
      </c>
    </row>
    <row r="34" spans="2:29" s="63" customFormat="1" ht="33.75" customHeight="1">
      <c r="B34" s="305"/>
      <c r="C34" s="137">
        <v>22</v>
      </c>
      <c r="D34" s="132" t="s">
        <v>392</v>
      </c>
      <c r="E34" s="85"/>
      <c r="F34" s="85"/>
      <c r="G34" s="118">
        <f>IF(VLOOKUP('Hide - Control'!A$3,'All practice data'!A:CA,C34+4,FALSE)=" "," ",VLOOKUP('Hide - Control'!A$3,'All practice data'!A:CA,C34+4,FALSE))</f>
        <v>27</v>
      </c>
      <c r="H34" s="122">
        <f>IF(VLOOKUP('Hide - Control'!A$3,'All practice data'!A:CA,C34+30,FALSE)=" "," ",VLOOKUP('Hide - Control'!A$3,'All practice data'!A:CA,C34+30,FALSE))</f>
        <v>701.6632016632017</v>
      </c>
      <c r="I34" s="123">
        <f>IF(LEFT(G34,1)=" "," n/a",IF(G34&lt;5,100000*VLOOKUP(G34,'Hide - Calculation'!AQ:AR,2,FALSE)/$E$8,100000*(G34*(1-1/(9*G34)-1.96/(3*SQRT(G34)))^3)/$E$8))</f>
        <v>462.2874941288116</v>
      </c>
      <c r="J34" s="123">
        <f>IF(LEFT(G34,1)=" "," n/a",IF(G34&lt;5,100000*VLOOKUP(G34,'Hide - Calculation'!AQ:AS,3,FALSE)/$E$8,100000*((G34+1)*(1-1/(9*(G34+1))+1.96/(3*SQRT(G34+1)))^3)/$E$8))</f>
        <v>1020.9287295420593</v>
      </c>
      <c r="K34" s="122">
        <f>IF('Hide - Calculation'!N28="","",'Hide - Calculation'!N28)</f>
        <v>585.5464531895719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1140.1943359375</v>
      </c>
      <c r="AB34" s="234" t="s">
        <v>47</v>
      </c>
      <c r="AC34" s="131" t="s">
        <v>559</v>
      </c>
    </row>
    <row r="35" spans="2:29" s="63" customFormat="1" ht="33.75" customHeight="1">
      <c r="B35" s="305"/>
      <c r="C35" s="137">
        <v>23</v>
      </c>
      <c r="D35" s="138" t="s">
        <v>518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378</v>
      </c>
      <c r="AC35" s="131">
        <v>2008</v>
      </c>
    </row>
    <row r="36" spans="2:29" ht="33.75" customHeight="1">
      <c r="B36" s="306"/>
      <c r="C36" s="137">
        <v>24</v>
      </c>
      <c r="D36" s="224" t="s">
        <v>519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378</v>
      </c>
      <c r="AC36" s="131">
        <v>2008</v>
      </c>
    </row>
    <row r="37" spans="2:29" ht="33.75" customHeight="1" thickBot="1">
      <c r="B37" s="307"/>
      <c r="C37" s="176">
        <v>25</v>
      </c>
      <c r="D37" s="177" t="s">
        <v>394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378</v>
      </c>
      <c r="AC37" s="149">
        <v>2008</v>
      </c>
    </row>
    <row r="38" spans="2:29" ht="16.5" customHeight="1">
      <c r="B38" s="69"/>
      <c r="C38" s="69"/>
      <c r="D38" s="65" t="s">
        <v>376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660</v>
      </c>
      <c r="C39" s="244"/>
      <c r="D39" s="244"/>
      <c r="E39" s="303" t="s">
        <v>664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543</v>
      </c>
      <c r="BE2" s="341"/>
      <c r="BF2" s="341"/>
      <c r="BG2" s="341"/>
      <c r="BH2" s="341"/>
      <c r="BI2" s="341"/>
      <c r="BJ2" s="342"/>
    </row>
    <row r="3" spans="1:82" s="72" customFormat="1" ht="76.5" customHeight="1">
      <c r="A3" s="266" t="s">
        <v>276</v>
      </c>
      <c r="B3" s="275" t="s">
        <v>277</v>
      </c>
      <c r="C3" s="276" t="s">
        <v>49</v>
      </c>
      <c r="D3" s="274" t="s">
        <v>528</v>
      </c>
      <c r="E3" s="267" t="s">
        <v>400</v>
      </c>
      <c r="F3" s="267" t="s">
        <v>511</v>
      </c>
      <c r="G3" s="267" t="s">
        <v>402</v>
      </c>
      <c r="H3" s="267" t="s">
        <v>403</v>
      </c>
      <c r="I3" s="267" t="s">
        <v>404</v>
      </c>
      <c r="J3" s="267" t="s">
        <v>552</v>
      </c>
      <c r="K3" s="267" t="s">
        <v>553</v>
      </c>
      <c r="L3" s="267" t="s">
        <v>554</v>
      </c>
      <c r="M3" s="267" t="s">
        <v>405</v>
      </c>
      <c r="N3" s="267" t="s">
        <v>406</v>
      </c>
      <c r="O3" s="267" t="s">
        <v>407</v>
      </c>
      <c r="P3" s="267" t="s">
        <v>542</v>
      </c>
      <c r="Q3" s="267" t="s">
        <v>408</v>
      </c>
      <c r="R3" s="267" t="s">
        <v>409</v>
      </c>
      <c r="S3" s="267" t="s">
        <v>410</v>
      </c>
      <c r="T3" s="267" t="s">
        <v>411</v>
      </c>
      <c r="U3" s="267" t="s">
        <v>412</v>
      </c>
      <c r="V3" s="267" t="s">
        <v>413</v>
      </c>
      <c r="W3" s="267" t="s">
        <v>414</v>
      </c>
      <c r="X3" s="267" t="s">
        <v>415</v>
      </c>
      <c r="Y3" s="267" t="s">
        <v>416</v>
      </c>
      <c r="Z3" s="267" t="s">
        <v>417</v>
      </c>
      <c r="AA3" s="267" t="s">
        <v>418</v>
      </c>
      <c r="AB3" s="267" t="s">
        <v>419</v>
      </c>
      <c r="AC3" s="267" t="s">
        <v>420</v>
      </c>
      <c r="AD3" s="268" t="s">
        <v>421</v>
      </c>
      <c r="AE3" s="268" t="s">
        <v>400</v>
      </c>
      <c r="AF3" s="269" t="s">
        <v>401</v>
      </c>
      <c r="AG3" s="268" t="s">
        <v>402</v>
      </c>
      <c r="AH3" s="268" t="s">
        <v>403</v>
      </c>
      <c r="AI3" s="268" t="s">
        <v>404</v>
      </c>
      <c r="AJ3" s="268" t="s">
        <v>552</v>
      </c>
      <c r="AK3" s="268" t="s">
        <v>553</v>
      </c>
      <c r="AL3" s="268" t="s">
        <v>554</v>
      </c>
      <c r="AM3" s="268" t="s">
        <v>405</v>
      </c>
      <c r="AN3" s="268" t="s">
        <v>406</v>
      </c>
      <c r="AO3" s="268" t="s">
        <v>407</v>
      </c>
      <c r="AP3" s="268" t="s">
        <v>542</v>
      </c>
      <c r="AQ3" s="268" t="s">
        <v>408</v>
      </c>
      <c r="AR3" s="268" t="s">
        <v>409</v>
      </c>
      <c r="AS3" s="268" t="s">
        <v>410</v>
      </c>
      <c r="AT3" s="268" t="s">
        <v>411</v>
      </c>
      <c r="AU3" s="268" t="s">
        <v>412</v>
      </c>
      <c r="AV3" s="268" t="s">
        <v>413</v>
      </c>
      <c r="AW3" s="268" t="s">
        <v>414</v>
      </c>
      <c r="AX3" s="268" t="s">
        <v>415</v>
      </c>
      <c r="AY3" s="270" t="s">
        <v>416</v>
      </c>
      <c r="AZ3" s="271" t="s">
        <v>417</v>
      </c>
      <c r="BA3" s="271" t="s">
        <v>418</v>
      </c>
      <c r="BB3" s="271" t="s">
        <v>419</v>
      </c>
      <c r="BC3" s="272" t="s">
        <v>420</v>
      </c>
      <c r="BD3" s="273" t="s">
        <v>540</v>
      </c>
      <c r="BE3" s="273" t="s">
        <v>541</v>
      </c>
      <c r="BF3" s="273" t="s">
        <v>548</v>
      </c>
      <c r="BG3" s="273" t="s">
        <v>549</v>
      </c>
      <c r="BH3" s="273" t="s">
        <v>547</v>
      </c>
      <c r="BI3" s="273" t="s">
        <v>550</v>
      </c>
      <c r="BJ3" s="273" t="s">
        <v>551</v>
      </c>
      <c r="BK3" s="73"/>
      <c r="BL3" s="73"/>
      <c r="BM3" s="73"/>
      <c r="BN3" s="73"/>
      <c r="BO3" s="73"/>
      <c r="BP3" s="73"/>
      <c r="BQ3" s="73"/>
      <c r="BR3" s="73"/>
      <c r="BS3" s="73"/>
      <c r="BT3" s="73"/>
      <c r="BU3" s="73"/>
      <c r="BV3" s="73"/>
      <c r="BW3" s="73"/>
      <c r="BX3" s="73"/>
      <c r="BY3" s="73"/>
      <c r="BZ3" s="73"/>
      <c r="CA3" s="73"/>
      <c r="CB3" s="73"/>
      <c r="CC3" s="73"/>
      <c r="CD3" s="73"/>
    </row>
    <row r="4" spans="1:66" ht="12.75">
      <c r="A4" s="79" t="s">
        <v>593</v>
      </c>
      <c r="B4" s="79" t="s">
        <v>313</v>
      </c>
      <c r="C4" s="79" t="s">
        <v>234</v>
      </c>
      <c r="D4" s="99">
        <v>3848</v>
      </c>
      <c r="E4" s="99">
        <v>768</v>
      </c>
      <c r="F4" s="99" t="s">
        <v>399</v>
      </c>
      <c r="G4" s="99" t="s">
        <v>663</v>
      </c>
      <c r="H4" s="99">
        <v>9</v>
      </c>
      <c r="I4" s="99">
        <v>100</v>
      </c>
      <c r="J4" s="99">
        <v>462</v>
      </c>
      <c r="K4" s="99">
        <v>11</v>
      </c>
      <c r="L4" s="99">
        <v>757</v>
      </c>
      <c r="M4" s="99">
        <v>272</v>
      </c>
      <c r="N4" s="99">
        <v>223</v>
      </c>
      <c r="O4" s="99">
        <v>76</v>
      </c>
      <c r="P4" s="159">
        <v>76</v>
      </c>
      <c r="Q4" s="99">
        <v>12</v>
      </c>
      <c r="R4" s="99">
        <v>21</v>
      </c>
      <c r="S4" s="99">
        <v>8</v>
      </c>
      <c r="T4" s="99">
        <v>15</v>
      </c>
      <c r="U4" s="99" t="s">
        <v>663</v>
      </c>
      <c r="V4" s="99">
        <v>13</v>
      </c>
      <c r="W4" s="99">
        <v>20</v>
      </c>
      <c r="X4" s="99">
        <v>17</v>
      </c>
      <c r="Y4" s="99">
        <v>52</v>
      </c>
      <c r="Z4" s="99">
        <v>27</v>
      </c>
      <c r="AA4" s="99" t="s">
        <v>663</v>
      </c>
      <c r="AB4" s="99" t="s">
        <v>663</v>
      </c>
      <c r="AC4" s="99" t="s">
        <v>663</v>
      </c>
      <c r="AD4" s="98" t="s">
        <v>376</v>
      </c>
      <c r="AE4" s="100">
        <v>0.1995841995841996</v>
      </c>
      <c r="AF4" s="100">
        <v>0.06</v>
      </c>
      <c r="AG4" s="98" t="s">
        <v>663</v>
      </c>
      <c r="AH4" s="98">
        <v>233.8877338877339</v>
      </c>
      <c r="AI4" s="100">
        <v>0.026000000000000002</v>
      </c>
      <c r="AJ4" s="100">
        <v>0.733333</v>
      </c>
      <c r="AK4" s="100">
        <v>0.916667</v>
      </c>
      <c r="AL4" s="100">
        <v>0.822826</v>
      </c>
      <c r="AM4" s="100">
        <v>0.427673</v>
      </c>
      <c r="AN4" s="100">
        <v>0.588391</v>
      </c>
      <c r="AO4" s="98">
        <v>1975.051975051975</v>
      </c>
      <c r="AP4" s="158">
        <v>0.942907486</v>
      </c>
      <c r="AQ4" s="100">
        <v>0.15789473684210525</v>
      </c>
      <c r="AR4" s="100">
        <v>0.5714285714285714</v>
      </c>
      <c r="AS4" s="98">
        <v>207.9002079002079</v>
      </c>
      <c r="AT4" s="98">
        <v>389.8128898128898</v>
      </c>
      <c r="AU4" s="98" t="s">
        <v>663</v>
      </c>
      <c r="AV4" s="98">
        <v>337.8378378378378</v>
      </c>
      <c r="AW4" s="98">
        <v>519.7505197505197</v>
      </c>
      <c r="AX4" s="98">
        <v>441.7879417879418</v>
      </c>
      <c r="AY4" s="98">
        <v>1351.3513513513512</v>
      </c>
      <c r="AZ4" s="98">
        <v>701.6632016632017</v>
      </c>
      <c r="BA4" s="100" t="s">
        <v>663</v>
      </c>
      <c r="BB4" s="100" t="s">
        <v>663</v>
      </c>
      <c r="BC4" s="100" t="s">
        <v>663</v>
      </c>
      <c r="BD4" s="158">
        <v>0.7429039001</v>
      </c>
      <c r="BE4" s="158">
        <v>1.180189362</v>
      </c>
      <c r="BF4" s="162">
        <v>630</v>
      </c>
      <c r="BG4" s="162">
        <v>12</v>
      </c>
      <c r="BH4" s="162">
        <v>920</v>
      </c>
      <c r="BI4" s="162">
        <v>636</v>
      </c>
      <c r="BJ4" s="162">
        <v>379</v>
      </c>
      <c r="BK4" s="97"/>
      <c r="BL4" s="97"/>
      <c r="BM4" s="97"/>
      <c r="BN4" s="97"/>
    </row>
    <row r="5" spans="1:66" ht="12.75">
      <c r="A5" s="79" t="s">
        <v>652</v>
      </c>
      <c r="B5" s="79" t="s">
        <v>372</v>
      </c>
      <c r="C5" s="79" t="s">
        <v>234</v>
      </c>
      <c r="D5" s="99">
        <v>4590</v>
      </c>
      <c r="E5" s="99">
        <v>940</v>
      </c>
      <c r="F5" s="99" t="s">
        <v>397</v>
      </c>
      <c r="G5" s="99">
        <v>19</v>
      </c>
      <c r="H5" s="99">
        <v>13</v>
      </c>
      <c r="I5" s="99">
        <v>69</v>
      </c>
      <c r="J5" s="99">
        <v>569</v>
      </c>
      <c r="K5" s="99">
        <v>525</v>
      </c>
      <c r="L5" s="99">
        <v>864</v>
      </c>
      <c r="M5" s="99">
        <v>388</v>
      </c>
      <c r="N5" s="99">
        <v>198</v>
      </c>
      <c r="O5" s="99">
        <v>70</v>
      </c>
      <c r="P5" s="159">
        <v>70</v>
      </c>
      <c r="Q5" s="99">
        <v>17</v>
      </c>
      <c r="R5" s="99">
        <v>30</v>
      </c>
      <c r="S5" s="99">
        <v>11</v>
      </c>
      <c r="T5" s="99">
        <v>10</v>
      </c>
      <c r="U5" s="99">
        <v>8</v>
      </c>
      <c r="V5" s="99">
        <v>8</v>
      </c>
      <c r="W5" s="99">
        <v>28</v>
      </c>
      <c r="X5" s="99">
        <v>14</v>
      </c>
      <c r="Y5" s="99">
        <v>41</v>
      </c>
      <c r="Z5" s="99">
        <v>21</v>
      </c>
      <c r="AA5" s="99" t="s">
        <v>663</v>
      </c>
      <c r="AB5" s="99" t="s">
        <v>663</v>
      </c>
      <c r="AC5" s="99" t="s">
        <v>663</v>
      </c>
      <c r="AD5" s="98" t="s">
        <v>376</v>
      </c>
      <c r="AE5" s="100">
        <v>0.2047930283224401</v>
      </c>
      <c r="AF5" s="100">
        <v>0.12</v>
      </c>
      <c r="AG5" s="98">
        <v>413.9433551198257</v>
      </c>
      <c r="AH5" s="98">
        <v>283.2244008714597</v>
      </c>
      <c r="AI5" s="100">
        <v>0.015</v>
      </c>
      <c r="AJ5" s="100">
        <v>0.876733</v>
      </c>
      <c r="AK5" s="100">
        <v>0.834658</v>
      </c>
      <c r="AL5" s="100">
        <v>0.791209</v>
      </c>
      <c r="AM5" s="100">
        <v>0.60815</v>
      </c>
      <c r="AN5" s="100">
        <v>0.628571</v>
      </c>
      <c r="AO5" s="98">
        <v>1525.054466230937</v>
      </c>
      <c r="AP5" s="158">
        <v>0.7398847198</v>
      </c>
      <c r="AQ5" s="100">
        <v>0.24285714285714285</v>
      </c>
      <c r="AR5" s="100">
        <v>0.5666666666666667</v>
      </c>
      <c r="AS5" s="98">
        <v>239.65141612200435</v>
      </c>
      <c r="AT5" s="98">
        <v>217.8649237472767</v>
      </c>
      <c r="AU5" s="98">
        <v>174.29193899782135</v>
      </c>
      <c r="AV5" s="98">
        <v>174.29193899782135</v>
      </c>
      <c r="AW5" s="98">
        <v>610.0217864923748</v>
      </c>
      <c r="AX5" s="98">
        <v>305.0108932461874</v>
      </c>
      <c r="AY5" s="98">
        <v>893.2461873638345</v>
      </c>
      <c r="AZ5" s="98">
        <v>457.51633986928107</v>
      </c>
      <c r="BA5" s="100" t="s">
        <v>663</v>
      </c>
      <c r="BB5" s="100" t="s">
        <v>663</v>
      </c>
      <c r="BC5" s="100" t="s">
        <v>663</v>
      </c>
      <c r="BD5" s="158">
        <v>0.5767764664</v>
      </c>
      <c r="BE5" s="158">
        <v>0.934799881</v>
      </c>
      <c r="BF5" s="162">
        <v>649</v>
      </c>
      <c r="BG5" s="162">
        <v>629</v>
      </c>
      <c r="BH5" s="162">
        <v>1092</v>
      </c>
      <c r="BI5" s="162">
        <v>638</v>
      </c>
      <c r="BJ5" s="162">
        <v>315</v>
      </c>
      <c r="BK5" s="97"/>
      <c r="BL5" s="97"/>
      <c r="BM5" s="97"/>
      <c r="BN5" s="97"/>
    </row>
    <row r="6" spans="1:66" ht="12.75">
      <c r="A6" s="79" t="s">
        <v>636</v>
      </c>
      <c r="B6" s="79" t="s">
        <v>356</v>
      </c>
      <c r="C6" s="79" t="s">
        <v>234</v>
      </c>
      <c r="D6" s="99">
        <v>7395</v>
      </c>
      <c r="E6" s="99">
        <v>728</v>
      </c>
      <c r="F6" s="99" t="s">
        <v>396</v>
      </c>
      <c r="G6" s="99">
        <v>17</v>
      </c>
      <c r="H6" s="99">
        <v>10</v>
      </c>
      <c r="I6" s="99">
        <v>92</v>
      </c>
      <c r="J6" s="99">
        <v>306</v>
      </c>
      <c r="K6" s="99">
        <v>293</v>
      </c>
      <c r="L6" s="99">
        <v>1145</v>
      </c>
      <c r="M6" s="99">
        <v>121</v>
      </c>
      <c r="N6" s="99">
        <v>92</v>
      </c>
      <c r="O6" s="99">
        <v>72</v>
      </c>
      <c r="P6" s="159">
        <v>72</v>
      </c>
      <c r="Q6" s="99">
        <v>10</v>
      </c>
      <c r="R6" s="99">
        <v>17</v>
      </c>
      <c r="S6" s="99">
        <v>28</v>
      </c>
      <c r="T6" s="99" t="s">
        <v>663</v>
      </c>
      <c r="U6" s="99" t="s">
        <v>663</v>
      </c>
      <c r="V6" s="99">
        <v>6</v>
      </c>
      <c r="W6" s="99">
        <v>21</v>
      </c>
      <c r="X6" s="99">
        <v>19</v>
      </c>
      <c r="Y6" s="99">
        <v>32</v>
      </c>
      <c r="Z6" s="99">
        <v>39</v>
      </c>
      <c r="AA6" s="99" t="s">
        <v>663</v>
      </c>
      <c r="AB6" s="99" t="s">
        <v>663</v>
      </c>
      <c r="AC6" s="99" t="s">
        <v>663</v>
      </c>
      <c r="AD6" s="98" t="s">
        <v>376</v>
      </c>
      <c r="AE6" s="100">
        <v>0.09844489519945909</v>
      </c>
      <c r="AF6" s="100">
        <v>0.2</v>
      </c>
      <c r="AG6" s="98">
        <v>229.88505747126436</v>
      </c>
      <c r="AH6" s="98">
        <v>135.2265043948614</v>
      </c>
      <c r="AI6" s="100">
        <v>0.012</v>
      </c>
      <c r="AJ6" s="100">
        <v>0.60355</v>
      </c>
      <c r="AK6" s="100">
        <v>0.618143</v>
      </c>
      <c r="AL6" s="100">
        <v>0.65729</v>
      </c>
      <c r="AM6" s="100">
        <v>0.288095</v>
      </c>
      <c r="AN6" s="100">
        <v>0.396552</v>
      </c>
      <c r="AO6" s="98">
        <v>973.630831643002</v>
      </c>
      <c r="AP6" s="158">
        <v>0.7352388000000001</v>
      </c>
      <c r="AQ6" s="100">
        <v>0.1388888888888889</v>
      </c>
      <c r="AR6" s="100">
        <v>0.5882352941176471</v>
      </c>
      <c r="AS6" s="98">
        <v>378.6342123056119</v>
      </c>
      <c r="AT6" s="98" t="s">
        <v>663</v>
      </c>
      <c r="AU6" s="98" t="s">
        <v>663</v>
      </c>
      <c r="AV6" s="98">
        <v>81.13590263691684</v>
      </c>
      <c r="AW6" s="98">
        <v>283.97565922920893</v>
      </c>
      <c r="AX6" s="98">
        <v>256.93035835023665</v>
      </c>
      <c r="AY6" s="98">
        <v>432.72481406355644</v>
      </c>
      <c r="AZ6" s="98">
        <v>527.3833671399594</v>
      </c>
      <c r="BA6" s="100" t="s">
        <v>663</v>
      </c>
      <c r="BB6" s="100" t="s">
        <v>663</v>
      </c>
      <c r="BC6" s="100" t="s">
        <v>663</v>
      </c>
      <c r="BD6" s="158">
        <v>0.5752790833</v>
      </c>
      <c r="BE6" s="158">
        <v>0.9259116364000001</v>
      </c>
      <c r="BF6" s="162">
        <v>507</v>
      </c>
      <c r="BG6" s="162">
        <v>474</v>
      </c>
      <c r="BH6" s="162">
        <v>1742</v>
      </c>
      <c r="BI6" s="162">
        <v>420</v>
      </c>
      <c r="BJ6" s="162">
        <v>232</v>
      </c>
      <c r="BK6" s="97"/>
      <c r="BL6" s="97"/>
      <c r="BM6" s="97"/>
      <c r="BN6" s="97"/>
    </row>
    <row r="7" spans="1:66" ht="12.75">
      <c r="A7" s="79" t="s">
        <v>579</v>
      </c>
      <c r="B7" s="79" t="s">
        <v>299</v>
      </c>
      <c r="C7" s="79" t="s">
        <v>234</v>
      </c>
      <c r="D7" s="99">
        <v>5550</v>
      </c>
      <c r="E7" s="99">
        <v>1021</v>
      </c>
      <c r="F7" s="99" t="s">
        <v>399</v>
      </c>
      <c r="G7" s="99">
        <v>17</v>
      </c>
      <c r="H7" s="99">
        <v>11</v>
      </c>
      <c r="I7" s="99">
        <v>79</v>
      </c>
      <c r="J7" s="99">
        <v>643</v>
      </c>
      <c r="K7" s="99">
        <v>600</v>
      </c>
      <c r="L7" s="99">
        <v>1182</v>
      </c>
      <c r="M7" s="99">
        <v>349</v>
      </c>
      <c r="N7" s="99">
        <v>275</v>
      </c>
      <c r="O7" s="99">
        <v>150</v>
      </c>
      <c r="P7" s="159">
        <v>150</v>
      </c>
      <c r="Q7" s="99">
        <v>15</v>
      </c>
      <c r="R7" s="99">
        <v>23</v>
      </c>
      <c r="S7" s="99">
        <v>27</v>
      </c>
      <c r="T7" s="99">
        <v>24</v>
      </c>
      <c r="U7" s="99" t="s">
        <v>663</v>
      </c>
      <c r="V7" s="99">
        <v>30</v>
      </c>
      <c r="W7" s="99">
        <v>47</v>
      </c>
      <c r="X7" s="99">
        <v>42</v>
      </c>
      <c r="Y7" s="99">
        <v>74</v>
      </c>
      <c r="Z7" s="99">
        <v>39</v>
      </c>
      <c r="AA7" s="99" t="s">
        <v>663</v>
      </c>
      <c r="AB7" s="99" t="s">
        <v>663</v>
      </c>
      <c r="AC7" s="99" t="s">
        <v>663</v>
      </c>
      <c r="AD7" s="98" t="s">
        <v>376</v>
      </c>
      <c r="AE7" s="100">
        <v>0.18396396396396397</v>
      </c>
      <c r="AF7" s="100">
        <v>0.07</v>
      </c>
      <c r="AG7" s="98">
        <v>306.3063063063063</v>
      </c>
      <c r="AH7" s="98">
        <v>198.19819819819818</v>
      </c>
      <c r="AI7" s="100">
        <v>0.013999999999999999</v>
      </c>
      <c r="AJ7" s="100">
        <v>0.807789</v>
      </c>
      <c r="AK7" s="100">
        <v>0.805369</v>
      </c>
      <c r="AL7" s="100">
        <v>0.854046</v>
      </c>
      <c r="AM7" s="100">
        <v>0.438994</v>
      </c>
      <c r="AN7" s="100">
        <v>0.588865</v>
      </c>
      <c r="AO7" s="98">
        <v>2702.7027027027025</v>
      </c>
      <c r="AP7" s="158">
        <v>1.3367506409999999</v>
      </c>
      <c r="AQ7" s="100">
        <v>0.1</v>
      </c>
      <c r="AR7" s="100">
        <v>0.6521739130434783</v>
      </c>
      <c r="AS7" s="98">
        <v>486.4864864864865</v>
      </c>
      <c r="AT7" s="98">
        <v>432.43243243243245</v>
      </c>
      <c r="AU7" s="98" t="s">
        <v>663</v>
      </c>
      <c r="AV7" s="98">
        <v>540.5405405405405</v>
      </c>
      <c r="AW7" s="98">
        <v>846.8468468468468</v>
      </c>
      <c r="AX7" s="98">
        <v>756.7567567567568</v>
      </c>
      <c r="AY7" s="98">
        <v>1333.3333333333333</v>
      </c>
      <c r="AZ7" s="98">
        <v>702.7027027027027</v>
      </c>
      <c r="BA7" s="100" t="s">
        <v>663</v>
      </c>
      <c r="BB7" s="100" t="s">
        <v>663</v>
      </c>
      <c r="BC7" s="100" t="s">
        <v>663</v>
      </c>
      <c r="BD7" s="158">
        <v>1.131391525</v>
      </c>
      <c r="BE7" s="158">
        <v>1.568607025</v>
      </c>
      <c r="BF7" s="162">
        <v>796</v>
      </c>
      <c r="BG7" s="162">
        <v>745</v>
      </c>
      <c r="BH7" s="162">
        <v>1384</v>
      </c>
      <c r="BI7" s="162">
        <v>795</v>
      </c>
      <c r="BJ7" s="162">
        <v>467</v>
      </c>
      <c r="BK7" s="97"/>
      <c r="BL7" s="97"/>
      <c r="BM7" s="97"/>
      <c r="BN7" s="97"/>
    </row>
    <row r="8" spans="1:66" ht="12.75">
      <c r="A8" s="79" t="s">
        <v>584</v>
      </c>
      <c r="B8" s="79" t="s">
        <v>304</v>
      </c>
      <c r="C8" s="79" t="s">
        <v>234</v>
      </c>
      <c r="D8" s="99">
        <v>2095</v>
      </c>
      <c r="E8" s="99">
        <v>232</v>
      </c>
      <c r="F8" s="99" t="s">
        <v>396</v>
      </c>
      <c r="G8" s="99">
        <v>8</v>
      </c>
      <c r="H8" s="99" t="s">
        <v>663</v>
      </c>
      <c r="I8" s="99">
        <v>41</v>
      </c>
      <c r="J8" s="99">
        <v>233</v>
      </c>
      <c r="K8" s="99">
        <v>227</v>
      </c>
      <c r="L8" s="99">
        <v>365</v>
      </c>
      <c r="M8" s="99">
        <v>186</v>
      </c>
      <c r="N8" s="99">
        <v>105</v>
      </c>
      <c r="O8" s="99">
        <v>17</v>
      </c>
      <c r="P8" s="159">
        <v>17</v>
      </c>
      <c r="Q8" s="99" t="s">
        <v>663</v>
      </c>
      <c r="R8" s="99">
        <v>11</v>
      </c>
      <c r="S8" s="99">
        <v>9</v>
      </c>
      <c r="T8" s="99" t="s">
        <v>663</v>
      </c>
      <c r="U8" s="99" t="s">
        <v>663</v>
      </c>
      <c r="V8" s="99" t="s">
        <v>663</v>
      </c>
      <c r="W8" s="99">
        <v>10</v>
      </c>
      <c r="X8" s="99" t="s">
        <v>663</v>
      </c>
      <c r="Y8" s="99">
        <v>15</v>
      </c>
      <c r="Z8" s="99">
        <v>7</v>
      </c>
      <c r="AA8" s="99" t="s">
        <v>663</v>
      </c>
      <c r="AB8" s="99" t="s">
        <v>663</v>
      </c>
      <c r="AC8" s="99" t="s">
        <v>663</v>
      </c>
      <c r="AD8" s="98" t="s">
        <v>376</v>
      </c>
      <c r="AE8" s="100">
        <v>0.11073985680190931</v>
      </c>
      <c r="AF8" s="100">
        <v>0.2</v>
      </c>
      <c r="AG8" s="98">
        <v>381.8615751789976</v>
      </c>
      <c r="AH8" s="98" t="s">
        <v>663</v>
      </c>
      <c r="AI8" s="100">
        <v>0.02</v>
      </c>
      <c r="AJ8" s="100">
        <v>0.723602</v>
      </c>
      <c r="AK8" s="100">
        <v>0.72524</v>
      </c>
      <c r="AL8" s="100">
        <v>0.652952</v>
      </c>
      <c r="AM8" s="100">
        <v>0.510989</v>
      </c>
      <c r="AN8" s="100">
        <v>0.525</v>
      </c>
      <c r="AO8" s="98">
        <v>811.4558472553699</v>
      </c>
      <c r="AP8" s="158">
        <v>0.4832113647</v>
      </c>
      <c r="AQ8" s="100" t="s">
        <v>663</v>
      </c>
      <c r="AR8" s="100" t="s">
        <v>663</v>
      </c>
      <c r="AS8" s="98">
        <v>429.5942720763723</v>
      </c>
      <c r="AT8" s="98" t="s">
        <v>663</v>
      </c>
      <c r="AU8" s="98" t="s">
        <v>663</v>
      </c>
      <c r="AV8" s="98" t="s">
        <v>663</v>
      </c>
      <c r="AW8" s="98">
        <v>477.326968973747</v>
      </c>
      <c r="AX8" s="98" t="s">
        <v>663</v>
      </c>
      <c r="AY8" s="98">
        <v>715.9904534606205</v>
      </c>
      <c r="AZ8" s="98">
        <v>334.1288782816229</v>
      </c>
      <c r="BA8" s="100" t="s">
        <v>663</v>
      </c>
      <c r="BB8" s="100" t="s">
        <v>663</v>
      </c>
      <c r="BC8" s="100" t="s">
        <v>663</v>
      </c>
      <c r="BD8" s="158">
        <v>0.2814884377</v>
      </c>
      <c r="BE8" s="158">
        <v>0.7736682129000001</v>
      </c>
      <c r="BF8" s="162">
        <v>322</v>
      </c>
      <c r="BG8" s="162">
        <v>313</v>
      </c>
      <c r="BH8" s="162">
        <v>559</v>
      </c>
      <c r="BI8" s="162">
        <v>364</v>
      </c>
      <c r="BJ8" s="162">
        <v>200</v>
      </c>
      <c r="BK8" s="97"/>
      <c r="BL8" s="97"/>
      <c r="BM8" s="97"/>
      <c r="BN8" s="97"/>
    </row>
    <row r="9" spans="1:66" ht="12.75">
      <c r="A9" s="79" t="s">
        <v>602</v>
      </c>
      <c r="B9" s="79" t="s">
        <v>322</v>
      </c>
      <c r="C9" s="79" t="s">
        <v>234</v>
      </c>
      <c r="D9" s="99">
        <v>13407</v>
      </c>
      <c r="E9" s="99">
        <v>2310</v>
      </c>
      <c r="F9" s="99" t="s">
        <v>397</v>
      </c>
      <c r="G9" s="99">
        <v>58</v>
      </c>
      <c r="H9" s="99">
        <v>20</v>
      </c>
      <c r="I9" s="99">
        <v>280</v>
      </c>
      <c r="J9" s="99">
        <v>1291</v>
      </c>
      <c r="K9" s="99">
        <v>23</v>
      </c>
      <c r="L9" s="99">
        <v>2514</v>
      </c>
      <c r="M9" s="99">
        <v>671</v>
      </c>
      <c r="N9" s="99">
        <v>526</v>
      </c>
      <c r="O9" s="99">
        <v>149</v>
      </c>
      <c r="P9" s="159">
        <v>149</v>
      </c>
      <c r="Q9" s="99">
        <v>20</v>
      </c>
      <c r="R9" s="99">
        <v>40</v>
      </c>
      <c r="S9" s="99">
        <v>26</v>
      </c>
      <c r="T9" s="99">
        <v>30</v>
      </c>
      <c r="U9" s="99">
        <v>7</v>
      </c>
      <c r="V9" s="99">
        <v>23</v>
      </c>
      <c r="W9" s="99">
        <v>58</v>
      </c>
      <c r="X9" s="99">
        <v>65</v>
      </c>
      <c r="Y9" s="99">
        <v>112</v>
      </c>
      <c r="Z9" s="99">
        <v>62</v>
      </c>
      <c r="AA9" s="99" t="s">
        <v>663</v>
      </c>
      <c r="AB9" s="99" t="s">
        <v>663</v>
      </c>
      <c r="AC9" s="99" t="s">
        <v>663</v>
      </c>
      <c r="AD9" s="98" t="s">
        <v>376</v>
      </c>
      <c r="AE9" s="100">
        <v>0.17229805325576192</v>
      </c>
      <c r="AF9" s="100">
        <v>0.09</v>
      </c>
      <c r="AG9" s="98">
        <v>432.60983068546284</v>
      </c>
      <c r="AH9" s="98">
        <v>149.17580368464235</v>
      </c>
      <c r="AI9" s="100">
        <v>0.021</v>
      </c>
      <c r="AJ9" s="100">
        <v>0.783374</v>
      </c>
      <c r="AK9" s="100">
        <v>0.71875</v>
      </c>
      <c r="AL9" s="100">
        <v>0.789821</v>
      </c>
      <c r="AM9" s="100">
        <v>0.436565</v>
      </c>
      <c r="AN9" s="100">
        <v>0.579295</v>
      </c>
      <c r="AO9" s="98">
        <v>1111.3597374505855</v>
      </c>
      <c r="AP9" s="158">
        <v>0.58858181</v>
      </c>
      <c r="AQ9" s="100">
        <v>0.1342281879194631</v>
      </c>
      <c r="AR9" s="100">
        <v>0.5</v>
      </c>
      <c r="AS9" s="98">
        <v>193.92854479003506</v>
      </c>
      <c r="AT9" s="98">
        <v>223.76370552696352</v>
      </c>
      <c r="AU9" s="98">
        <v>52.21153128962482</v>
      </c>
      <c r="AV9" s="98">
        <v>171.5521742373387</v>
      </c>
      <c r="AW9" s="98">
        <v>432.60983068546284</v>
      </c>
      <c r="AX9" s="98">
        <v>484.82136197508765</v>
      </c>
      <c r="AY9" s="98">
        <v>835.3845006339972</v>
      </c>
      <c r="AZ9" s="98">
        <v>462.4449914223913</v>
      </c>
      <c r="BA9" s="101" t="s">
        <v>663</v>
      </c>
      <c r="BB9" s="101" t="s">
        <v>663</v>
      </c>
      <c r="BC9" s="101" t="s">
        <v>663</v>
      </c>
      <c r="BD9" s="158">
        <v>0.4978704834</v>
      </c>
      <c r="BE9" s="158">
        <v>0.6910394287</v>
      </c>
      <c r="BF9" s="162">
        <v>1648</v>
      </c>
      <c r="BG9" s="162">
        <v>32</v>
      </c>
      <c r="BH9" s="162">
        <v>3183</v>
      </c>
      <c r="BI9" s="162">
        <v>1537</v>
      </c>
      <c r="BJ9" s="162">
        <v>908</v>
      </c>
      <c r="BK9" s="97"/>
      <c r="BL9" s="97"/>
      <c r="BM9" s="97"/>
      <c r="BN9" s="97"/>
    </row>
    <row r="10" spans="1:66" ht="12.75">
      <c r="A10" s="79" t="s">
        <v>597</v>
      </c>
      <c r="B10" s="79" t="s">
        <v>317</v>
      </c>
      <c r="C10" s="79" t="s">
        <v>234</v>
      </c>
      <c r="D10" s="99">
        <v>6676</v>
      </c>
      <c r="E10" s="99">
        <v>1372</v>
      </c>
      <c r="F10" s="99" t="s">
        <v>399</v>
      </c>
      <c r="G10" s="99">
        <v>44</v>
      </c>
      <c r="H10" s="99">
        <v>18</v>
      </c>
      <c r="I10" s="99">
        <v>165</v>
      </c>
      <c r="J10" s="99">
        <v>789</v>
      </c>
      <c r="K10" s="99">
        <v>44</v>
      </c>
      <c r="L10" s="99">
        <v>1303</v>
      </c>
      <c r="M10" s="99">
        <v>431</v>
      </c>
      <c r="N10" s="99">
        <v>345</v>
      </c>
      <c r="O10" s="99">
        <v>182</v>
      </c>
      <c r="P10" s="159">
        <v>182</v>
      </c>
      <c r="Q10" s="99">
        <v>17</v>
      </c>
      <c r="R10" s="99">
        <v>28</v>
      </c>
      <c r="S10" s="99">
        <v>21</v>
      </c>
      <c r="T10" s="99">
        <v>35</v>
      </c>
      <c r="U10" s="99" t="s">
        <v>663</v>
      </c>
      <c r="V10" s="99">
        <v>28</v>
      </c>
      <c r="W10" s="99">
        <v>40</v>
      </c>
      <c r="X10" s="99">
        <v>62</v>
      </c>
      <c r="Y10" s="99">
        <v>78</v>
      </c>
      <c r="Z10" s="99">
        <v>58</v>
      </c>
      <c r="AA10" s="99" t="s">
        <v>663</v>
      </c>
      <c r="AB10" s="99" t="s">
        <v>663</v>
      </c>
      <c r="AC10" s="99" t="s">
        <v>663</v>
      </c>
      <c r="AD10" s="98" t="s">
        <v>376</v>
      </c>
      <c r="AE10" s="100">
        <v>0.2055122828040743</v>
      </c>
      <c r="AF10" s="100">
        <v>0.06</v>
      </c>
      <c r="AG10" s="98">
        <v>659.0772917914919</v>
      </c>
      <c r="AH10" s="98">
        <v>269.62252846015576</v>
      </c>
      <c r="AI10" s="100">
        <v>0.025</v>
      </c>
      <c r="AJ10" s="100">
        <v>0.768257</v>
      </c>
      <c r="AK10" s="100">
        <v>0.77193</v>
      </c>
      <c r="AL10" s="100">
        <v>0.793061</v>
      </c>
      <c r="AM10" s="100">
        <v>0.43014</v>
      </c>
      <c r="AN10" s="100">
        <v>0.59792</v>
      </c>
      <c r="AO10" s="98">
        <v>2726.183343319353</v>
      </c>
      <c r="AP10" s="158">
        <v>1.279271469</v>
      </c>
      <c r="AQ10" s="100">
        <v>0.09340659340659341</v>
      </c>
      <c r="AR10" s="100">
        <v>0.6071428571428571</v>
      </c>
      <c r="AS10" s="98">
        <v>314.5596165368484</v>
      </c>
      <c r="AT10" s="98">
        <v>524.266027561414</v>
      </c>
      <c r="AU10" s="98" t="s">
        <v>663</v>
      </c>
      <c r="AV10" s="98">
        <v>419.4128220491312</v>
      </c>
      <c r="AW10" s="98">
        <v>599.1611743559017</v>
      </c>
      <c r="AX10" s="98">
        <v>928.6998202516477</v>
      </c>
      <c r="AY10" s="98">
        <v>1168.3642899940085</v>
      </c>
      <c r="AZ10" s="98">
        <v>868.7837028160575</v>
      </c>
      <c r="BA10" s="101" t="s">
        <v>663</v>
      </c>
      <c r="BB10" s="101" t="s">
        <v>663</v>
      </c>
      <c r="BC10" s="101" t="s">
        <v>663</v>
      </c>
      <c r="BD10" s="158">
        <v>1.100160446</v>
      </c>
      <c r="BE10" s="158">
        <v>1.479231415</v>
      </c>
      <c r="BF10" s="162">
        <v>1027</v>
      </c>
      <c r="BG10" s="162">
        <v>57</v>
      </c>
      <c r="BH10" s="162">
        <v>1643</v>
      </c>
      <c r="BI10" s="162">
        <v>1002</v>
      </c>
      <c r="BJ10" s="162">
        <v>577</v>
      </c>
      <c r="BK10" s="97"/>
      <c r="BL10" s="97"/>
      <c r="BM10" s="97"/>
      <c r="BN10" s="97"/>
    </row>
    <row r="11" spans="1:66" ht="12.75">
      <c r="A11" s="79" t="s">
        <v>609</v>
      </c>
      <c r="B11" s="79" t="s">
        <v>329</v>
      </c>
      <c r="C11" s="79" t="s">
        <v>234</v>
      </c>
      <c r="D11" s="99">
        <v>3235</v>
      </c>
      <c r="E11" s="99">
        <v>604</v>
      </c>
      <c r="F11" s="99" t="s">
        <v>398</v>
      </c>
      <c r="G11" s="99">
        <v>22</v>
      </c>
      <c r="H11" s="99">
        <v>7</v>
      </c>
      <c r="I11" s="99">
        <v>39</v>
      </c>
      <c r="J11" s="99">
        <v>268</v>
      </c>
      <c r="K11" s="99" t="s">
        <v>663</v>
      </c>
      <c r="L11" s="99">
        <v>602</v>
      </c>
      <c r="M11" s="99">
        <v>188</v>
      </c>
      <c r="N11" s="99">
        <v>96</v>
      </c>
      <c r="O11" s="99">
        <v>139</v>
      </c>
      <c r="P11" s="159">
        <v>139</v>
      </c>
      <c r="Q11" s="99">
        <v>8</v>
      </c>
      <c r="R11" s="99">
        <v>17</v>
      </c>
      <c r="S11" s="99">
        <v>23</v>
      </c>
      <c r="T11" s="99">
        <v>19</v>
      </c>
      <c r="U11" s="99">
        <v>6</v>
      </c>
      <c r="V11" s="99">
        <v>24</v>
      </c>
      <c r="W11" s="99">
        <v>34</v>
      </c>
      <c r="X11" s="99">
        <v>10</v>
      </c>
      <c r="Y11" s="99">
        <v>59</v>
      </c>
      <c r="Z11" s="99">
        <v>19</v>
      </c>
      <c r="AA11" s="99" t="s">
        <v>663</v>
      </c>
      <c r="AB11" s="99" t="s">
        <v>663</v>
      </c>
      <c r="AC11" s="99" t="s">
        <v>663</v>
      </c>
      <c r="AD11" s="98" t="s">
        <v>376</v>
      </c>
      <c r="AE11" s="100">
        <v>0.18670788253477588</v>
      </c>
      <c r="AF11" s="100">
        <v>0.15</v>
      </c>
      <c r="AG11" s="98">
        <v>680.0618238021639</v>
      </c>
      <c r="AH11" s="98">
        <v>216.38330757341578</v>
      </c>
      <c r="AI11" s="100">
        <v>0.012</v>
      </c>
      <c r="AJ11" s="100">
        <v>0.688946</v>
      </c>
      <c r="AK11" s="100" t="s">
        <v>663</v>
      </c>
      <c r="AL11" s="100">
        <v>0.748756</v>
      </c>
      <c r="AM11" s="100">
        <v>0.512262</v>
      </c>
      <c r="AN11" s="100">
        <v>0.48731</v>
      </c>
      <c r="AO11" s="98">
        <v>4296.754250386399</v>
      </c>
      <c r="AP11" s="158">
        <v>2.194412842</v>
      </c>
      <c r="AQ11" s="100">
        <v>0.05755395683453238</v>
      </c>
      <c r="AR11" s="100">
        <v>0.47058823529411764</v>
      </c>
      <c r="AS11" s="98">
        <v>710.9737248840804</v>
      </c>
      <c r="AT11" s="98">
        <v>587.3261205564143</v>
      </c>
      <c r="AU11" s="98">
        <v>185.47140649149924</v>
      </c>
      <c r="AV11" s="98">
        <v>741.885625965997</v>
      </c>
      <c r="AW11" s="98">
        <v>1051.0046367851623</v>
      </c>
      <c r="AX11" s="98">
        <v>309.1190108191654</v>
      </c>
      <c r="AY11" s="98">
        <v>1823.8021638330758</v>
      </c>
      <c r="AZ11" s="98">
        <v>587.3261205564143</v>
      </c>
      <c r="BA11" s="100" t="s">
        <v>663</v>
      </c>
      <c r="BB11" s="100" t="s">
        <v>663</v>
      </c>
      <c r="BC11" s="100" t="s">
        <v>663</v>
      </c>
      <c r="BD11" s="158">
        <v>1.8447843929999999</v>
      </c>
      <c r="BE11" s="158">
        <v>2.591029358</v>
      </c>
      <c r="BF11" s="162">
        <v>389</v>
      </c>
      <c r="BG11" s="162" t="s">
        <v>663</v>
      </c>
      <c r="BH11" s="162">
        <v>804</v>
      </c>
      <c r="BI11" s="162">
        <v>367</v>
      </c>
      <c r="BJ11" s="162">
        <v>197</v>
      </c>
      <c r="BK11" s="97"/>
      <c r="BL11" s="97"/>
      <c r="BM11" s="97"/>
      <c r="BN11" s="97"/>
    </row>
    <row r="12" spans="1:66" ht="12.75">
      <c r="A12" s="79" t="s">
        <v>608</v>
      </c>
      <c r="B12" s="79" t="s">
        <v>328</v>
      </c>
      <c r="C12" s="79" t="s">
        <v>234</v>
      </c>
      <c r="D12" s="99">
        <v>7537</v>
      </c>
      <c r="E12" s="99">
        <v>1452</v>
      </c>
      <c r="F12" s="99" t="s">
        <v>397</v>
      </c>
      <c r="G12" s="99">
        <v>46</v>
      </c>
      <c r="H12" s="99">
        <v>26</v>
      </c>
      <c r="I12" s="99">
        <v>131</v>
      </c>
      <c r="J12" s="99">
        <v>746</v>
      </c>
      <c r="K12" s="99">
        <v>573</v>
      </c>
      <c r="L12" s="99">
        <v>1495</v>
      </c>
      <c r="M12" s="99">
        <v>573</v>
      </c>
      <c r="N12" s="99">
        <v>374</v>
      </c>
      <c r="O12" s="99">
        <v>263</v>
      </c>
      <c r="P12" s="159">
        <v>263</v>
      </c>
      <c r="Q12" s="99">
        <v>17</v>
      </c>
      <c r="R12" s="99">
        <v>53</v>
      </c>
      <c r="S12" s="99">
        <v>26</v>
      </c>
      <c r="T12" s="99">
        <v>44</v>
      </c>
      <c r="U12" s="99">
        <v>8</v>
      </c>
      <c r="V12" s="99">
        <v>28</v>
      </c>
      <c r="W12" s="99">
        <v>49</v>
      </c>
      <c r="X12" s="99">
        <v>16</v>
      </c>
      <c r="Y12" s="99">
        <v>109</v>
      </c>
      <c r="Z12" s="99">
        <v>52</v>
      </c>
      <c r="AA12" s="99" t="s">
        <v>663</v>
      </c>
      <c r="AB12" s="99" t="s">
        <v>663</v>
      </c>
      <c r="AC12" s="99" t="s">
        <v>663</v>
      </c>
      <c r="AD12" s="98" t="s">
        <v>376</v>
      </c>
      <c r="AE12" s="100">
        <v>0.19264959532970677</v>
      </c>
      <c r="AF12" s="100">
        <v>0.12</v>
      </c>
      <c r="AG12" s="98">
        <v>610.3224094467295</v>
      </c>
      <c r="AH12" s="98">
        <v>344.96484012206446</v>
      </c>
      <c r="AI12" s="100">
        <v>0.017</v>
      </c>
      <c r="AJ12" s="100">
        <v>0.749749</v>
      </c>
      <c r="AK12" s="100">
        <v>0.747066</v>
      </c>
      <c r="AL12" s="100">
        <v>0.783543</v>
      </c>
      <c r="AM12" s="100">
        <v>0.598746</v>
      </c>
      <c r="AN12" s="100">
        <v>0.601286</v>
      </c>
      <c r="AO12" s="98">
        <v>3489.4520366193447</v>
      </c>
      <c r="AP12" s="158">
        <v>1.730315857</v>
      </c>
      <c r="AQ12" s="100">
        <v>0.06463878326996197</v>
      </c>
      <c r="AR12" s="100">
        <v>0.32075471698113206</v>
      </c>
      <c r="AS12" s="98">
        <v>344.96484012206446</v>
      </c>
      <c r="AT12" s="98">
        <v>583.786652514263</v>
      </c>
      <c r="AU12" s="98">
        <v>106.14302772986599</v>
      </c>
      <c r="AV12" s="98">
        <v>371.500597054531</v>
      </c>
      <c r="AW12" s="98">
        <v>650.1260448454292</v>
      </c>
      <c r="AX12" s="98">
        <v>212.28605545973198</v>
      </c>
      <c r="AY12" s="98">
        <v>1446.1987528194243</v>
      </c>
      <c r="AZ12" s="98">
        <v>689.9296802441289</v>
      </c>
      <c r="BA12" s="100" t="s">
        <v>663</v>
      </c>
      <c r="BB12" s="100" t="s">
        <v>663</v>
      </c>
      <c r="BC12" s="100" t="s">
        <v>663</v>
      </c>
      <c r="BD12" s="158">
        <v>1.52749527</v>
      </c>
      <c r="BE12" s="158">
        <v>1.952572327</v>
      </c>
      <c r="BF12" s="162">
        <v>995</v>
      </c>
      <c r="BG12" s="162">
        <v>767</v>
      </c>
      <c r="BH12" s="162">
        <v>1908</v>
      </c>
      <c r="BI12" s="162">
        <v>957</v>
      </c>
      <c r="BJ12" s="162">
        <v>622</v>
      </c>
      <c r="BK12" s="97"/>
      <c r="BL12" s="97"/>
      <c r="BM12" s="97"/>
      <c r="BN12" s="97"/>
    </row>
    <row r="13" spans="1:66" ht="12.75">
      <c r="A13" s="79" t="s">
        <v>640</v>
      </c>
      <c r="B13" s="79" t="s">
        <v>360</v>
      </c>
      <c r="C13" s="79" t="s">
        <v>234</v>
      </c>
      <c r="D13" s="99">
        <v>3912</v>
      </c>
      <c r="E13" s="99">
        <v>618</v>
      </c>
      <c r="F13" s="99" t="s">
        <v>398</v>
      </c>
      <c r="G13" s="99">
        <v>12</v>
      </c>
      <c r="H13" s="99">
        <v>10</v>
      </c>
      <c r="I13" s="99">
        <v>60</v>
      </c>
      <c r="J13" s="99">
        <v>407</v>
      </c>
      <c r="K13" s="99">
        <v>362</v>
      </c>
      <c r="L13" s="99">
        <v>737</v>
      </c>
      <c r="M13" s="99">
        <v>275</v>
      </c>
      <c r="N13" s="99">
        <v>149</v>
      </c>
      <c r="O13" s="99">
        <v>61</v>
      </c>
      <c r="P13" s="159">
        <v>61</v>
      </c>
      <c r="Q13" s="99">
        <v>9</v>
      </c>
      <c r="R13" s="99">
        <v>16</v>
      </c>
      <c r="S13" s="99">
        <v>11</v>
      </c>
      <c r="T13" s="99">
        <v>14</v>
      </c>
      <c r="U13" s="99" t="s">
        <v>663</v>
      </c>
      <c r="V13" s="99" t="s">
        <v>663</v>
      </c>
      <c r="W13" s="99">
        <v>39</v>
      </c>
      <c r="X13" s="99" t="s">
        <v>663</v>
      </c>
      <c r="Y13" s="99">
        <v>56</v>
      </c>
      <c r="Z13" s="99">
        <v>28</v>
      </c>
      <c r="AA13" s="99" t="s">
        <v>663</v>
      </c>
      <c r="AB13" s="99" t="s">
        <v>663</v>
      </c>
      <c r="AC13" s="99" t="s">
        <v>663</v>
      </c>
      <c r="AD13" s="98" t="s">
        <v>376</v>
      </c>
      <c r="AE13" s="100">
        <v>0.1579754601226994</v>
      </c>
      <c r="AF13" s="100">
        <v>0.13</v>
      </c>
      <c r="AG13" s="98">
        <v>306.7484662576687</v>
      </c>
      <c r="AH13" s="98">
        <v>255.6237218813906</v>
      </c>
      <c r="AI13" s="100">
        <v>0.015</v>
      </c>
      <c r="AJ13" s="100">
        <v>0.846154</v>
      </c>
      <c r="AK13" s="100">
        <v>0.790393</v>
      </c>
      <c r="AL13" s="100">
        <v>0.771728</v>
      </c>
      <c r="AM13" s="100">
        <v>0.612472</v>
      </c>
      <c r="AN13" s="100">
        <v>0.653509</v>
      </c>
      <c r="AO13" s="98">
        <v>1559.3047034764827</v>
      </c>
      <c r="AP13" s="158">
        <v>0.8540621948</v>
      </c>
      <c r="AQ13" s="100">
        <v>0.14754098360655737</v>
      </c>
      <c r="AR13" s="100">
        <v>0.5625</v>
      </c>
      <c r="AS13" s="98">
        <v>281.18609406952964</v>
      </c>
      <c r="AT13" s="98">
        <v>357.8732106339468</v>
      </c>
      <c r="AU13" s="98" t="s">
        <v>663</v>
      </c>
      <c r="AV13" s="98" t="s">
        <v>663</v>
      </c>
      <c r="AW13" s="98">
        <v>996.9325153374233</v>
      </c>
      <c r="AX13" s="98" t="s">
        <v>663</v>
      </c>
      <c r="AY13" s="98">
        <v>1431.4928425357873</v>
      </c>
      <c r="AZ13" s="98">
        <v>715.7464212678937</v>
      </c>
      <c r="BA13" s="101" t="s">
        <v>663</v>
      </c>
      <c r="BB13" s="101" t="s">
        <v>663</v>
      </c>
      <c r="BC13" s="101" t="s">
        <v>663</v>
      </c>
      <c r="BD13" s="158">
        <v>0.6532899475</v>
      </c>
      <c r="BE13" s="158">
        <v>1.0970786289999999</v>
      </c>
      <c r="BF13" s="162">
        <v>481</v>
      </c>
      <c r="BG13" s="162">
        <v>458</v>
      </c>
      <c r="BH13" s="162">
        <v>955</v>
      </c>
      <c r="BI13" s="162">
        <v>449</v>
      </c>
      <c r="BJ13" s="162">
        <v>228</v>
      </c>
      <c r="BK13" s="97"/>
      <c r="BL13" s="97"/>
      <c r="BM13" s="97"/>
      <c r="BN13" s="97"/>
    </row>
    <row r="14" spans="1:66" ht="12.75">
      <c r="A14" s="79" t="s">
        <v>565</v>
      </c>
      <c r="B14" s="79" t="s">
        <v>285</v>
      </c>
      <c r="C14" s="79" t="s">
        <v>234</v>
      </c>
      <c r="D14" s="99">
        <v>10086</v>
      </c>
      <c r="E14" s="99">
        <v>2549</v>
      </c>
      <c r="F14" s="99" t="s">
        <v>399</v>
      </c>
      <c r="G14" s="99">
        <v>72</v>
      </c>
      <c r="H14" s="99">
        <v>29</v>
      </c>
      <c r="I14" s="99">
        <v>258</v>
      </c>
      <c r="J14" s="99">
        <v>1372</v>
      </c>
      <c r="K14" s="99">
        <v>414</v>
      </c>
      <c r="L14" s="99">
        <v>1960</v>
      </c>
      <c r="M14" s="99">
        <v>1117</v>
      </c>
      <c r="N14" s="99">
        <v>714</v>
      </c>
      <c r="O14" s="99">
        <v>262</v>
      </c>
      <c r="P14" s="159">
        <v>262</v>
      </c>
      <c r="Q14" s="99">
        <v>38</v>
      </c>
      <c r="R14" s="99">
        <v>73</v>
      </c>
      <c r="S14" s="99">
        <v>42</v>
      </c>
      <c r="T14" s="99">
        <v>34</v>
      </c>
      <c r="U14" s="99">
        <v>9</v>
      </c>
      <c r="V14" s="99">
        <v>32</v>
      </c>
      <c r="W14" s="99">
        <v>81</v>
      </c>
      <c r="X14" s="99">
        <v>26</v>
      </c>
      <c r="Y14" s="99">
        <v>137</v>
      </c>
      <c r="Z14" s="99">
        <v>115</v>
      </c>
      <c r="AA14" s="99" t="s">
        <v>663</v>
      </c>
      <c r="AB14" s="99" t="s">
        <v>663</v>
      </c>
      <c r="AC14" s="99" t="s">
        <v>663</v>
      </c>
      <c r="AD14" s="98" t="s">
        <v>376</v>
      </c>
      <c r="AE14" s="100">
        <v>0.25272655165576047</v>
      </c>
      <c r="AF14" s="100">
        <v>0.08</v>
      </c>
      <c r="AG14" s="98">
        <v>713.8607971445568</v>
      </c>
      <c r="AH14" s="98">
        <v>287.5272655165576</v>
      </c>
      <c r="AI14" s="100">
        <v>0.026000000000000002</v>
      </c>
      <c r="AJ14" s="100">
        <v>0.80611</v>
      </c>
      <c r="AK14" s="100">
        <v>0.71012</v>
      </c>
      <c r="AL14" s="100">
        <v>0.796424</v>
      </c>
      <c r="AM14" s="100">
        <v>0.634299</v>
      </c>
      <c r="AN14" s="100">
        <v>0.632418</v>
      </c>
      <c r="AO14" s="98">
        <v>2597.660122942693</v>
      </c>
      <c r="AP14" s="158">
        <v>1.10531105</v>
      </c>
      <c r="AQ14" s="100">
        <v>0.1450381679389313</v>
      </c>
      <c r="AR14" s="100">
        <v>0.5205479452054794</v>
      </c>
      <c r="AS14" s="98">
        <v>416.41879833432483</v>
      </c>
      <c r="AT14" s="98">
        <v>337.1009319849296</v>
      </c>
      <c r="AU14" s="98">
        <v>89.2325996430696</v>
      </c>
      <c r="AV14" s="98">
        <v>317.2714653975808</v>
      </c>
      <c r="AW14" s="98">
        <v>803.0933967876264</v>
      </c>
      <c r="AX14" s="98">
        <v>257.7830656355344</v>
      </c>
      <c r="AY14" s="98">
        <v>1358.3184612333928</v>
      </c>
      <c r="AZ14" s="98">
        <v>1140.194328772556</v>
      </c>
      <c r="BA14" s="100" t="s">
        <v>663</v>
      </c>
      <c r="BB14" s="100" t="s">
        <v>663</v>
      </c>
      <c r="BC14" s="100" t="s">
        <v>663</v>
      </c>
      <c r="BD14" s="158">
        <v>0.9755117035</v>
      </c>
      <c r="BE14" s="158">
        <v>1.2475737</v>
      </c>
      <c r="BF14" s="162">
        <v>1702</v>
      </c>
      <c r="BG14" s="162">
        <v>583</v>
      </c>
      <c r="BH14" s="162">
        <v>2461</v>
      </c>
      <c r="BI14" s="162">
        <v>1761</v>
      </c>
      <c r="BJ14" s="162">
        <v>1129</v>
      </c>
      <c r="BK14" s="97"/>
      <c r="BL14" s="97"/>
      <c r="BM14" s="97"/>
      <c r="BN14" s="97"/>
    </row>
    <row r="15" spans="1:66" ht="12.75">
      <c r="A15" s="79" t="s">
        <v>583</v>
      </c>
      <c r="B15" s="79" t="s">
        <v>303</v>
      </c>
      <c r="C15" s="79" t="s">
        <v>234</v>
      </c>
      <c r="D15" s="99">
        <v>10176</v>
      </c>
      <c r="E15" s="99">
        <v>2018</v>
      </c>
      <c r="F15" s="99" t="s">
        <v>397</v>
      </c>
      <c r="G15" s="99">
        <v>50</v>
      </c>
      <c r="H15" s="99">
        <v>28</v>
      </c>
      <c r="I15" s="99">
        <v>218</v>
      </c>
      <c r="J15" s="99">
        <v>1144</v>
      </c>
      <c r="K15" s="99">
        <v>1109</v>
      </c>
      <c r="L15" s="99">
        <v>1992</v>
      </c>
      <c r="M15" s="99">
        <v>563</v>
      </c>
      <c r="N15" s="99">
        <v>447</v>
      </c>
      <c r="O15" s="99">
        <v>280</v>
      </c>
      <c r="P15" s="159">
        <v>280</v>
      </c>
      <c r="Q15" s="99">
        <v>34</v>
      </c>
      <c r="R15" s="99">
        <v>56</v>
      </c>
      <c r="S15" s="99">
        <v>51</v>
      </c>
      <c r="T15" s="99">
        <v>38</v>
      </c>
      <c r="U15" s="99">
        <v>18</v>
      </c>
      <c r="V15" s="99">
        <v>46</v>
      </c>
      <c r="W15" s="99">
        <v>64</v>
      </c>
      <c r="X15" s="99">
        <v>62</v>
      </c>
      <c r="Y15" s="99">
        <v>101</v>
      </c>
      <c r="Z15" s="99">
        <v>42</v>
      </c>
      <c r="AA15" s="99" t="s">
        <v>663</v>
      </c>
      <c r="AB15" s="99" t="s">
        <v>663</v>
      </c>
      <c r="AC15" s="99" t="s">
        <v>663</v>
      </c>
      <c r="AD15" s="98" t="s">
        <v>376</v>
      </c>
      <c r="AE15" s="100">
        <v>0.19830974842767296</v>
      </c>
      <c r="AF15" s="100">
        <v>0.12</v>
      </c>
      <c r="AG15" s="98">
        <v>491.3522012578616</v>
      </c>
      <c r="AH15" s="98">
        <v>275.15723270440253</v>
      </c>
      <c r="AI15" s="100">
        <v>0.021</v>
      </c>
      <c r="AJ15" s="100">
        <v>0.777702</v>
      </c>
      <c r="AK15" s="100">
        <v>0.808309</v>
      </c>
      <c r="AL15" s="100">
        <v>0.784252</v>
      </c>
      <c r="AM15" s="100">
        <v>0.425227</v>
      </c>
      <c r="AN15" s="100">
        <v>0.587385</v>
      </c>
      <c r="AO15" s="98">
        <v>2751.5723270440253</v>
      </c>
      <c r="AP15" s="158">
        <v>1.322450867</v>
      </c>
      <c r="AQ15" s="100">
        <v>0.12142857142857143</v>
      </c>
      <c r="AR15" s="100">
        <v>0.6071428571428571</v>
      </c>
      <c r="AS15" s="98">
        <v>501.1792452830189</v>
      </c>
      <c r="AT15" s="98">
        <v>373.42767295597486</v>
      </c>
      <c r="AU15" s="98">
        <v>176.88679245283018</v>
      </c>
      <c r="AV15" s="98">
        <v>452.0440251572327</v>
      </c>
      <c r="AW15" s="98">
        <v>628.930817610063</v>
      </c>
      <c r="AX15" s="98">
        <v>609.2767295597484</v>
      </c>
      <c r="AY15" s="98">
        <v>992.5314465408806</v>
      </c>
      <c r="AZ15" s="98">
        <v>412.7358490566038</v>
      </c>
      <c r="BA15" s="101" t="s">
        <v>663</v>
      </c>
      <c r="BB15" s="101" t="s">
        <v>663</v>
      </c>
      <c r="BC15" s="101" t="s">
        <v>663</v>
      </c>
      <c r="BD15" s="158">
        <v>1.172072678</v>
      </c>
      <c r="BE15" s="158">
        <v>1.486773224</v>
      </c>
      <c r="BF15" s="162">
        <v>1471</v>
      </c>
      <c r="BG15" s="162">
        <v>1372</v>
      </c>
      <c r="BH15" s="162">
        <v>2540</v>
      </c>
      <c r="BI15" s="162">
        <v>1324</v>
      </c>
      <c r="BJ15" s="162">
        <v>761</v>
      </c>
      <c r="BK15" s="97"/>
      <c r="BL15" s="97"/>
      <c r="BM15" s="97"/>
      <c r="BN15" s="97"/>
    </row>
    <row r="16" spans="1:66" ht="12.75">
      <c r="A16" s="79" t="s">
        <v>585</v>
      </c>
      <c r="B16" s="79" t="s">
        <v>305</v>
      </c>
      <c r="C16" s="79" t="s">
        <v>234</v>
      </c>
      <c r="D16" s="99">
        <v>9431</v>
      </c>
      <c r="E16" s="99">
        <v>1663</v>
      </c>
      <c r="F16" s="99" t="s">
        <v>397</v>
      </c>
      <c r="G16" s="99">
        <v>48</v>
      </c>
      <c r="H16" s="99">
        <v>21</v>
      </c>
      <c r="I16" s="99">
        <v>210</v>
      </c>
      <c r="J16" s="99">
        <v>832</v>
      </c>
      <c r="K16" s="99">
        <v>10</v>
      </c>
      <c r="L16" s="99">
        <v>1739</v>
      </c>
      <c r="M16" s="99">
        <v>545</v>
      </c>
      <c r="N16" s="99">
        <v>272</v>
      </c>
      <c r="O16" s="99">
        <v>177</v>
      </c>
      <c r="P16" s="159">
        <v>177</v>
      </c>
      <c r="Q16" s="99">
        <v>22</v>
      </c>
      <c r="R16" s="99">
        <v>45</v>
      </c>
      <c r="S16" s="99">
        <v>36</v>
      </c>
      <c r="T16" s="99">
        <v>26</v>
      </c>
      <c r="U16" s="99">
        <v>8</v>
      </c>
      <c r="V16" s="99">
        <v>34</v>
      </c>
      <c r="W16" s="99">
        <v>71</v>
      </c>
      <c r="X16" s="99">
        <v>30</v>
      </c>
      <c r="Y16" s="99">
        <v>90</v>
      </c>
      <c r="Z16" s="99">
        <v>51</v>
      </c>
      <c r="AA16" s="99" t="s">
        <v>663</v>
      </c>
      <c r="AB16" s="99" t="s">
        <v>663</v>
      </c>
      <c r="AC16" s="99" t="s">
        <v>663</v>
      </c>
      <c r="AD16" s="98" t="s">
        <v>376</v>
      </c>
      <c r="AE16" s="100">
        <v>0.1763333686777648</v>
      </c>
      <c r="AF16" s="100">
        <v>0.11</v>
      </c>
      <c r="AG16" s="98">
        <v>508.9598133814018</v>
      </c>
      <c r="AH16" s="98">
        <v>222.66991835436326</v>
      </c>
      <c r="AI16" s="100">
        <v>0.022000000000000002</v>
      </c>
      <c r="AJ16" s="100">
        <v>0.696817</v>
      </c>
      <c r="AK16" s="100">
        <v>0.434783</v>
      </c>
      <c r="AL16" s="100">
        <v>0.751188</v>
      </c>
      <c r="AM16" s="100">
        <v>0.51561</v>
      </c>
      <c r="AN16" s="100">
        <v>0.561983</v>
      </c>
      <c r="AO16" s="98">
        <v>1876.789311843919</v>
      </c>
      <c r="AP16" s="158">
        <v>0.9827515411000001</v>
      </c>
      <c r="AQ16" s="100">
        <v>0.12429378531073447</v>
      </c>
      <c r="AR16" s="100">
        <v>0.4888888888888889</v>
      </c>
      <c r="AS16" s="98">
        <v>381.71986003605133</v>
      </c>
      <c r="AT16" s="98">
        <v>275.6865655815926</v>
      </c>
      <c r="AU16" s="98">
        <v>84.82663556356697</v>
      </c>
      <c r="AV16" s="98">
        <v>360.5132011451596</v>
      </c>
      <c r="AW16" s="98">
        <v>752.8363906266568</v>
      </c>
      <c r="AX16" s="98">
        <v>318.0998833633761</v>
      </c>
      <c r="AY16" s="98">
        <v>954.2996500901284</v>
      </c>
      <c r="AZ16" s="98">
        <v>540.7698017177394</v>
      </c>
      <c r="BA16" s="100" t="s">
        <v>663</v>
      </c>
      <c r="BB16" s="100" t="s">
        <v>663</v>
      </c>
      <c r="BC16" s="100" t="s">
        <v>663</v>
      </c>
      <c r="BD16" s="158">
        <v>0.8433010864</v>
      </c>
      <c r="BE16" s="158">
        <v>1.1386763</v>
      </c>
      <c r="BF16" s="162">
        <v>1194</v>
      </c>
      <c r="BG16" s="162">
        <v>23</v>
      </c>
      <c r="BH16" s="162">
        <v>2315</v>
      </c>
      <c r="BI16" s="162">
        <v>1057</v>
      </c>
      <c r="BJ16" s="162">
        <v>484</v>
      </c>
      <c r="BK16" s="97"/>
      <c r="BL16" s="97"/>
      <c r="BM16" s="97"/>
      <c r="BN16" s="97"/>
    </row>
    <row r="17" spans="1:66" ht="12.75">
      <c r="A17" s="79" t="s">
        <v>666</v>
      </c>
      <c r="B17" s="79" t="s">
        <v>557</v>
      </c>
      <c r="C17" s="79" t="s">
        <v>234</v>
      </c>
      <c r="D17" s="99">
        <v>1819</v>
      </c>
      <c r="E17" s="99">
        <v>121</v>
      </c>
      <c r="F17" s="99" t="s">
        <v>398</v>
      </c>
      <c r="G17" s="99" t="s">
        <v>663</v>
      </c>
      <c r="H17" s="99" t="s">
        <v>663</v>
      </c>
      <c r="I17" s="99">
        <v>12</v>
      </c>
      <c r="J17" s="99">
        <v>141</v>
      </c>
      <c r="K17" s="99">
        <v>120</v>
      </c>
      <c r="L17" s="99">
        <v>456</v>
      </c>
      <c r="M17" s="99">
        <v>81</v>
      </c>
      <c r="N17" s="99">
        <v>51</v>
      </c>
      <c r="O17" s="99">
        <v>32</v>
      </c>
      <c r="P17" s="159">
        <v>32</v>
      </c>
      <c r="Q17" s="99" t="s">
        <v>663</v>
      </c>
      <c r="R17" s="99">
        <v>6</v>
      </c>
      <c r="S17" s="99">
        <v>7</v>
      </c>
      <c r="T17" s="99" t="s">
        <v>663</v>
      </c>
      <c r="U17" s="99" t="s">
        <v>663</v>
      </c>
      <c r="V17" s="99" t="s">
        <v>663</v>
      </c>
      <c r="W17" s="99">
        <v>7</v>
      </c>
      <c r="X17" s="99">
        <v>7</v>
      </c>
      <c r="Y17" s="99">
        <v>22</v>
      </c>
      <c r="Z17" s="99" t="s">
        <v>663</v>
      </c>
      <c r="AA17" s="99" t="s">
        <v>663</v>
      </c>
      <c r="AB17" s="99" t="s">
        <v>663</v>
      </c>
      <c r="AC17" s="99" t="s">
        <v>663</v>
      </c>
      <c r="AD17" s="98" t="s">
        <v>376</v>
      </c>
      <c r="AE17" s="100">
        <v>0.06652006597031336</v>
      </c>
      <c r="AF17" s="100">
        <v>0.12</v>
      </c>
      <c r="AG17" s="98" t="s">
        <v>663</v>
      </c>
      <c r="AH17" s="98" t="s">
        <v>663</v>
      </c>
      <c r="AI17" s="100">
        <v>0.006999999999999999</v>
      </c>
      <c r="AJ17" s="100">
        <v>0.79661</v>
      </c>
      <c r="AK17" s="100">
        <v>0.774194</v>
      </c>
      <c r="AL17" s="100">
        <v>0.839779</v>
      </c>
      <c r="AM17" s="100">
        <v>0.623077</v>
      </c>
      <c r="AN17" s="100">
        <v>0.62963</v>
      </c>
      <c r="AO17" s="98">
        <v>1759.2083562396922</v>
      </c>
      <c r="AP17" s="158">
        <v>1.282169952</v>
      </c>
      <c r="AQ17" s="100" t="s">
        <v>663</v>
      </c>
      <c r="AR17" s="100" t="s">
        <v>663</v>
      </c>
      <c r="AS17" s="98">
        <v>384.82682792743265</v>
      </c>
      <c r="AT17" s="98" t="s">
        <v>663</v>
      </c>
      <c r="AU17" s="98" t="s">
        <v>663</v>
      </c>
      <c r="AV17" s="98" t="s">
        <v>663</v>
      </c>
      <c r="AW17" s="98">
        <v>384.82682792743265</v>
      </c>
      <c r="AX17" s="98">
        <v>384.82682792743265</v>
      </c>
      <c r="AY17" s="98">
        <v>1209.4557449147883</v>
      </c>
      <c r="AZ17" s="98" t="s">
        <v>663</v>
      </c>
      <c r="BA17" s="100" t="s">
        <v>663</v>
      </c>
      <c r="BB17" s="100" t="s">
        <v>663</v>
      </c>
      <c r="BC17" s="100" t="s">
        <v>663</v>
      </c>
      <c r="BD17" s="158">
        <v>0.8770033264</v>
      </c>
      <c r="BE17" s="158">
        <v>1.8100413510000002</v>
      </c>
      <c r="BF17" s="162">
        <v>177</v>
      </c>
      <c r="BG17" s="162">
        <v>155</v>
      </c>
      <c r="BH17" s="162">
        <v>543</v>
      </c>
      <c r="BI17" s="162">
        <v>130</v>
      </c>
      <c r="BJ17" s="162">
        <v>81</v>
      </c>
      <c r="BK17" s="97"/>
      <c r="BL17" s="97"/>
      <c r="BM17" s="97"/>
      <c r="BN17" s="97"/>
    </row>
    <row r="18" spans="1:66" ht="12.75">
      <c r="A18" s="79" t="s">
        <v>573</v>
      </c>
      <c r="B18" s="79" t="s">
        <v>293</v>
      </c>
      <c r="C18" s="79" t="s">
        <v>234</v>
      </c>
      <c r="D18" s="99">
        <v>8490</v>
      </c>
      <c r="E18" s="99">
        <v>1317</v>
      </c>
      <c r="F18" s="99" t="s">
        <v>398</v>
      </c>
      <c r="G18" s="99">
        <v>35</v>
      </c>
      <c r="H18" s="99">
        <v>18</v>
      </c>
      <c r="I18" s="99">
        <v>143</v>
      </c>
      <c r="J18" s="99">
        <v>631</v>
      </c>
      <c r="K18" s="99">
        <v>16</v>
      </c>
      <c r="L18" s="99">
        <v>1551</v>
      </c>
      <c r="M18" s="99">
        <v>320</v>
      </c>
      <c r="N18" s="99">
        <v>256</v>
      </c>
      <c r="O18" s="99">
        <v>152</v>
      </c>
      <c r="P18" s="159">
        <v>152</v>
      </c>
      <c r="Q18" s="99">
        <v>17</v>
      </c>
      <c r="R18" s="99">
        <v>35</v>
      </c>
      <c r="S18" s="99">
        <v>28</v>
      </c>
      <c r="T18" s="99">
        <v>24</v>
      </c>
      <c r="U18" s="99" t="s">
        <v>663</v>
      </c>
      <c r="V18" s="99">
        <v>28</v>
      </c>
      <c r="W18" s="99">
        <v>50</v>
      </c>
      <c r="X18" s="99">
        <v>39</v>
      </c>
      <c r="Y18" s="99">
        <v>106</v>
      </c>
      <c r="Z18" s="99">
        <v>51</v>
      </c>
      <c r="AA18" s="99" t="s">
        <v>663</v>
      </c>
      <c r="AB18" s="99" t="s">
        <v>663</v>
      </c>
      <c r="AC18" s="99" t="s">
        <v>663</v>
      </c>
      <c r="AD18" s="98" t="s">
        <v>376</v>
      </c>
      <c r="AE18" s="100">
        <v>0.15512367491166076</v>
      </c>
      <c r="AF18" s="100">
        <v>0.17</v>
      </c>
      <c r="AG18" s="98">
        <v>412.2497055359246</v>
      </c>
      <c r="AH18" s="98">
        <v>212.01413427561837</v>
      </c>
      <c r="AI18" s="100">
        <v>0.017</v>
      </c>
      <c r="AJ18" s="100">
        <v>0.711387</v>
      </c>
      <c r="AK18" s="100">
        <v>0.666667</v>
      </c>
      <c r="AL18" s="100">
        <v>0.74175</v>
      </c>
      <c r="AM18" s="100">
        <v>0.400501</v>
      </c>
      <c r="AN18" s="100">
        <v>0.538947</v>
      </c>
      <c r="AO18" s="98">
        <v>1790.341578327444</v>
      </c>
      <c r="AP18" s="158">
        <v>1.025446243</v>
      </c>
      <c r="AQ18" s="100">
        <v>0.1118421052631579</v>
      </c>
      <c r="AR18" s="100">
        <v>0.4857142857142857</v>
      </c>
      <c r="AS18" s="98">
        <v>329.7997644287397</v>
      </c>
      <c r="AT18" s="98">
        <v>282.6855123674912</v>
      </c>
      <c r="AU18" s="98" t="s">
        <v>663</v>
      </c>
      <c r="AV18" s="98">
        <v>329.7997644287397</v>
      </c>
      <c r="AW18" s="98">
        <v>588.9281507656066</v>
      </c>
      <c r="AX18" s="98">
        <v>459.36395759717317</v>
      </c>
      <c r="AY18" s="98">
        <v>1248.527679623086</v>
      </c>
      <c r="AZ18" s="98">
        <v>600.7067137809187</v>
      </c>
      <c r="BA18" s="100" t="s">
        <v>663</v>
      </c>
      <c r="BB18" s="100" t="s">
        <v>663</v>
      </c>
      <c r="BC18" s="100" t="s">
        <v>663</v>
      </c>
      <c r="BD18" s="158">
        <v>0.8689076233</v>
      </c>
      <c r="BE18" s="158">
        <v>1.2020404820000001</v>
      </c>
      <c r="BF18" s="162">
        <v>887</v>
      </c>
      <c r="BG18" s="162">
        <v>24</v>
      </c>
      <c r="BH18" s="162">
        <v>2091</v>
      </c>
      <c r="BI18" s="162">
        <v>799</v>
      </c>
      <c r="BJ18" s="162">
        <v>475</v>
      </c>
      <c r="BK18" s="97"/>
      <c r="BL18" s="97"/>
      <c r="BM18" s="97"/>
      <c r="BN18" s="97"/>
    </row>
    <row r="19" spans="1:66" ht="12.75">
      <c r="A19" s="79" t="s">
        <v>572</v>
      </c>
      <c r="B19" s="79" t="s">
        <v>292</v>
      </c>
      <c r="C19" s="79" t="s">
        <v>234</v>
      </c>
      <c r="D19" s="99">
        <v>6022</v>
      </c>
      <c r="E19" s="99">
        <v>1082</v>
      </c>
      <c r="F19" s="99" t="s">
        <v>397</v>
      </c>
      <c r="G19" s="99">
        <v>32</v>
      </c>
      <c r="H19" s="99">
        <v>8</v>
      </c>
      <c r="I19" s="99">
        <v>114</v>
      </c>
      <c r="J19" s="99">
        <v>654</v>
      </c>
      <c r="K19" s="99">
        <v>612</v>
      </c>
      <c r="L19" s="99">
        <v>1105</v>
      </c>
      <c r="M19" s="99">
        <v>412</v>
      </c>
      <c r="N19" s="99">
        <v>210</v>
      </c>
      <c r="O19" s="99">
        <v>85</v>
      </c>
      <c r="P19" s="159">
        <v>85</v>
      </c>
      <c r="Q19" s="99">
        <v>13</v>
      </c>
      <c r="R19" s="99">
        <v>22</v>
      </c>
      <c r="S19" s="99">
        <v>14</v>
      </c>
      <c r="T19" s="99">
        <v>13</v>
      </c>
      <c r="U19" s="99" t="s">
        <v>663</v>
      </c>
      <c r="V19" s="99">
        <v>12</v>
      </c>
      <c r="W19" s="99">
        <v>55</v>
      </c>
      <c r="X19" s="99">
        <v>10</v>
      </c>
      <c r="Y19" s="99">
        <v>77</v>
      </c>
      <c r="Z19" s="99">
        <v>37</v>
      </c>
      <c r="AA19" s="99" t="s">
        <v>663</v>
      </c>
      <c r="AB19" s="99" t="s">
        <v>663</v>
      </c>
      <c r="AC19" s="99" t="s">
        <v>663</v>
      </c>
      <c r="AD19" s="98" t="s">
        <v>376</v>
      </c>
      <c r="AE19" s="100">
        <v>0.17967452673530387</v>
      </c>
      <c r="AF19" s="100">
        <v>0.11</v>
      </c>
      <c r="AG19" s="98">
        <v>531.3849219528396</v>
      </c>
      <c r="AH19" s="98">
        <v>132.8462304882099</v>
      </c>
      <c r="AI19" s="100">
        <v>0.019</v>
      </c>
      <c r="AJ19" s="100">
        <v>0.854902</v>
      </c>
      <c r="AK19" s="100">
        <v>0.830393</v>
      </c>
      <c r="AL19" s="100">
        <v>0.771648</v>
      </c>
      <c r="AM19" s="100">
        <v>0.597968</v>
      </c>
      <c r="AN19" s="100">
        <v>0.63253</v>
      </c>
      <c r="AO19" s="98">
        <v>1411.4911989372301</v>
      </c>
      <c r="AP19" s="158">
        <v>0.7222409821</v>
      </c>
      <c r="AQ19" s="100">
        <v>0.15294117647058825</v>
      </c>
      <c r="AR19" s="100">
        <v>0.5909090909090909</v>
      </c>
      <c r="AS19" s="98">
        <v>232.4809033543673</v>
      </c>
      <c r="AT19" s="98">
        <v>215.8751245433411</v>
      </c>
      <c r="AU19" s="98" t="s">
        <v>663</v>
      </c>
      <c r="AV19" s="98">
        <v>199.26934573231483</v>
      </c>
      <c r="AW19" s="98">
        <v>913.3178346064431</v>
      </c>
      <c r="AX19" s="98">
        <v>166.05778811026238</v>
      </c>
      <c r="AY19" s="98">
        <v>1278.6449684490203</v>
      </c>
      <c r="AZ19" s="98">
        <v>614.4138160079708</v>
      </c>
      <c r="BA19" s="100" t="s">
        <v>663</v>
      </c>
      <c r="BB19" s="100" t="s">
        <v>663</v>
      </c>
      <c r="BC19" s="100" t="s">
        <v>663</v>
      </c>
      <c r="BD19" s="158">
        <v>0.5769004059</v>
      </c>
      <c r="BE19" s="158">
        <v>0.8930621338</v>
      </c>
      <c r="BF19" s="162">
        <v>765</v>
      </c>
      <c r="BG19" s="162">
        <v>737</v>
      </c>
      <c r="BH19" s="162">
        <v>1432</v>
      </c>
      <c r="BI19" s="162">
        <v>689</v>
      </c>
      <c r="BJ19" s="162">
        <v>332</v>
      </c>
      <c r="BK19" s="97"/>
      <c r="BL19" s="97"/>
      <c r="BM19" s="97"/>
      <c r="BN19" s="97"/>
    </row>
    <row r="20" spans="1:66" ht="12.75">
      <c r="A20" s="79" t="s">
        <v>629</v>
      </c>
      <c r="B20" s="79" t="s">
        <v>349</v>
      </c>
      <c r="C20" s="79" t="s">
        <v>234</v>
      </c>
      <c r="D20" s="99">
        <v>4206</v>
      </c>
      <c r="E20" s="99">
        <v>563</v>
      </c>
      <c r="F20" s="99" t="s">
        <v>396</v>
      </c>
      <c r="G20" s="99">
        <v>26</v>
      </c>
      <c r="H20" s="99">
        <v>16</v>
      </c>
      <c r="I20" s="99">
        <v>69</v>
      </c>
      <c r="J20" s="99">
        <v>334</v>
      </c>
      <c r="K20" s="99" t="s">
        <v>663</v>
      </c>
      <c r="L20" s="99">
        <v>731</v>
      </c>
      <c r="M20" s="99">
        <v>229</v>
      </c>
      <c r="N20" s="99">
        <v>136</v>
      </c>
      <c r="O20" s="99">
        <v>38</v>
      </c>
      <c r="P20" s="159">
        <v>38</v>
      </c>
      <c r="Q20" s="99">
        <v>12</v>
      </c>
      <c r="R20" s="99">
        <v>24</v>
      </c>
      <c r="S20" s="99">
        <v>9</v>
      </c>
      <c r="T20" s="99">
        <v>6</v>
      </c>
      <c r="U20" s="99" t="s">
        <v>663</v>
      </c>
      <c r="V20" s="99" t="s">
        <v>663</v>
      </c>
      <c r="W20" s="99">
        <v>21</v>
      </c>
      <c r="X20" s="99">
        <v>18</v>
      </c>
      <c r="Y20" s="99">
        <v>27</v>
      </c>
      <c r="Z20" s="99">
        <v>21</v>
      </c>
      <c r="AA20" s="99" t="s">
        <v>663</v>
      </c>
      <c r="AB20" s="99" t="s">
        <v>663</v>
      </c>
      <c r="AC20" s="99" t="s">
        <v>663</v>
      </c>
      <c r="AD20" s="98" t="s">
        <v>376</v>
      </c>
      <c r="AE20" s="100">
        <v>0.1338563956252972</v>
      </c>
      <c r="AF20" s="100">
        <v>0.2</v>
      </c>
      <c r="AG20" s="98">
        <v>618.1645268663814</v>
      </c>
      <c r="AH20" s="98">
        <v>380.40893961008084</v>
      </c>
      <c r="AI20" s="100">
        <v>0.016</v>
      </c>
      <c r="AJ20" s="100">
        <v>0.680244</v>
      </c>
      <c r="AK20" s="100" t="s">
        <v>663</v>
      </c>
      <c r="AL20" s="100">
        <v>0.743642</v>
      </c>
      <c r="AM20" s="100">
        <v>0.511161</v>
      </c>
      <c r="AN20" s="100">
        <v>0.525097</v>
      </c>
      <c r="AO20" s="98">
        <v>903.471231573942</v>
      </c>
      <c r="AP20" s="158">
        <v>0.5351325226</v>
      </c>
      <c r="AQ20" s="100">
        <v>0.3157894736842105</v>
      </c>
      <c r="AR20" s="100">
        <v>0.5</v>
      </c>
      <c r="AS20" s="98">
        <v>213.98002853067047</v>
      </c>
      <c r="AT20" s="98">
        <v>142.65335235378032</v>
      </c>
      <c r="AU20" s="98" t="s">
        <v>663</v>
      </c>
      <c r="AV20" s="98" t="s">
        <v>663</v>
      </c>
      <c r="AW20" s="98">
        <v>499.2867332382311</v>
      </c>
      <c r="AX20" s="98">
        <v>427.96005706134093</v>
      </c>
      <c r="AY20" s="98">
        <v>641.9400855920114</v>
      </c>
      <c r="AZ20" s="98">
        <v>499.2867332382311</v>
      </c>
      <c r="BA20" s="100" t="s">
        <v>663</v>
      </c>
      <c r="BB20" s="100" t="s">
        <v>663</v>
      </c>
      <c r="BC20" s="100" t="s">
        <v>663</v>
      </c>
      <c r="BD20" s="158">
        <v>0.3786916351</v>
      </c>
      <c r="BE20" s="158">
        <v>0.7345111847</v>
      </c>
      <c r="BF20" s="162">
        <v>491</v>
      </c>
      <c r="BG20" s="162" t="s">
        <v>663</v>
      </c>
      <c r="BH20" s="162">
        <v>983</v>
      </c>
      <c r="BI20" s="162">
        <v>448</v>
      </c>
      <c r="BJ20" s="162">
        <v>259</v>
      </c>
      <c r="BK20" s="97"/>
      <c r="BL20" s="97"/>
      <c r="BM20" s="97"/>
      <c r="BN20" s="97"/>
    </row>
    <row r="21" spans="1:66" ht="12.75">
      <c r="A21" s="79" t="s">
        <v>622</v>
      </c>
      <c r="B21" s="79" t="s">
        <v>342</v>
      </c>
      <c r="C21" s="79" t="s">
        <v>234</v>
      </c>
      <c r="D21" s="99">
        <v>1967</v>
      </c>
      <c r="E21" s="99">
        <v>384</v>
      </c>
      <c r="F21" s="99" t="s">
        <v>398</v>
      </c>
      <c r="G21" s="99">
        <v>9</v>
      </c>
      <c r="H21" s="99" t="s">
        <v>663</v>
      </c>
      <c r="I21" s="99">
        <v>30</v>
      </c>
      <c r="J21" s="99">
        <v>242</v>
      </c>
      <c r="K21" s="99">
        <v>241</v>
      </c>
      <c r="L21" s="99">
        <v>373</v>
      </c>
      <c r="M21" s="99">
        <v>189</v>
      </c>
      <c r="N21" s="99">
        <v>102</v>
      </c>
      <c r="O21" s="99">
        <v>19</v>
      </c>
      <c r="P21" s="159">
        <v>19</v>
      </c>
      <c r="Q21" s="99" t="s">
        <v>663</v>
      </c>
      <c r="R21" s="99" t="s">
        <v>663</v>
      </c>
      <c r="S21" s="99">
        <v>10</v>
      </c>
      <c r="T21" s="99" t="s">
        <v>663</v>
      </c>
      <c r="U21" s="99" t="s">
        <v>663</v>
      </c>
      <c r="V21" s="99" t="s">
        <v>663</v>
      </c>
      <c r="W21" s="99">
        <v>9</v>
      </c>
      <c r="X21" s="99">
        <v>10</v>
      </c>
      <c r="Y21" s="99">
        <v>24</v>
      </c>
      <c r="Z21" s="99">
        <v>11</v>
      </c>
      <c r="AA21" s="99" t="s">
        <v>663</v>
      </c>
      <c r="AB21" s="99" t="s">
        <v>663</v>
      </c>
      <c r="AC21" s="99" t="s">
        <v>663</v>
      </c>
      <c r="AD21" s="98" t="s">
        <v>376</v>
      </c>
      <c r="AE21" s="100">
        <v>0.19522114895780376</v>
      </c>
      <c r="AF21" s="100">
        <v>0.13</v>
      </c>
      <c r="AG21" s="98">
        <v>457.5495678698526</v>
      </c>
      <c r="AH21" s="98" t="s">
        <v>663</v>
      </c>
      <c r="AI21" s="100">
        <v>0.015</v>
      </c>
      <c r="AJ21" s="100">
        <v>0.803987</v>
      </c>
      <c r="AK21" s="100">
        <v>0.808725</v>
      </c>
      <c r="AL21" s="100">
        <v>0.817982</v>
      </c>
      <c r="AM21" s="100">
        <v>0.590625</v>
      </c>
      <c r="AN21" s="100">
        <v>0.579545</v>
      </c>
      <c r="AO21" s="98">
        <v>965.9379766141332</v>
      </c>
      <c r="AP21" s="158">
        <v>0.48048728939999996</v>
      </c>
      <c r="AQ21" s="100" t="s">
        <v>663</v>
      </c>
      <c r="AR21" s="100" t="s">
        <v>663</v>
      </c>
      <c r="AS21" s="98">
        <v>508.38840874428064</v>
      </c>
      <c r="AT21" s="98" t="s">
        <v>663</v>
      </c>
      <c r="AU21" s="98" t="s">
        <v>663</v>
      </c>
      <c r="AV21" s="98" t="s">
        <v>663</v>
      </c>
      <c r="AW21" s="98">
        <v>457.5495678698526</v>
      </c>
      <c r="AX21" s="98">
        <v>508.38840874428064</v>
      </c>
      <c r="AY21" s="98">
        <v>1220.1321809862736</v>
      </c>
      <c r="AZ21" s="98">
        <v>559.2272496187087</v>
      </c>
      <c r="BA21" s="100" t="s">
        <v>663</v>
      </c>
      <c r="BB21" s="100" t="s">
        <v>663</v>
      </c>
      <c r="BC21" s="100" t="s">
        <v>663</v>
      </c>
      <c r="BD21" s="158">
        <v>0.2892847443</v>
      </c>
      <c r="BE21" s="158">
        <v>0.7503404236</v>
      </c>
      <c r="BF21" s="162">
        <v>301</v>
      </c>
      <c r="BG21" s="162">
        <v>298</v>
      </c>
      <c r="BH21" s="162">
        <v>456</v>
      </c>
      <c r="BI21" s="162">
        <v>320</v>
      </c>
      <c r="BJ21" s="162">
        <v>176</v>
      </c>
      <c r="BK21" s="97"/>
      <c r="BL21" s="97"/>
      <c r="BM21" s="97"/>
      <c r="BN21" s="97"/>
    </row>
    <row r="22" spans="1:66" ht="12.75">
      <c r="A22" s="79" t="s">
        <v>616</v>
      </c>
      <c r="B22" s="79" t="s">
        <v>336</v>
      </c>
      <c r="C22" s="79" t="s">
        <v>234</v>
      </c>
      <c r="D22" s="99">
        <v>4456</v>
      </c>
      <c r="E22" s="99">
        <v>1132</v>
      </c>
      <c r="F22" s="99" t="s">
        <v>399</v>
      </c>
      <c r="G22" s="99">
        <v>32</v>
      </c>
      <c r="H22" s="99">
        <v>14</v>
      </c>
      <c r="I22" s="99">
        <v>112</v>
      </c>
      <c r="J22" s="99">
        <v>557</v>
      </c>
      <c r="K22" s="99">
        <v>320</v>
      </c>
      <c r="L22" s="99">
        <v>801</v>
      </c>
      <c r="M22" s="99">
        <v>422</v>
      </c>
      <c r="N22" s="99">
        <v>271</v>
      </c>
      <c r="O22" s="99">
        <v>76</v>
      </c>
      <c r="P22" s="159">
        <v>76</v>
      </c>
      <c r="Q22" s="99">
        <v>13</v>
      </c>
      <c r="R22" s="99">
        <v>22</v>
      </c>
      <c r="S22" s="99">
        <v>16</v>
      </c>
      <c r="T22" s="99" t="s">
        <v>663</v>
      </c>
      <c r="U22" s="99" t="s">
        <v>663</v>
      </c>
      <c r="V22" s="99">
        <v>10</v>
      </c>
      <c r="W22" s="99">
        <v>35</v>
      </c>
      <c r="X22" s="99">
        <v>24</v>
      </c>
      <c r="Y22" s="99">
        <v>50</v>
      </c>
      <c r="Z22" s="99">
        <v>33</v>
      </c>
      <c r="AA22" s="99" t="s">
        <v>663</v>
      </c>
      <c r="AB22" s="99" t="s">
        <v>663</v>
      </c>
      <c r="AC22" s="99" t="s">
        <v>663</v>
      </c>
      <c r="AD22" s="98" t="s">
        <v>376</v>
      </c>
      <c r="AE22" s="100">
        <v>0.2540394973070018</v>
      </c>
      <c r="AF22" s="100">
        <v>0.07</v>
      </c>
      <c r="AG22" s="98">
        <v>718.132854578097</v>
      </c>
      <c r="AH22" s="98">
        <v>314.1831238779174</v>
      </c>
      <c r="AI22" s="100">
        <v>0.025</v>
      </c>
      <c r="AJ22" s="100">
        <v>0.817915</v>
      </c>
      <c r="AK22" s="100">
        <v>0.814249</v>
      </c>
      <c r="AL22" s="100">
        <v>0.745116</v>
      </c>
      <c r="AM22" s="100">
        <v>0.623338</v>
      </c>
      <c r="AN22" s="100">
        <v>0.606264</v>
      </c>
      <c r="AO22" s="98">
        <v>1705.5655296229802</v>
      </c>
      <c r="AP22" s="158">
        <v>0.725925827</v>
      </c>
      <c r="AQ22" s="100">
        <v>0.17105263157894737</v>
      </c>
      <c r="AR22" s="100">
        <v>0.5909090909090909</v>
      </c>
      <c r="AS22" s="98">
        <v>359.0664272890485</v>
      </c>
      <c r="AT22" s="98" t="s">
        <v>663</v>
      </c>
      <c r="AU22" s="98" t="s">
        <v>663</v>
      </c>
      <c r="AV22" s="98">
        <v>224.4165170556553</v>
      </c>
      <c r="AW22" s="98">
        <v>785.4578096947936</v>
      </c>
      <c r="AX22" s="98">
        <v>538.5996409335727</v>
      </c>
      <c r="AY22" s="98">
        <v>1122.0825852782764</v>
      </c>
      <c r="AZ22" s="98">
        <v>740.5745062836625</v>
      </c>
      <c r="BA22" s="100" t="s">
        <v>663</v>
      </c>
      <c r="BB22" s="100" t="s">
        <v>663</v>
      </c>
      <c r="BC22" s="100" t="s">
        <v>663</v>
      </c>
      <c r="BD22" s="158">
        <v>0.5719469833</v>
      </c>
      <c r="BE22" s="158">
        <v>0.9086044312</v>
      </c>
      <c r="BF22" s="162">
        <v>681</v>
      </c>
      <c r="BG22" s="162">
        <v>393</v>
      </c>
      <c r="BH22" s="162">
        <v>1075</v>
      </c>
      <c r="BI22" s="162">
        <v>677</v>
      </c>
      <c r="BJ22" s="162">
        <v>447</v>
      </c>
      <c r="BK22" s="97"/>
      <c r="BL22" s="97"/>
      <c r="BM22" s="97"/>
      <c r="BN22" s="97"/>
    </row>
    <row r="23" spans="1:66" ht="12.75">
      <c r="A23" s="79" t="s">
        <v>603</v>
      </c>
      <c r="B23" s="79" t="s">
        <v>323</v>
      </c>
      <c r="C23" s="79" t="s">
        <v>234</v>
      </c>
      <c r="D23" s="99">
        <v>8915</v>
      </c>
      <c r="E23" s="99">
        <v>1792</v>
      </c>
      <c r="F23" s="99" t="s">
        <v>397</v>
      </c>
      <c r="G23" s="99">
        <v>40</v>
      </c>
      <c r="H23" s="99">
        <v>17</v>
      </c>
      <c r="I23" s="99">
        <v>206</v>
      </c>
      <c r="J23" s="99">
        <v>1016</v>
      </c>
      <c r="K23" s="99">
        <v>23</v>
      </c>
      <c r="L23" s="99">
        <v>1855</v>
      </c>
      <c r="M23" s="99">
        <v>768</v>
      </c>
      <c r="N23" s="99">
        <v>455</v>
      </c>
      <c r="O23" s="99">
        <v>348</v>
      </c>
      <c r="P23" s="159">
        <v>348</v>
      </c>
      <c r="Q23" s="99">
        <v>15</v>
      </c>
      <c r="R23" s="99">
        <v>32</v>
      </c>
      <c r="S23" s="99">
        <v>42</v>
      </c>
      <c r="T23" s="99">
        <v>57</v>
      </c>
      <c r="U23" s="99">
        <v>6</v>
      </c>
      <c r="V23" s="99">
        <v>68</v>
      </c>
      <c r="W23" s="99">
        <v>56</v>
      </c>
      <c r="X23" s="99">
        <v>70</v>
      </c>
      <c r="Y23" s="99">
        <v>133</v>
      </c>
      <c r="Z23" s="99">
        <v>42</v>
      </c>
      <c r="AA23" s="99" t="s">
        <v>663</v>
      </c>
      <c r="AB23" s="99" t="s">
        <v>663</v>
      </c>
      <c r="AC23" s="99" t="s">
        <v>663</v>
      </c>
      <c r="AD23" s="98" t="s">
        <v>376</v>
      </c>
      <c r="AE23" s="100">
        <v>0.2010095344924285</v>
      </c>
      <c r="AF23" s="100">
        <v>0.09</v>
      </c>
      <c r="AG23" s="98">
        <v>448.681996634885</v>
      </c>
      <c r="AH23" s="98">
        <v>190.68984856982613</v>
      </c>
      <c r="AI23" s="100">
        <v>0.023</v>
      </c>
      <c r="AJ23" s="100">
        <v>0.759342</v>
      </c>
      <c r="AK23" s="100">
        <v>0.766667</v>
      </c>
      <c r="AL23" s="100">
        <v>0.820796</v>
      </c>
      <c r="AM23" s="100">
        <v>0.602826</v>
      </c>
      <c r="AN23" s="100">
        <v>0.614865</v>
      </c>
      <c r="AO23" s="98">
        <v>3903.5333707234995</v>
      </c>
      <c r="AP23" s="158">
        <v>1.874393921</v>
      </c>
      <c r="AQ23" s="100">
        <v>0.04310344827586207</v>
      </c>
      <c r="AR23" s="100">
        <v>0.46875</v>
      </c>
      <c r="AS23" s="98">
        <v>471.1160964666293</v>
      </c>
      <c r="AT23" s="98">
        <v>639.3718452047111</v>
      </c>
      <c r="AU23" s="98">
        <v>67.30229949523276</v>
      </c>
      <c r="AV23" s="98">
        <v>762.7593942793045</v>
      </c>
      <c r="AW23" s="98">
        <v>628.1547952888391</v>
      </c>
      <c r="AX23" s="98">
        <v>785.1934941110488</v>
      </c>
      <c r="AY23" s="98">
        <v>1491.8676388109927</v>
      </c>
      <c r="AZ23" s="98">
        <v>471.1160964666293</v>
      </c>
      <c r="BA23" s="100" t="s">
        <v>663</v>
      </c>
      <c r="BB23" s="100" t="s">
        <v>663</v>
      </c>
      <c r="BC23" s="100" t="s">
        <v>663</v>
      </c>
      <c r="BD23" s="158">
        <v>1.682610626</v>
      </c>
      <c r="BE23" s="158">
        <v>2.0820471190000003</v>
      </c>
      <c r="BF23" s="162">
        <v>1338</v>
      </c>
      <c r="BG23" s="162">
        <v>30</v>
      </c>
      <c r="BH23" s="162">
        <v>2260</v>
      </c>
      <c r="BI23" s="162">
        <v>1274</v>
      </c>
      <c r="BJ23" s="162">
        <v>740</v>
      </c>
      <c r="BK23" s="97"/>
      <c r="BL23" s="97"/>
      <c r="BM23" s="97"/>
      <c r="BN23" s="97"/>
    </row>
    <row r="24" spans="1:66" ht="12.75">
      <c r="A24" s="79" t="s">
        <v>615</v>
      </c>
      <c r="B24" s="79" t="s">
        <v>335</v>
      </c>
      <c r="C24" s="79" t="s">
        <v>234</v>
      </c>
      <c r="D24" s="99">
        <v>4753</v>
      </c>
      <c r="E24" s="99">
        <v>565</v>
      </c>
      <c r="F24" s="99" t="s">
        <v>398</v>
      </c>
      <c r="G24" s="99">
        <v>15</v>
      </c>
      <c r="H24" s="99">
        <v>8</v>
      </c>
      <c r="I24" s="99">
        <v>70</v>
      </c>
      <c r="J24" s="99">
        <v>435</v>
      </c>
      <c r="K24" s="99">
        <v>18</v>
      </c>
      <c r="L24" s="99">
        <v>913</v>
      </c>
      <c r="M24" s="99">
        <v>267</v>
      </c>
      <c r="N24" s="99">
        <v>152</v>
      </c>
      <c r="O24" s="99">
        <v>65</v>
      </c>
      <c r="P24" s="159">
        <v>65</v>
      </c>
      <c r="Q24" s="99">
        <v>10</v>
      </c>
      <c r="R24" s="99">
        <v>18</v>
      </c>
      <c r="S24" s="99">
        <v>13</v>
      </c>
      <c r="T24" s="99">
        <v>13</v>
      </c>
      <c r="U24" s="99" t="s">
        <v>663</v>
      </c>
      <c r="V24" s="99" t="s">
        <v>663</v>
      </c>
      <c r="W24" s="99">
        <v>25</v>
      </c>
      <c r="X24" s="99">
        <v>22</v>
      </c>
      <c r="Y24" s="99">
        <v>63</v>
      </c>
      <c r="Z24" s="99">
        <v>23</v>
      </c>
      <c r="AA24" s="99" t="s">
        <v>663</v>
      </c>
      <c r="AB24" s="99" t="s">
        <v>663</v>
      </c>
      <c r="AC24" s="99" t="s">
        <v>663</v>
      </c>
      <c r="AD24" s="98" t="s">
        <v>376</v>
      </c>
      <c r="AE24" s="100">
        <v>0.11887229118451505</v>
      </c>
      <c r="AF24" s="100">
        <v>0.15</v>
      </c>
      <c r="AG24" s="98">
        <v>315.5901535872081</v>
      </c>
      <c r="AH24" s="98">
        <v>168.31474857984432</v>
      </c>
      <c r="AI24" s="100">
        <v>0.015</v>
      </c>
      <c r="AJ24" s="100">
        <v>0.734797</v>
      </c>
      <c r="AK24" s="100">
        <v>0.580645</v>
      </c>
      <c r="AL24" s="100">
        <v>0.767872</v>
      </c>
      <c r="AM24" s="100">
        <v>0.560924</v>
      </c>
      <c r="AN24" s="100">
        <v>0.558824</v>
      </c>
      <c r="AO24" s="98">
        <v>1367.557332211235</v>
      </c>
      <c r="AP24" s="158">
        <v>0.8248278046</v>
      </c>
      <c r="AQ24" s="100">
        <v>0.15384615384615385</v>
      </c>
      <c r="AR24" s="100">
        <v>0.5555555555555556</v>
      </c>
      <c r="AS24" s="98">
        <v>273.511466442247</v>
      </c>
      <c r="AT24" s="98">
        <v>273.511466442247</v>
      </c>
      <c r="AU24" s="98" t="s">
        <v>663</v>
      </c>
      <c r="AV24" s="98" t="s">
        <v>663</v>
      </c>
      <c r="AW24" s="98">
        <v>525.9835893120135</v>
      </c>
      <c r="AX24" s="98">
        <v>462.86555859457184</v>
      </c>
      <c r="AY24" s="98">
        <v>1325.4786450662739</v>
      </c>
      <c r="AZ24" s="98">
        <v>483.9049021670524</v>
      </c>
      <c r="BA24" s="100" t="s">
        <v>663</v>
      </c>
      <c r="BB24" s="100" t="s">
        <v>663</v>
      </c>
      <c r="BC24" s="100" t="s">
        <v>663</v>
      </c>
      <c r="BD24" s="158">
        <v>0.6365846634</v>
      </c>
      <c r="BE24" s="158">
        <v>1.05131073</v>
      </c>
      <c r="BF24" s="162">
        <v>592</v>
      </c>
      <c r="BG24" s="162">
        <v>31</v>
      </c>
      <c r="BH24" s="162">
        <v>1189</v>
      </c>
      <c r="BI24" s="162">
        <v>476</v>
      </c>
      <c r="BJ24" s="162">
        <v>272</v>
      </c>
      <c r="BK24" s="97"/>
      <c r="BL24" s="97"/>
      <c r="BM24" s="97"/>
      <c r="BN24" s="97"/>
    </row>
    <row r="25" spans="1:66" ht="12.75">
      <c r="A25" s="79" t="s">
        <v>606</v>
      </c>
      <c r="B25" s="79" t="s">
        <v>326</v>
      </c>
      <c r="C25" s="79" t="s">
        <v>234</v>
      </c>
      <c r="D25" s="99">
        <v>7267</v>
      </c>
      <c r="E25" s="99">
        <v>1759</v>
      </c>
      <c r="F25" s="99" t="s">
        <v>399</v>
      </c>
      <c r="G25" s="99">
        <v>42</v>
      </c>
      <c r="H25" s="99">
        <v>19</v>
      </c>
      <c r="I25" s="99">
        <v>188</v>
      </c>
      <c r="J25" s="99">
        <v>881</v>
      </c>
      <c r="K25" s="99">
        <v>17</v>
      </c>
      <c r="L25" s="99">
        <v>1422</v>
      </c>
      <c r="M25" s="99">
        <v>720</v>
      </c>
      <c r="N25" s="99">
        <v>374</v>
      </c>
      <c r="O25" s="99">
        <v>158</v>
      </c>
      <c r="P25" s="159">
        <v>158</v>
      </c>
      <c r="Q25" s="99">
        <v>15</v>
      </c>
      <c r="R25" s="99">
        <v>35</v>
      </c>
      <c r="S25" s="99">
        <v>31</v>
      </c>
      <c r="T25" s="99">
        <v>17</v>
      </c>
      <c r="U25" s="99">
        <v>9</v>
      </c>
      <c r="V25" s="99">
        <v>30</v>
      </c>
      <c r="W25" s="99">
        <v>68</v>
      </c>
      <c r="X25" s="99">
        <v>24</v>
      </c>
      <c r="Y25" s="99">
        <v>91</v>
      </c>
      <c r="Z25" s="99">
        <v>47</v>
      </c>
      <c r="AA25" s="99" t="s">
        <v>663</v>
      </c>
      <c r="AB25" s="99" t="s">
        <v>663</v>
      </c>
      <c r="AC25" s="99" t="s">
        <v>663</v>
      </c>
      <c r="AD25" s="98" t="s">
        <v>376</v>
      </c>
      <c r="AE25" s="100">
        <v>0.24205311682950323</v>
      </c>
      <c r="AF25" s="100">
        <v>0.06</v>
      </c>
      <c r="AG25" s="98">
        <v>577.9551396724921</v>
      </c>
      <c r="AH25" s="98">
        <v>261.4558965185083</v>
      </c>
      <c r="AI25" s="100">
        <v>0.026000000000000002</v>
      </c>
      <c r="AJ25" s="100">
        <v>0.728099</v>
      </c>
      <c r="AK25" s="100">
        <v>0.708333</v>
      </c>
      <c r="AL25" s="100">
        <v>0.802936</v>
      </c>
      <c r="AM25" s="100">
        <v>0.585366</v>
      </c>
      <c r="AN25" s="100">
        <v>0.64818</v>
      </c>
      <c r="AO25" s="98">
        <v>2174.21219210128</v>
      </c>
      <c r="AP25" s="158">
        <v>0.9365657043</v>
      </c>
      <c r="AQ25" s="100">
        <v>0.0949367088607595</v>
      </c>
      <c r="AR25" s="100">
        <v>0.42857142857142855</v>
      </c>
      <c r="AS25" s="98">
        <v>426.58593642493463</v>
      </c>
      <c r="AT25" s="98">
        <v>233.93422320077062</v>
      </c>
      <c r="AU25" s="98">
        <v>123.84752992981973</v>
      </c>
      <c r="AV25" s="98">
        <v>412.82509976606576</v>
      </c>
      <c r="AW25" s="98">
        <v>935.7368928030825</v>
      </c>
      <c r="AX25" s="98">
        <v>330.2600798128526</v>
      </c>
      <c r="AY25" s="98">
        <v>1252.2361359570662</v>
      </c>
      <c r="AZ25" s="98">
        <v>646.7593229668364</v>
      </c>
      <c r="BA25" s="101" t="s">
        <v>663</v>
      </c>
      <c r="BB25" s="101" t="s">
        <v>663</v>
      </c>
      <c r="BC25" s="101" t="s">
        <v>663</v>
      </c>
      <c r="BD25" s="158">
        <v>0.7962232208000001</v>
      </c>
      <c r="BE25" s="158">
        <v>1.094521179</v>
      </c>
      <c r="BF25" s="162">
        <v>1210</v>
      </c>
      <c r="BG25" s="162">
        <v>24</v>
      </c>
      <c r="BH25" s="162">
        <v>1771</v>
      </c>
      <c r="BI25" s="162">
        <v>1230</v>
      </c>
      <c r="BJ25" s="162">
        <v>577</v>
      </c>
      <c r="BK25" s="97"/>
      <c r="BL25" s="97"/>
      <c r="BM25" s="97"/>
      <c r="BN25" s="97"/>
    </row>
    <row r="26" spans="1:66" ht="12.75">
      <c r="A26" s="79" t="s">
        <v>570</v>
      </c>
      <c r="B26" s="79" t="s">
        <v>290</v>
      </c>
      <c r="C26" s="79" t="s">
        <v>234</v>
      </c>
      <c r="D26" s="99">
        <v>12810</v>
      </c>
      <c r="E26" s="99">
        <v>2722</v>
      </c>
      <c r="F26" s="99" t="s">
        <v>399</v>
      </c>
      <c r="G26" s="99">
        <v>72</v>
      </c>
      <c r="H26" s="99">
        <v>25</v>
      </c>
      <c r="I26" s="99">
        <v>264</v>
      </c>
      <c r="J26" s="99">
        <v>1412</v>
      </c>
      <c r="K26" s="99">
        <v>24</v>
      </c>
      <c r="L26" s="99">
        <v>2432</v>
      </c>
      <c r="M26" s="99">
        <v>1049</v>
      </c>
      <c r="N26" s="99">
        <v>547</v>
      </c>
      <c r="O26" s="99">
        <v>305</v>
      </c>
      <c r="P26" s="159">
        <v>305</v>
      </c>
      <c r="Q26" s="99">
        <v>36</v>
      </c>
      <c r="R26" s="99">
        <v>58</v>
      </c>
      <c r="S26" s="99">
        <v>55</v>
      </c>
      <c r="T26" s="99">
        <v>54</v>
      </c>
      <c r="U26" s="99">
        <v>10</v>
      </c>
      <c r="V26" s="99">
        <v>76</v>
      </c>
      <c r="W26" s="99">
        <v>73</v>
      </c>
      <c r="X26" s="99">
        <v>34</v>
      </c>
      <c r="Y26" s="99">
        <v>126</v>
      </c>
      <c r="Z26" s="99">
        <v>45</v>
      </c>
      <c r="AA26" s="99" t="s">
        <v>663</v>
      </c>
      <c r="AB26" s="99" t="s">
        <v>663</v>
      </c>
      <c r="AC26" s="99" t="s">
        <v>663</v>
      </c>
      <c r="AD26" s="98" t="s">
        <v>376</v>
      </c>
      <c r="AE26" s="100">
        <v>0.21249024199843872</v>
      </c>
      <c r="AF26" s="100">
        <v>0.07</v>
      </c>
      <c r="AG26" s="98">
        <v>562.0608899297424</v>
      </c>
      <c r="AH26" s="98">
        <v>195.160031225605</v>
      </c>
      <c r="AI26" s="100">
        <v>0.021</v>
      </c>
      <c r="AJ26" s="100">
        <v>0.768226</v>
      </c>
      <c r="AK26" s="100">
        <v>0.631579</v>
      </c>
      <c r="AL26" s="100">
        <v>0.764539</v>
      </c>
      <c r="AM26" s="100">
        <v>0.590653</v>
      </c>
      <c r="AN26" s="100">
        <v>0.649644</v>
      </c>
      <c r="AO26" s="98">
        <v>2380.9523809523807</v>
      </c>
      <c r="AP26" s="158">
        <v>1.1065917969999999</v>
      </c>
      <c r="AQ26" s="100">
        <v>0.1180327868852459</v>
      </c>
      <c r="AR26" s="100">
        <v>0.6206896551724138</v>
      </c>
      <c r="AS26" s="98">
        <v>429.352068696331</v>
      </c>
      <c r="AT26" s="98">
        <v>421.5456674473068</v>
      </c>
      <c r="AU26" s="98">
        <v>78.06401249024199</v>
      </c>
      <c r="AV26" s="98">
        <v>593.2864949258392</v>
      </c>
      <c r="AW26" s="98">
        <v>569.8672911787665</v>
      </c>
      <c r="AX26" s="98">
        <v>265.41764246682277</v>
      </c>
      <c r="AY26" s="98">
        <v>983.6065573770492</v>
      </c>
      <c r="AZ26" s="98">
        <v>351.288056206089</v>
      </c>
      <c r="BA26" s="101" t="s">
        <v>663</v>
      </c>
      <c r="BB26" s="101" t="s">
        <v>663</v>
      </c>
      <c r="BC26" s="101" t="s">
        <v>663</v>
      </c>
      <c r="BD26" s="158">
        <v>0.9858734131</v>
      </c>
      <c r="BE26" s="158">
        <v>1.238013077</v>
      </c>
      <c r="BF26" s="162">
        <v>1838</v>
      </c>
      <c r="BG26" s="162">
        <v>38</v>
      </c>
      <c r="BH26" s="162">
        <v>3181</v>
      </c>
      <c r="BI26" s="162">
        <v>1776</v>
      </c>
      <c r="BJ26" s="162">
        <v>842</v>
      </c>
      <c r="BK26" s="97"/>
      <c r="BL26" s="97"/>
      <c r="BM26" s="97"/>
      <c r="BN26" s="97"/>
    </row>
    <row r="27" spans="1:66" ht="12.75">
      <c r="A27" s="79" t="s">
        <v>607</v>
      </c>
      <c r="B27" s="79" t="s">
        <v>327</v>
      </c>
      <c r="C27" s="79" t="s">
        <v>234</v>
      </c>
      <c r="D27" s="99">
        <v>6388</v>
      </c>
      <c r="E27" s="99">
        <v>1526</v>
      </c>
      <c r="F27" s="99" t="s">
        <v>397</v>
      </c>
      <c r="G27" s="99">
        <v>42</v>
      </c>
      <c r="H27" s="99">
        <v>15</v>
      </c>
      <c r="I27" s="99">
        <v>149</v>
      </c>
      <c r="J27" s="99">
        <v>689</v>
      </c>
      <c r="K27" s="99">
        <v>8</v>
      </c>
      <c r="L27" s="99">
        <v>1192</v>
      </c>
      <c r="M27" s="99">
        <v>470</v>
      </c>
      <c r="N27" s="99">
        <v>310</v>
      </c>
      <c r="O27" s="99">
        <v>195</v>
      </c>
      <c r="P27" s="159">
        <v>195</v>
      </c>
      <c r="Q27" s="99">
        <v>25</v>
      </c>
      <c r="R27" s="99">
        <v>51</v>
      </c>
      <c r="S27" s="99">
        <v>15</v>
      </c>
      <c r="T27" s="99">
        <v>47</v>
      </c>
      <c r="U27" s="99">
        <v>6</v>
      </c>
      <c r="V27" s="99">
        <v>21</v>
      </c>
      <c r="W27" s="99">
        <v>31</v>
      </c>
      <c r="X27" s="99">
        <v>19</v>
      </c>
      <c r="Y27" s="99">
        <v>80</v>
      </c>
      <c r="Z27" s="99">
        <v>41</v>
      </c>
      <c r="AA27" s="99" t="s">
        <v>663</v>
      </c>
      <c r="AB27" s="99" t="s">
        <v>663</v>
      </c>
      <c r="AC27" s="99" t="s">
        <v>663</v>
      </c>
      <c r="AD27" s="98" t="s">
        <v>376</v>
      </c>
      <c r="AE27" s="100">
        <v>0.23888541014402004</v>
      </c>
      <c r="AF27" s="100">
        <v>0.09</v>
      </c>
      <c r="AG27" s="98">
        <v>657.4827802128992</v>
      </c>
      <c r="AH27" s="98">
        <v>234.815278647464</v>
      </c>
      <c r="AI27" s="100">
        <v>0.023</v>
      </c>
      <c r="AJ27" s="100">
        <v>0.824163</v>
      </c>
      <c r="AK27" s="100">
        <v>0.5</v>
      </c>
      <c r="AL27" s="100">
        <v>0.794137</v>
      </c>
      <c r="AM27" s="100">
        <v>0.629183</v>
      </c>
      <c r="AN27" s="100">
        <v>0.623742</v>
      </c>
      <c r="AO27" s="98">
        <v>3052.598622417032</v>
      </c>
      <c r="AP27" s="158">
        <v>1.367494812</v>
      </c>
      <c r="AQ27" s="100">
        <v>0.1282051282051282</v>
      </c>
      <c r="AR27" s="100">
        <v>0.49019607843137253</v>
      </c>
      <c r="AS27" s="98">
        <v>234.815278647464</v>
      </c>
      <c r="AT27" s="98">
        <v>735.7545397620538</v>
      </c>
      <c r="AU27" s="98">
        <v>93.9261114589856</v>
      </c>
      <c r="AV27" s="98">
        <v>328.7413901064496</v>
      </c>
      <c r="AW27" s="98">
        <v>485.28490920475895</v>
      </c>
      <c r="AX27" s="98">
        <v>297.4326862867877</v>
      </c>
      <c r="AY27" s="98">
        <v>1252.3481527864747</v>
      </c>
      <c r="AZ27" s="98">
        <v>641.8284283030682</v>
      </c>
      <c r="BA27" s="100" t="s">
        <v>663</v>
      </c>
      <c r="BB27" s="100" t="s">
        <v>663</v>
      </c>
      <c r="BC27" s="100" t="s">
        <v>663</v>
      </c>
      <c r="BD27" s="158">
        <v>1.182284775</v>
      </c>
      <c r="BE27" s="158">
        <v>1.57348877</v>
      </c>
      <c r="BF27" s="162">
        <v>836</v>
      </c>
      <c r="BG27" s="162">
        <v>16</v>
      </c>
      <c r="BH27" s="162">
        <v>1501</v>
      </c>
      <c r="BI27" s="162">
        <v>747</v>
      </c>
      <c r="BJ27" s="162">
        <v>497</v>
      </c>
      <c r="BK27" s="97"/>
      <c r="BL27" s="97"/>
      <c r="BM27" s="97"/>
      <c r="BN27" s="97"/>
    </row>
    <row r="28" spans="1:66" ht="12.75">
      <c r="A28" s="79" t="s">
        <v>562</v>
      </c>
      <c r="B28" s="79" t="s">
        <v>282</v>
      </c>
      <c r="C28" s="79" t="s">
        <v>234</v>
      </c>
      <c r="D28" s="99">
        <v>8431</v>
      </c>
      <c r="E28" s="99">
        <v>1753</v>
      </c>
      <c r="F28" s="99" t="s">
        <v>399</v>
      </c>
      <c r="G28" s="99">
        <v>41</v>
      </c>
      <c r="H28" s="99">
        <v>12</v>
      </c>
      <c r="I28" s="99">
        <v>189</v>
      </c>
      <c r="J28" s="99">
        <v>1004</v>
      </c>
      <c r="K28" s="99">
        <v>622</v>
      </c>
      <c r="L28" s="99">
        <v>1739</v>
      </c>
      <c r="M28" s="99">
        <v>523</v>
      </c>
      <c r="N28" s="99">
        <v>437</v>
      </c>
      <c r="O28" s="99">
        <v>175</v>
      </c>
      <c r="P28" s="159">
        <v>175</v>
      </c>
      <c r="Q28" s="99">
        <v>17</v>
      </c>
      <c r="R28" s="99">
        <v>35</v>
      </c>
      <c r="S28" s="99">
        <v>19</v>
      </c>
      <c r="T28" s="99">
        <v>25</v>
      </c>
      <c r="U28" s="99">
        <v>9</v>
      </c>
      <c r="V28" s="99">
        <v>23</v>
      </c>
      <c r="W28" s="99">
        <v>51</v>
      </c>
      <c r="X28" s="99">
        <v>46</v>
      </c>
      <c r="Y28" s="99">
        <v>97</v>
      </c>
      <c r="Z28" s="99">
        <v>46</v>
      </c>
      <c r="AA28" s="99" t="s">
        <v>663</v>
      </c>
      <c r="AB28" s="99" t="s">
        <v>663</v>
      </c>
      <c r="AC28" s="99" t="s">
        <v>663</v>
      </c>
      <c r="AD28" s="98" t="s">
        <v>376</v>
      </c>
      <c r="AE28" s="100">
        <v>0.20792314078994187</v>
      </c>
      <c r="AF28" s="100">
        <v>0.07</v>
      </c>
      <c r="AG28" s="98">
        <v>486.3005574664927</v>
      </c>
      <c r="AH28" s="98">
        <v>142.33187047799785</v>
      </c>
      <c r="AI28" s="100">
        <v>0.022000000000000002</v>
      </c>
      <c r="AJ28" s="100">
        <v>0.786218</v>
      </c>
      <c r="AK28" s="100">
        <v>0.799486</v>
      </c>
      <c r="AL28" s="100">
        <v>0.840503</v>
      </c>
      <c r="AM28" s="100">
        <v>0.439127</v>
      </c>
      <c r="AN28" s="100">
        <v>0.61898</v>
      </c>
      <c r="AO28" s="98">
        <v>2075.673111137469</v>
      </c>
      <c r="AP28" s="158">
        <v>0.9720915222000001</v>
      </c>
      <c r="AQ28" s="100">
        <v>0.09714285714285714</v>
      </c>
      <c r="AR28" s="100">
        <v>0.4857142857142857</v>
      </c>
      <c r="AS28" s="98">
        <v>225.35879492349662</v>
      </c>
      <c r="AT28" s="98">
        <v>296.52473016249553</v>
      </c>
      <c r="AU28" s="98">
        <v>106.7489028584984</v>
      </c>
      <c r="AV28" s="98">
        <v>272.8027517494959</v>
      </c>
      <c r="AW28" s="98">
        <v>604.9104495314909</v>
      </c>
      <c r="AX28" s="98">
        <v>545.6055034989918</v>
      </c>
      <c r="AY28" s="98">
        <v>1150.5159530304827</v>
      </c>
      <c r="AZ28" s="98">
        <v>545.6055034989918</v>
      </c>
      <c r="BA28" s="100" t="s">
        <v>663</v>
      </c>
      <c r="BB28" s="100" t="s">
        <v>663</v>
      </c>
      <c r="BC28" s="100" t="s">
        <v>663</v>
      </c>
      <c r="BD28" s="158">
        <v>0.8333982849</v>
      </c>
      <c r="BE28" s="158">
        <v>1.1272688290000001</v>
      </c>
      <c r="BF28" s="162">
        <v>1277</v>
      </c>
      <c r="BG28" s="162">
        <v>778</v>
      </c>
      <c r="BH28" s="162">
        <v>2069</v>
      </c>
      <c r="BI28" s="162">
        <v>1191</v>
      </c>
      <c r="BJ28" s="162">
        <v>706</v>
      </c>
      <c r="BK28" s="97"/>
      <c r="BL28" s="97"/>
      <c r="BM28" s="97"/>
      <c r="BN28" s="97"/>
    </row>
    <row r="29" spans="1:66" ht="12.75">
      <c r="A29" s="79" t="s">
        <v>631</v>
      </c>
      <c r="B29" s="79" t="s">
        <v>351</v>
      </c>
      <c r="C29" s="79" t="s">
        <v>234</v>
      </c>
      <c r="D29" s="99">
        <v>3026</v>
      </c>
      <c r="E29" s="99">
        <v>504</v>
      </c>
      <c r="F29" s="99" t="s">
        <v>398</v>
      </c>
      <c r="G29" s="99">
        <v>10</v>
      </c>
      <c r="H29" s="99" t="s">
        <v>663</v>
      </c>
      <c r="I29" s="99">
        <v>65</v>
      </c>
      <c r="J29" s="99">
        <v>232</v>
      </c>
      <c r="K29" s="99" t="s">
        <v>663</v>
      </c>
      <c r="L29" s="99">
        <v>545</v>
      </c>
      <c r="M29" s="99">
        <v>187</v>
      </c>
      <c r="N29" s="99">
        <v>118</v>
      </c>
      <c r="O29" s="99">
        <v>34</v>
      </c>
      <c r="P29" s="159">
        <v>34</v>
      </c>
      <c r="Q29" s="99" t="s">
        <v>663</v>
      </c>
      <c r="R29" s="99">
        <v>12</v>
      </c>
      <c r="S29" s="99">
        <v>11</v>
      </c>
      <c r="T29" s="99" t="s">
        <v>663</v>
      </c>
      <c r="U29" s="99" t="s">
        <v>663</v>
      </c>
      <c r="V29" s="99" t="s">
        <v>663</v>
      </c>
      <c r="W29" s="99">
        <v>24</v>
      </c>
      <c r="X29" s="99">
        <v>7</v>
      </c>
      <c r="Y29" s="99">
        <v>39</v>
      </c>
      <c r="Z29" s="99">
        <v>21</v>
      </c>
      <c r="AA29" s="99" t="s">
        <v>663</v>
      </c>
      <c r="AB29" s="99" t="s">
        <v>663</v>
      </c>
      <c r="AC29" s="99" t="s">
        <v>663</v>
      </c>
      <c r="AD29" s="98" t="s">
        <v>376</v>
      </c>
      <c r="AE29" s="100">
        <v>0.16655651024454726</v>
      </c>
      <c r="AF29" s="100">
        <v>0.16</v>
      </c>
      <c r="AG29" s="98">
        <v>330.4692663582287</v>
      </c>
      <c r="AH29" s="98" t="s">
        <v>663</v>
      </c>
      <c r="AI29" s="100">
        <v>0.021</v>
      </c>
      <c r="AJ29" s="100">
        <v>0.672464</v>
      </c>
      <c r="AK29" s="100" t="s">
        <v>663</v>
      </c>
      <c r="AL29" s="100">
        <v>0.787572</v>
      </c>
      <c r="AM29" s="100">
        <v>0.50134</v>
      </c>
      <c r="AN29" s="100">
        <v>0.538813</v>
      </c>
      <c r="AO29" s="98">
        <v>1123.5955056179776</v>
      </c>
      <c r="AP29" s="158">
        <v>0.6102809906000001</v>
      </c>
      <c r="AQ29" s="100" t="s">
        <v>663</v>
      </c>
      <c r="AR29" s="100" t="s">
        <v>663</v>
      </c>
      <c r="AS29" s="98">
        <v>363.51619299405155</v>
      </c>
      <c r="AT29" s="98" t="s">
        <v>663</v>
      </c>
      <c r="AU29" s="98" t="s">
        <v>663</v>
      </c>
      <c r="AV29" s="98" t="s">
        <v>663</v>
      </c>
      <c r="AW29" s="98">
        <v>793.1262392597489</v>
      </c>
      <c r="AX29" s="98">
        <v>231.32848645076007</v>
      </c>
      <c r="AY29" s="98">
        <v>1288.8301387970919</v>
      </c>
      <c r="AZ29" s="98">
        <v>693.9854593522803</v>
      </c>
      <c r="BA29" s="100" t="s">
        <v>663</v>
      </c>
      <c r="BB29" s="100" t="s">
        <v>663</v>
      </c>
      <c r="BC29" s="100" t="s">
        <v>663</v>
      </c>
      <c r="BD29" s="158">
        <v>0.4226373291</v>
      </c>
      <c r="BE29" s="158">
        <v>0.8528065491</v>
      </c>
      <c r="BF29" s="162">
        <v>345</v>
      </c>
      <c r="BG29" s="162" t="s">
        <v>663</v>
      </c>
      <c r="BH29" s="162">
        <v>692</v>
      </c>
      <c r="BI29" s="162">
        <v>373</v>
      </c>
      <c r="BJ29" s="162">
        <v>219</v>
      </c>
      <c r="BK29" s="97"/>
      <c r="BL29" s="97"/>
      <c r="BM29" s="97"/>
      <c r="BN29" s="97"/>
    </row>
    <row r="30" spans="1:66" ht="12.75">
      <c r="A30" s="79" t="s">
        <v>614</v>
      </c>
      <c r="B30" s="79" t="s">
        <v>334</v>
      </c>
      <c r="C30" s="79" t="s">
        <v>234</v>
      </c>
      <c r="D30" s="99">
        <v>1879</v>
      </c>
      <c r="E30" s="99">
        <v>462</v>
      </c>
      <c r="F30" s="99" t="s">
        <v>397</v>
      </c>
      <c r="G30" s="99" t="s">
        <v>663</v>
      </c>
      <c r="H30" s="99">
        <v>12</v>
      </c>
      <c r="I30" s="99">
        <v>40</v>
      </c>
      <c r="J30" s="99">
        <v>255</v>
      </c>
      <c r="K30" s="99">
        <v>250</v>
      </c>
      <c r="L30" s="99">
        <v>339</v>
      </c>
      <c r="M30" s="99">
        <v>205</v>
      </c>
      <c r="N30" s="99">
        <v>116</v>
      </c>
      <c r="O30" s="99">
        <v>29</v>
      </c>
      <c r="P30" s="159">
        <v>29</v>
      </c>
      <c r="Q30" s="99" t="s">
        <v>663</v>
      </c>
      <c r="R30" s="99">
        <v>8</v>
      </c>
      <c r="S30" s="99">
        <v>9</v>
      </c>
      <c r="T30" s="99" t="s">
        <v>663</v>
      </c>
      <c r="U30" s="99" t="s">
        <v>663</v>
      </c>
      <c r="V30" s="99">
        <v>6</v>
      </c>
      <c r="W30" s="99">
        <v>9</v>
      </c>
      <c r="X30" s="99" t="s">
        <v>663</v>
      </c>
      <c r="Y30" s="99">
        <v>16</v>
      </c>
      <c r="Z30" s="99">
        <v>21</v>
      </c>
      <c r="AA30" s="99" t="s">
        <v>663</v>
      </c>
      <c r="AB30" s="99" t="s">
        <v>663</v>
      </c>
      <c r="AC30" s="99" t="s">
        <v>663</v>
      </c>
      <c r="AD30" s="98" t="s">
        <v>376</v>
      </c>
      <c r="AE30" s="100">
        <v>0.24587546567323043</v>
      </c>
      <c r="AF30" s="100">
        <v>0.11</v>
      </c>
      <c r="AG30" s="98" t="s">
        <v>663</v>
      </c>
      <c r="AH30" s="98">
        <v>638.637573177222</v>
      </c>
      <c r="AI30" s="100">
        <v>0.021</v>
      </c>
      <c r="AJ30" s="100">
        <v>0.782209</v>
      </c>
      <c r="AK30" s="100">
        <v>0.778816</v>
      </c>
      <c r="AL30" s="100">
        <v>0.736957</v>
      </c>
      <c r="AM30" s="100">
        <v>0.587393</v>
      </c>
      <c r="AN30" s="100">
        <v>0.555024</v>
      </c>
      <c r="AO30" s="98">
        <v>1543.3741351782862</v>
      </c>
      <c r="AP30" s="158">
        <v>0.6794751739999999</v>
      </c>
      <c r="AQ30" s="100" t="s">
        <v>663</v>
      </c>
      <c r="AR30" s="100" t="s">
        <v>663</v>
      </c>
      <c r="AS30" s="98">
        <v>478.97817988291644</v>
      </c>
      <c r="AT30" s="98" t="s">
        <v>663</v>
      </c>
      <c r="AU30" s="98" t="s">
        <v>663</v>
      </c>
      <c r="AV30" s="98">
        <v>319.318786588611</v>
      </c>
      <c r="AW30" s="98">
        <v>478.97817988291644</v>
      </c>
      <c r="AX30" s="98" t="s">
        <v>663</v>
      </c>
      <c r="AY30" s="98">
        <v>851.5167642362959</v>
      </c>
      <c r="AZ30" s="98">
        <v>1117.6157530601383</v>
      </c>
      <c r="BA30" s="100" t="s">
        <v>663</v>
      </c>
      <c r="BB30" s="100" t="s">
        <v>663</v>
      </c>
      <c r="BC30" s="100" t="s">
        <v>663</v>
      </c>
      <c r="BD30" s="158">
        <v>0.4550551987</v>
      </c>
      <c r="BE30" s="158">
        <v>0.9758396912</v>
      </c>
      <c r="BF30" s="162">
        <v>326</v>
      </c>
      <c r="BG30" s="162">
        <v>321</v>
      </c>
      <c r="BH30" s="162">
        <v>460</v>
      </c>
      <c r="BI30" s="162">
        <v>349</v>
      </c>
      <c r="BJ30" s="162">
        <v>209</v>
      </c>
      <c r="BK30" s="97"/>
      <c r="BL30" s="97"/>
      <c r="BM30" s="97"/>
      <c r="BN30" s="97"/>
    </row>
    <row r="31" spans="1:66" ht="12.75">
      <c r="A31" s="79" t="s">
        <v>578</v>
      </c>
      <c r="B31" s="79" t="s">
        <v>298</v>
      </c>
      <c r="C31" s="79" t="s">
        <v>234</v>
      </c>
      <c r="D31" s="99">
        <v>2142</v>
      </c>
      <c r="E31" s="99">
        <v>399</v>
      </c>
      <c r="F31" s="99" t="s">
        <v>398</v>
      </c>
      <c r="G31" s="99" t="s">
        <v>663</v>
      </c>
      <c r="H31" s="99">
        <v>6</v>
      </c>
      <c r="I31" s="99">
        <v>37</v>
      </c>
      <c r="J31" s="99">
        <v>212</v>
      </c>
      <c r="K31" s="99" t="s">
        <v>663</v>
      </c>
      <c r="L31" s="99">
        <v>387</v>
      </c>
      <c r="M31" s="99">
        <v>156</v>
      </c>
      <c r="N31" s="99">
        <v>95</v>
      </c>
      <c r="O31" s="99">
        <v>16</v>
      </c>
      <c r="P31" s="159">
        <v>16</v>
      </c>
      <c r="Q31" s="99" t="s">
        <v>663</v>
      </c>
      <c r="R31" s="99">
        <v>8</v>
      </c>
      <c r="S31" s="99" t="s">
        <v>663</v>
      </c>
      <c r="T31" s="99">
        <v>6</v>
      </c>
      <c r="U31" s="99" t="s">
        <v>663</v>
      </c>
      <c r="V31" s="99" t="s">
        <v>663</v>
      </c>
      <c r="W31" s="99">
        <v>23</v>
      </c>
      <c r="X31" s="99">
        <v>6</v>
      </c>
      <c r="Y31" s="99">
        <v>29</v>
      </c>
      <c r="Z31" s="99">
        <v>12</v>
      </c>
      <c r="AA31" s="99" t="s">
        <v>663</v>
      </c>
      <c r="AB31" s="99" t="s">
        <v>663</v>
      </c>
      <c r="AC31" s="99" t="s">
        <v>663</v>
      </c>
      <c r="AD31" s="98" t="s">
        <v>376</v>
      </c>
      <c r="AE31" s="100">
        <v>0.18627450980392157</v>
      </c>
      <c r="AF31" s="100">
        <v>0.15</v>
      </c>
      <c r="AG31" s="98" t="s">
        <v>663</v>
      </c>
      <c r="AH31" s="98">
        <v>280.1120448179272</v>
      </c>
      <c r="AI31" s="100">
        <v>0.017</v>
      </c>
      <c r="AJ31" s="100">
        <v>0.736111</v>
      </c>
      <c r="AK31" s="100" t="s">
        <v>663</v>
      </c>
      <c r="AL31" s="100">
        <v>0.711397</v>
      </c>
      <c r="AM31" s="100">
        <v>0.508143</v>
      </c>
      <c r="AN31" s="100">
        <v>0.552326</v>
      </c>
      <c r="AO31" s="98">
        <v>746.9654528478058</v>
      </c>
      <c r="AP31" s="158">
        <v>0.36855571750000005</v>
      </c>
      <c r="AQ31" s="100" t="s">
        <v>663</v>
      </c>
      <c r="AR31" s="100" t="s">
        <v>663</v>
      </c>
      <c r="AS31" s="98" t="s">
        <v>663</v>
      </c>
      <c r="AT31" s="98">
        <v>280.1120448179272</v>
      </c>
      <c r="AU31" s="98" t="s">
        <v>663</v>
      </c>
      <c r="AV31" s="98" t="s">
        <v>663</v>
      </c>
      <c r="AW31" s="98">
        <v>1073.762838468721</v>
      </c>
      <c r="AX31" s="98">
        <v>280.1120448179272</v>
      </c>
      <c r="AY31" s="98">
        <v>1353.874883286648</v>
      </c>
      <c r="AZ31" s="98">
        <v>560.2240896358544</v>
      </c>
      <c r="BA31" s="100" t="s">
        <v>663</v>
      </c>
      <c r="BB31" s="100" t="s">
        <v>663</v>
      </c>
      <c r="BC31" s="100" t="s">
        <v>663</v>
      </c>
      <c r="BD31" s="158">
        <v>0.2106614304</v>
      </c>
      <c r="BE31" s="158">
        <v>0.5985113907</v>
      </c>
      <c r="BF31" s="162">
        <v>288</v>
      </c>
      <c r="BG31" s="162" t="s">
        <v>663</v>
      </c>
      <c r="BH31" s="162">
        <v>544</v>
      </c>
      <c r="BI31" s="162">
        <v>307</v>
      </c>
      <c r="BJ31" s="162">
        <v>172</v>
      </c>
      <c r="BK31" s="97"/>
      <c r="BL31" s="97"/>
      <c r="BM31" s="97"/>
      <c r="BN31" s="97"/>
    </row>
    <row r="32" spans="1:66" ht="12.75">
      <c r="A32" s="79" t="s">
        <v>613</v>
      </c>
      <c r="B32" s="79" t="s">
        <v>333</v>
      </c>
      <c r="C32" s="79" t="s">
        <v>234</v>
      </c>
      <c r="D32" s="99">
        <v>2203</v>
      </c>
      <c r="E32" s="99">
        <v>189</v>
      </c>
      <c r="F32" s="99" t="s">
        <v>398</v>
      </c>
      <c r="G32" s="99" t="s">
        <v>663</v>
      </c>
      <c r="H32" s="99" t="s">
        <v>663</v>
      </c>
      <c r="I32" s="99">
        <v>24</v>
      </c>
      <c r="J32" s="99">
        <v>176</v>
      </c>
      <c r="K32" s="99">
        <v>173</v>
      </c>
      <c r="L32" s="99">
        <v>437</v>
      </c>
      <c r="M32" s="99">
        <v>82</v>
      </c>
      <c r="N32" s="99">
        <v>45</v>
      </c>
      <c r="O32" s="99">
        <v>32</v>
      </c>
      <c r="P32" s="159">
        <v>32</v>
      </c>
      <c r="Q32" s="99" t="s">
        <v>663</v>
      </c>
      <c r="R32" s="99" t="s">
        <v>663</v>
      </c>
      <c r="S32" s="99">
        <v>10</v>
      </c>
      <c r="T32" s="99" t="s">
        <v>663</v>
      </c>
      <c r="U32" s="99" t="s">
        <v>663</v>
      </c>
      <c r="V32" s="99">
        <v>9</v>
      </c>
      <c r="W32" s="99">
        <v>12</v>
      </c>
      <c r="X32" s="99">
        <v>6</v>
      </c>
      <c r="Y32" s="99">
        <v>16</v>
      </c>
      <c r="Z32" s="99" t="s">
        <v>663</v>
      </c>
      <c r="AA32" s="99" t="s">
        <v>663</v>
      </c>
      <c r="AB32" s="99" t="s">
        <v>663</v>
      </c>
      <c r="AC32" s="99" t="s">
        <v>663</v>
      </c>
      <c r="AD32" s="98" t="s">
        <v>376</v>
      </c>
      <c r="AE32" s="100">
        <v>0.08579210167952792</v>
      </c>
      <c r="AF32" s="100">
        <v>0.16</v>
      </c>
      <c r="AG32" s="98" t="s">
        <v>663</v>
      </c>
      <c r="AH32" s="98" t="s">
        <v>663</v>
      </c>
      <c r="AI32" s="100">
        <v>0.011000000000000001</v>
      </c>
      <c r="AJ32" s="100">
        <v>0.704</v>
      </c>
      <c r="AK32" s="100">
        <v>0.726891</v>
      </c>
      <c r="AL32" s="100">
        <v>0.740678</v>
      </c>
      <c r="AM32" s="100">
        <v>0.463277</v>
      </c>
      <c r="AN32" s="100">
        <v>0.432692</v>
      </c>
      <c r="AO32" s="98">
        <v>1452.5646845211077</v>
      </c>
      <c r="AP32" s="158">
        <v>0.9862932587000001</v>
      </c>
      <c r="AQ32" s="100" t="s">
        <v>663</v>
      </c>
      <c r="AR32" s="100" t="s">
        <v>663</v>
      </c>
      <c r="AS32" s="98">
        <v>453.92646391284615</v>
      </c>
      <c r="AT32" s="98" t="s">
        <v>663</v>
      </c>
      <c r="AU32" s="98" t="s">
        <v>663</v>
      </c>
      <c r="AV32" s="98">
        <v>408.5338175215615</v>
      </c>
      <c r="AW32" s="98">
        <v>544.7117566954154</v>
      </c>
      <c r="AX32" s="98">
        <v>272.3558783477077</v>
      </c>
      <c r="AY32" s="98">
        <v>726.2823422605538</v>
      </c>
      <c r="AZ32" s="98" t="s">
        <v>663</v>
      </c>
      <c r="BA32" s="100" t="s">
        <v>663</v>
      </c>
      <c r="BB32" s="100" t="s">
        <v>663</v>
      </c>
      <c r="BC32" s="100" t="s">
        <v>663</v>
      </c>
      <c r="BD32" s="158">
        <v>0.6746238708</v>
      </c>
      <c r="BE32" s="158">
        <v>1.3923518369999999</v>
      </c>
      <c r="BF32" s="162">
        <v>250</v>
      </c>
      <c r="BG32" s="162">
        <v>238</v>
      </c>
      <c r="BH32" s="162">
        <v>590</v>
      </c>
      <c r="BI32" s="162">
        <v>177</v>
      </c>
      <c r="BJ32" s="162">
        <v>104</v>
      </c>
      <c r="BK32" s="97"/>
      <c r="BL32" s="97"/>
      <c r="BM32" s="97"/>
      <c r="BN32" s="97"/>
    </row>
    <row r="33" spans="1:66" ht="12.75">
      <c r="A33" s="79" t="s">
        <v>647</v>
      </c>
      <c r="B33" s="79" t="s">
        <v>367</v>
      </c>
      <c r="C33" s="79" t="s">
        <v>234</v>
      </c>
      <c r="D33" s="99">
        <v>2883</v>
      </c>
      <c r="E33" s="99">
        <v>440</v>
      </c>
      <c r="F33" s="99" t="s">
        <v>398</v>
      </c>
      <c r="G33" s="99">
        <v>12</v>
      </c>
      <c r="H33" s="99" t="s">
        <v>663</v>
      </c>
      <c r="I33" s="99">
        <v>42</v>
      </c>
      <c r="J33" s="99">
        <v>271</v>
      </c>
      <c r="K33" s="99" t="s">
        <v>663</v>
      </c>
      <c r="L33" s="99">
        <v>573</v>
      </c>
      <c r="M33" s="99">
        <v>182</v>
      </c>
      <c r="N33" s="99">
        <v>98</v>
      </c>
      <c r="O33" s="99">
        <v>51</v>
      </c>
      <c r="P33" s="159">
        <v>51</v>
      </c>
      <c r="Q33" s="99" t="s">
        <v>663</v>
      </c>
      <c r="R33" s="99">
        <v>12</v>
      </c>
      <c r="S33" s="99">
        <v>20</v>
      </c>
      <c r="T33" s="99">
        <v>6</v>
      </c>
      <c r="U33" s="99" t="s">
        <v>663</v>
      </c>
      <c r="V33" s="99" t="s">
        <v>663</v>
      </c>
      <c r="W33" s="99">
        <v>23</v>
      </c>
      <c r="X33" s="99">
        <v>7</v>
      </c>
      <c r="Y33" s="99">
        <v>35</v>
      </c>
      <c r="Z33" s="99">
        <v>20</v>
      </c>
      <c r="AA33" s="99" t="s">
        <v>663</v>
      </c>
      <c r="AB33" s="99" t="s">
        <v>663</v>
      </c>
      <c r="AC33" s="99" t="s">
        <v>663</v>
      </c>
      <c r="AD33" s="98" t="s">
        <v>376</v>
      </c>
      <c r="AE33" s="100">
        <v>0.15261879986125565</v>
      </c>
      <c r="AF33" s="100">
        <v>0.15</v>
      </c>
      <c r="AG33" s="98">
        <v>416.2330905306972</v>
      </c>
      <c r="AH33" s="98" t="s">
        <v>663</v>
      </c>
      <c r="AI33" s="100">
        <v>0.015</v>
      </c>
      <c r="AJ33" s="100">
        <v>0.761236</v>
      </c>
      <c r="AK33" s="100" t="s">
        <v>663</v>
      </c>
      <c r="AL33" s="100">
        <v>0.84141</v>
      </c>
      <c r="AM33" s="100">
        <v>0.530612</v>
      </c>
      <c r="AN33" s="100">
        <v>0.515789</v>
      </c>
      <c r="AO33" s="98">
        <v>1768.9906347554631</v>
      </c>
      <c r="AP33" s="158">
        <v>0.9997428130999999</v>
      </c>
      <c r="AQ33" s="100" t="s">
        <v>663</v>
      </c>
      <c r="AR33" s="100" t="s">
        <v>663</v>
      </c>
      <c r="AS33" s="98">
        <v>693.721817551162</v>
      </c>
      <c r="AT33" s="98">
        <v>208.1165452653486</v>
      </c>
      <c r="AU33" s="98" t="s">
        <v>663</v>
      </c>
      <c r="AV33" s="98" t="s">
        <v>663</v>
      </c>
      <c r="AW33" s="98">
        <v>797.7800901838363</v>
      </c>
      <c r="AX33" s="98">
        <v>242.8026361429067</v>
      </c>
      <c r="AY33" s="98">
        <v>1214.0131807145335</v>
      </c>
      <c r="AZ33" s="98">
        <v>693.721817551162</v>
      </c>
      <c r="BA33" s="100" t="s">
        <v>663</v>
      </c>
      <c r="BB33" s="100" t="s">
        <v>663</v>
      </c>
      <c r="BC33" s="100" t="s">
        <v>663</v>
      </c>
      <c r="BD33" s="158">
        <v>0.7443741608000001</v>
      </c>
      <c r="BE33" s="158">
        <v>1.314477081</v>
      </c>
      <c r="BF33" s="162">
        <v>356</v>
      </c>
      <c r="BG33" s="162" t="s">
        <v>663</v>
      </c>
      <c r="BH33" s="162">
        <v>681</v>
      </c>
      <c r="BI33" s="162">
        <v>343</v>
      </c>
      <c r="BJ33" s="162">
        <v>190</v>
      </c>
      <c r="BK33" s="97"/>
      <c r="BL33" s="97"/>
      <c r="BM33" s="97"/>
      <c r="BN33" s="97"/>
    </row>
    <row r="34" spans="1:66" ht="12.75">
      <c r="A34" s="79" t="s">
        <v>642</v>
      </c>
      <c r="B34" s="79" t="s">
        <v>362</v>
      </c>
      <c r="C34" s="79" t="s">
        <v>234</v>
      </c>
      <c r="D34" s="99">
        <v>2067</v>
      </c>
      <c r="E34" s="99">
        <v>153</v>
      </c>
      <c r="F34" s="99" t="s">
        <v>398</v>
      </c>
      <c r="G34" s="99" t="s">
        <v>663</v>
      </c>
      <c r="H34" s="99" t="s">
        <v>663</v>
      </c>
      <c r="I34" s="99">
        <v>20</v>
      </c>
      <c r="J34" s="99">
        <v>158</v>
      </c>
      <c r="K34" s="99">
        <v>152</v>
      </c>
      <c r="L34" s="99">
        <v>389</v>
      </c>
      <c r="M34" s="99">
        <v>71</v>
      </c>
      <c r="N34" s="99">
        <v>44</v>
      </c>
      <c r="O34" s="99">
        <v>67</v>
      </c>
      <c r="P34" s="159">
        <v>67</v>
      </c>
      <c r="Q34" s="99" t="s">
        <v>663</v>
      </c>
      <c r="R34" s="99">
        <v>9</v>
      </c>
      <c r="S34" s="99">
        <v>13</v>
      </c>
      <c r="T34" s="99" t="s">
        <v>663</v>
      </c>
      <c r="U34" s="99" t="s">
        <v>663</v>
      </c>
      <c r="V34" s="99">
        <v>19</v>
      </c>
      <c r="W34" s="99" t="s">
        <v>663</v>
      </c>
      <c r="X34" s="99">
        <v>6</v>
      </c>
      <c r="Y34" s="99">
        <v>24</v>
      </c>
      <c r="Z34" s="99" t="s">
        <v>663</v>
      </c>
      <c r="AA34" s="99" t="s">
        <v>663</v>
      </c>
      <c r="AB34" s="99" t="s">
        <v>663</v>
      </c>
      <c r="AC34" s="99" t="s">
        <v>663</v>
      </c>
      <c r="AD34" s="98" t="s">
        <v>376</v>
      </c>
      <c r="AE34" s="100">
        <v>0.07402031930333818</v>
      </c>
      <c r="AF34" s="100">
        <v>0.16</v>
      </c>
      <c r="AG34" s="98" t="s">
        <v>663</v>
      </c>
      <c r="AH34" s="98" t="s">
        <v>663</v>
      </c>
      <c r="AI34" s="100">
        <v>0.01</v>
      </c>
      <c r="AJ34" s="100">
        <v>0.741784</v>
      </c>
      <c r="AK34" s="100">
        <v>0.752475</v>
      </c>
      <c r="AL34" s="100">
        <v>0.729831</v>
      </c>
      <c r="AM34" s="100">
        <v>0.464052</v>
      </c>
      <c r="AN34" s="100">
        <v>0.52381</v>
      </c>
      <c r="AO34" s="98">
        <v>3241.4126753749397</v>
      </c>
      <c r="AP34" s="158">
        <v>2.314694061</v>
      </c>
      <c r="AQ34" s="100" t="s">
        <v>663</v>
      </c>
      <c r="AR34" s="100" t="s">
        <v>663</v>
      </c>
      <c r="AS34" s="98">
        <v>628.930817610063</v>
      </c>
      <c r="AT34" s="98" t="s">
        <v>663</v>
      </c>
      <c r="AU34" s="98" t="s">
        <v>663</v>
      </c>
      <c r="AV34" s="98">
        <v>919.206579583938</v>
      </c>
      <c r="AW34" s="98" t="s">
        <v>663</v>
      </c>
      <c r="AX34" s="98">
        <v>290.2757619738752</v>
      </c>
      <c r="AY34" s="98">
        <v>1161.1030478955008</v>
      </c>
      <c r="AZ34" s="98" t="s">
        <v>663</v>
      </c>
      <c r="BA34" s="100" t="s">
        <v>663</v>
      </c>
      <c r="BB34" s="100" t="s">
        <v>663</v>
      </c>
      <c r="BC34" s="100" t="s">
        <v>663</v>
      </c>
      <c r="BD34" s="158">
        <v>1.793856049</v>
      </c>
      <c r="BE34" s="158">
        <v>2.939579468</v>
      </c>
      <c r="BF34" s="162">
        <v>213</v>
      </c>
      <c r="BG34" s="162">
        <v>202</v>
      </c>
      <c r="BH34" s="162">
        <v>533</v>
      </c>
      <c r="BI34" s="162">
        <v>153</v>
      </c>
      <c r="BJ34" s="162">
        <v>84</v>
      </c>
      <c r="BK34" s="97"/>
      <c r="BL34" s="97"/>
      <c r="BM34" s="97"/>
      <c r="BN34" s="97"/>
    </row>
    <row r="35" spans="1:66" ht="12.75">
      <c r="A35" s="79" t="s">
        <v>610</v>
      </c>
      <c r="B35" s="79" t="s">
        <v>330</v>
      </c>
      <c r="C35" s="79" t="s">
        <v>234</v>
      </c>
      <c r="D35" s="99">
        <v>2328</v>
      </c>
      <c r="E35" s="99">
        <v>463</v>
      </c>
      <c r="F35" s="99" t="s">
        <v>398</v>
      </c>
      <c r="G35" s="99" t="s">
        <v>663</v>
      </c>
      <c r="H35" s="99">
        <v>8</v>
      </c>
      <c r="I35" s="99">
        <v>37</v>
      </c>
      <c r="J35" s="99">
        <v>218</v>
      </c>
      <c r="K35" s="99" t="s">
        <v>663</v>
      </c>
      <c r="L35" s="99">
        <v>447</v>
      </c>
      <c r="M35" s="99">
        <v>151</v>
      </c>
      <c r="N35" s="99">
        <v>88</v>
      </c>
      <c r="O35" s="99">
        <v>23</v>
      </c>
      <c r="P35" s="159">
        <v>23</v>
      </c>
      <c r="Q35" s="99">
        <v>7</v>
      </c>
      <c r="R35" s="99">
        <v>16</v>
      </c>
      <c r="S35" s="99" t="s">
        <v>663</v>
      </c>
      <c r="T35" s="99" t="s">
        <v>663</v>
      </c>
      <c r="U35" s="99" t="s">
        <v>663</v>
      </c>
      <c r="V35" s="99" t="s">
        <v>663</v>
      </c>
      <c r="W35" s="99">
        <v>18</v>
      </c>
      <c r="X35" s="99" t="s">
        <v>663</v>
      </c>
      <c r="Y35" s="99">
        <v>19</v>
      </c>
      <c r="Z35" s="99">
        <v>10</v>
      </c>
      <c r="AA35" s="99" t="s">
        <v>663</v>
      </c>
      <c r="AB35" s="99" t="s">
        <v>663</v>
      </c>
      <c r="AC35" s="99" t="s">
        <v>663</v>
      </c>
      <c r="AD35" s="98" t="s">
        <v>376</v>
      </c>
      <c r="AE35" s="100">
        <v>0.19888316151202748</v>
      </c>
      <c r="AF35" s="100">
        <v>0.13</v>
      </c>
      <c r="AG35" s="98" t="s">
        <v>663</v>
      </c>
      <c r="AH35" s="98">
        <v>343.64261168384877</v>
      </c>
      <c r="AI35" s="100">
        <v>0.016</v>
      </c>
      <c r="AJ35" s="100">
        <v>0.694268</v>
      </c>
      <c r="AK35" s="100" t="s">
        <v>663</v>
      </c>
      <c r="AL35" s="100">
        <v>0.802513</v>
      </c>
      <c r="AM35" s="100">
        <v>0.508418</v>
      </c>
      <c r="AN35" s="100">
        <v>0.526946</v>
      </c>
      <c r="AO35" s="98">
        <v>987.9725085910653</v>
      </c>
      <c r="AP35" s="158">
        <v>0.47834182740000003</v>
      </c>
      <c r="AQ35" s="100">
        <v>0.30434782608695654</v>
      </c>
      <c r="AR35" s="100">
        <v>0.4375</v>
      </c>
      <c r="AS35" s="98" t="s">
        <v>663</v>
      </c>
      <c r="AT35" s="98" t="s">
        <v>663</v>
      </c>
      <c r="AU35" s="98" t="s">
        <v>663</v>
      </c>
      <c r="AV35" s="98" t="s">
        <v>663</v>
      </c>
      <c r="AW35" s="98">
        <v>773.1958762886597</v>
      </c>
      <c r="AX35" s="98" t="s">
        <v>663</v>
      </c>
      <c r="AY35" s="98">
        <v>816.1512027491409</v>
      </c>
      <c r="AZ35" s="98">
        <v>429.553264604811</v>
      </c>
      <c r="BA35" s="100" t="s">
        <v>663</v>
      </c>
      <c r="BB35" s="100" t="s">
        <v>663</v>
      </c>
      <c r="BC35" s="100" t="s">
        <v>663</v>
      </c>
      <c r="BD35" s="158">
        <v>0.3032276917</v>
      </c>
      <c r="BE35" s="158">
        <v>0.7177475739000001</v>
      </c>
      <c r="BF35" s="162">
        <v>314</v>
      </c>
      <c r="BG35" s="162" t="s">
        <v>663</v>
      </c>
      <c r="BH35" s="162">
        <v>557</v>
      </c>
      <c r="BI35" s="162">
        <v>297</v>
      </c>
      <c r="BJ35" s="162">
        <v>167</v>
      </c>
      <c r="BK35" s="97"/>
      <c r="BL35" s="97"/>
      <c r="BM35" s="97"/>
      <c r="BN35" s="97"/>
    </row>
    <row r="36" spans="1:66" ht="12.75">
      <c r="A36" s="79" t="s">
        <v>641</v>
      </c>
      <c r="B36" s="79" t="s">
        <v>361</v>
      </c>
      <c r="C36" s="79" t="s">
        <v>234</v>
      </c>
      <c r="D36" s="99">
        <v>1816</v>
      </c>
      <c r="E36" s="99">
        <v>134</v>
      </c>
      <c r="F36" s="99" t="s">
        <v>398</v>
      </c>
      <c r="G36" s="99" t="s">
        <v>663</v>
      </c>
      <c r="H36" s="99" t="s">
        <v>663</v>
      </c>
      <c r="I36" s="99">
        <v>18</v>
      </c>
      <c r="J36" s="99">
        <v>157</v>
      </c>
      <c r="K36" s="99">
        <v>145</v>
      </c>
      <c r="L36" s="99">
        <v>379</v>
      </c>
      <c r="M36" s="99">
        <v>77</v>
      </c>
      <c r="N36" s="99">
        <v>39</v>
      </c>
      <c r="O36" s="99">
        <v>10</v>
      </c>
      <c r="P36" s="159">
        <v>10</v>
      </c>
      <c r="Q36" s="99" t="s">
        <v>663</v>
      </c>
      <c r="R36" s="99">
        <v>7</v>
      </c>
      <c r="S36" s="99" t="s">
        <v>663</v>
      </c>
      <c r="T36" s="99" t="s">
        <v>663</v>
      </c>
      <c r="U36" s="99" t="s">
        <v>663</v>
      </c>
      <c r="V36" s="99" t="s">
        <v>663</v>
      </c>
      <c r="W36" s="99" t="s">
        <v>663</v>
      </c>
      <c r="X36" s="99" t="s">
        <v>663</v>
      </c>
      <c r="Y36" s="99">
        <v>20</v>
      </c>
      <c r="Z36" s="99">
        <v>7</v>
      </c>
      <c r="AA36" s="99" t="s">
        <v>663</v>
      </c>
      <c r="AB36" s="99" t="s">
        <v>663</v>
      </c>
      <c r="AC36" s="99" t="s">
        <v>663</v>
      </c>
      <c r="AD36" s="98" t="s">
        <v>376</v>
      </c>
      <c r="AE36" s="100">
        <v>0.07378854625550661</v>
      </c>
      <c r="AF36" s="100">
        <v>0.15</v>
      </c>
      <c r="AG36" s="98" t="s">
        <v>663</v>
      </c>
      <c r="AH36" s="98" t="s">
        <v>663</v>
      </c>
      <c r="AI36" s="100">
        <v>0.01</v>
      </c>
      <c r="AJ36" s="100">
        <v>0.726852</v>
      </c>
      <c r="AK36" s="100">
        <v>0.707317</v>
      </c>
      <c r="AL36" s="100">
        <v>0.781443</v>
      </c>
      <c r="AM36" s="100">
        <v>0.566176</v>
      </c>
      <c r="AN36" s="100">
        <v>0.534247</v>
      </c>
      <c r="AO36" s="98">
        <v>550.6607929515418</v>
      </c>
      <c r="AP36" s="158">
        <v>0.37042385099999997</v>
      </c>
      <c r="AQ36" s="100" t="s">
        <v>663</v>
      </c>
      <c r="AR36" s="100" t="s">
        <v>663</v>
      </c>
      <c r="AS36" s="98" t="s">
        <v>663</v>
      </c>
      <c r="AT36" s="98" t="s">
        <v>663</v>
      </c>
      <c r="AU36" s="98" t="s">
        <v>663</v>
      </c>
      <c r="AV36" s="98" t="s">
        <v>663</v>
      </c>
      <c r="AW36" s="98" t="s">
        <v>663</v>
      </c>
      <c r="AX36" s="98" t="s">
        <v>663</v>
      </c>
      <c r="AY36" s="98">
        <v>1101.3215859030836</v>
      </c>
      <c r="AZ36" s="98">
        <v>385.4625550660793</v>
      </c>
      <c r="BA36" s="100" t="s">
        <v>663</v>
      </c>
      <c r="BB36" s="100" t="s">
        <v>663</v>
      </c>
      <c r="BC36" s="100" t="s">
        <v>663</v>
      </c>
      <c r="BD36" s="158">
        <v>0.17763263699999998</v>
      </c>
      <c r="BE36" s="158">
        <v>0.6812226868000001</v>
      </c>
      <c r="BF36" s="162">
        <v>216</v>
      </c>
      <c r="BG36" s="162">
        <v>205</v>
      </c>
      <c r="BH36" s="162">
        <v>485</v>
      </c>
      <c r="BI36" s="162">
        <v>136</v>
      </c>
      <c r="BJ36" s="162">
        <v>73</v>
      </c>
      <c r="BK36" s="97"/>
      <c r="BL36" s="97"/>
      <c r="BM36" s="97"/>
      <c r="BN36" s="97"/>
    </row>
    <row r="37" spans="1:66" ht="12.75">
      <c r="A37" s="79" t="s">
        <v>655</v>
      </c>
      <c r="B37" s="79" t="s">
        <v>558</v>
      </c>
      <c r="C37" s="79" t="s">
        <v>234</v>
      </c>
      <c r="D37" s="99">
        <v>1465</v>
      </c>
      <c r="E37" s="99">
        <v>310</v>
      </c>
      <c r="F37" s="99" t="s">
        <v>397</v>
      </c>
      <c r="G37" s="99" t="s">
        <v>663</v>
      </c>
      <c r="H37" s="99" t="s">
        <v>663</v>
      </c>
      <c r="I37" s="99">
        <v>26</v>
      </c>
      <c r="J37" s="99" t="s">
        <v>376</v>
      </c>
      <c r="K37" s="99" t="s">
        <v>376</v>
      </c>
      <c r="L37" s="99" t="s">
        <v>376</v>
      </c>
      <c r="M37" s="99">
        <v>109</v>
      </c>
      <c r="N37" s="99">
        <v>69</v>
      </c>
      <c r="O37" s="99">
        <v>24</v>
      </c>
      <c r="P37" s="159">
        <v>24</v>
      </c>
      <c r="Q37" s="99" t="s">
        <v>663</v>
      </c>
      <c r="R37" s="99">
        <v>10</v>
      </c>
      <c r="S37" s="99" t="s">
        <v>663</v>
      </c>
      <c r="T37" s="99" t="s">
        <v>663</v>
      </c>
      <c r="U37" s="99" t="s">
        <v>663</v>
      </c>
      <c r="V37" s="99" t="s">
        <v>663</v>
      </c>
      <c r="W37" s="99" t="s">
        <v>663</v>
      </c>
      <c r="X37" s="99">
        <v>6</v>
      </c>
      <c r="Y37" s="99">
        <v>24</v>
      </c>
      <c r="Z37" s="99">
        <v>10</v>
      </c>
      <c r="AA37" s="99" t="s">
        <v>663</v>
      </c>
      <c r="AB37" s="99" t="s">
        <v>663</v>
      </c>
      <c r="AC37" s="99" t="s">
        <v>663</v>
      </c>
      <c r="AD37" s="98" t="s">
        <v>376</v>
      </c>
      <c r="AE37" s="100">
        <v>0.21160409556313994</v>
      </c>
      <c r="AF37" s="100">
        <v>0.12</v>
      </c>
      <c r="AG37" s="98" t="s">
        <v>663</v>
      </c>
      <c r="AH37" s="98" t="s">
        <v>663</v>
      </c>
      <c r="AI37" s="100">
        <v>0.018000000000000002</v>
      </c>
      <c r="AJ37" s="100" t="s">
        <v>376</v>
      </c>
      <c r="AK37" s="100" t="s">
        <v>376</v>
      </c>
      <c r="AL37" s="100" t="s">
        <v>376</v>
      </c>
      <c r="AM37" s="100">
        <v>0.57672</v>
      </c>
      <c r="AN37" s="100">
        <v>0.638889</v>
      </c>
      <c r="AO37" s="98">
        <v>1638.2252559726962</v>
      </c>
      <c r="AP37" s="158">
        <v>0.7859276581</v>
      </c>
      <c r="AQ37" s="100" t="s">
        <v>663</v>
      </c>
      <c r="AR37" s="100" t="s">
        <v>663</v>
      </c>
      <c r="AS37" s="98" t="s">
        <v>663</v>
      </c>
      <c r="AT37" s="98" t="s">
        <v>663</v>
      </c>
      <c r="AU37" s="98" t="s">
        <v>663</v>
      </c>
      <c r="AV37" s="98" t="s">
        <v>663</v>
      </c>
      <c r="AW37" s="98" t="s">
        <v>663</v>
      </c>
      <c r="AX37" s="98">
        <v>409.55631399317406</v>
      </c>
      <c r="AY37" s="98">
        <v>1638.2252559726962</v>
      </c>
      <c r="AZ37" s="98">
        <v>682.5938566552901</v>
      </c>
      <c r="BA37" s="100" t="s">
        <v>663</v>
      </c>
      <c r="BB37" s="100" t="s">
        <v>663</v>
      </c>
      <c r="BC37" s="100" t="s">
        <v>663</v>
      </c>
      <c r="BD37" s="158">
        <v>0.5035586929</v>
      </c>
      <c r="BE37" s="158">
        <v>1.169398041</v>
      </c>
      <c r="BF37" s="162" t="s">
        <v>376</v>
      </c>
      <c r="BG37" s="162" t="s">
        <v>376</v>
      </c>
      <c r="BH37" s="162" t="s">
        <v>376</v>
      </c>
      <c r="BI37" s="162">
        <v>189</v>
      </c>
      <c r="BJ37" s="162">
        <v>108</v>
      </c>
      <c r="BK37" s="97"/>
      <c r="BL37" s="97"/>
      <c r="BM37" s="97"/>
      <c r="BN37" s="97"/>
    </row>
    <row r="38" spans="1:66" ht="12.75">
      <c r="A38" s="79" t="s">
        <v>650</v>
      </c>
      <c r="B38" s="79" t="s">
        <v>370</v>
      </c>
      <c r="C38" s="79" t="s">
        <v>234</v>
      </c>
      <c r="D38" s="99">
        <v>2548</v>
      </c>
      <c r="E38" s="99">
        <v>323</v>
      </c>
      <c r="F38" s="99" t="s">
        <v>397</v>
      </c>
      <c r="G38" s="99" t="s">
        <v>663</v>
      </c>
      <c r="H38" s="99" t="s">
        <v>663</v>
      </c>
      <c r="I38" s="99">
        <v>33</v>
      </c>
      <c r="J38" s="99">
        <v>220</v>
      </c>
      <c r="K38" s="99">
        <v>208</v>
      </c>
      <c r="L38" s="99">
        <v>499</v>
      </c>
      <c r="M38" s="99">
        <v>145</v>
      </c>
      <c r="N38" s="99">
        <v>92</v>
      </c>
      <c r="O38" s="99">
        <v>11</v>
      </c>
      <c r="P38" s="159">
        <v>11</v>
      </c>
      <c r="Q38" s="99" t="s">
        <v>663</v>
      </c>
      <c r="R38" s="99">
        <v>10</v>
      </c>
      <c r="S38" s="99" t="s">
        <v>663</v>
      </c>
      <c r="T38" s="99" t="s">
        <v>663</v>
      </c>
      <c r="U38" s="99" t="s">
        <v>663</v>
      </c>
      <c r="V38" s="99" t="s">
        <v>663</v>
      </c>
      <c r="W38" s="99">
        <v>6</v>
      </c>
      <c r="X38" s="99" t="s">
        <v>663</v>
      </c>
      <c r="Y38" s="99" t="s">
        <v>663</v>
      </c>
      <c r="Z38" s="99">
        <v>15</v>
      </c>
      <c r="AA38" s="99" t="s">
        <v>663</v>
      </c>
      <c r="AB38" s="99" t="s">
        <v>663</v>
      </c>
      <c r="AC38" s="99" t="s">
        <v>663</v>
      </c>
      <c r="AD38" s="98" t="s">
        <v>376</v>
      </c>
      <c r="AE38" s="100">
        <v>0.12676609105180534</v>
      </c>
      <c r="AF38" s="100">
        <v>0.11</v>
      </c>
      <c r="AG38" s="98" t="s">
        <v>663</v>
      </c>
      <c r="AH38" s="98" t="s">
        <v>663</v>
      </c>
      <c r="AI38" s="100">
        <v>0.013000000000000001</v>
      </c>
      <c r="AJ38" s="100">
        <v>0.711974</v>
      </c>
      <c r="AK38" s="100">
        <v>0.722222</v>
      </c>
      <c r="AL38" s="100">
        <v>0.768875</v>
      </c>
      <c r="AM38" s="100">
        <v>0.54717</v>
      </c>
      <c r="AN38" s="100">
        <v>0.547619</v>
      </c>
      <c r="AO38" s="98">
        <v>431.7111459968603</v>
      </c>
      <c r="AP38" s="158">
        <v>0.2532345581</v>
      </c>
      <c r="AQ38" s="100" t="s">
        <v>663</v>
      </c>
      <c r="AR38" s="100" t="s">
        <v>663</v>
      </c>
      <c r="AS38" s="98" t="s">
        <v>663</v>
      </c>
      <c r="AT38" s="98" t="s">
        <v>663</v>
      </c>
      <c r="AU38" s="98" t="s">
        <v>663</v>
      </c>
      <c r="AV38" s="98" t="s">
        <v>663</v>
      </c>
      <c r="AW38" s="98">
        <v>235.47880690737833</v>
      </c>
      <c r="AX38" s="98" t="s">
        <v>663</v>
      </c>
      <c r="AY38" s="98" t="s">
        <v>663</v>
      </c>
      <c r="AZ38" s="98">
        <v>588.6970172684458</v>
      </c>
      <c r="BA38" s="100" t="s">
        <v>663</v>
      </c>
      <c r="BB38" s="100" t="s">
        <v>663</v>
      </c>
      <c r="BC38" s="100" t="s">
        <v>663</v>
      </c>
      <c r="BD38" s="158">
        <v>0.1264137745</v>
      </c>
      <c r="BE38" s="158">
        <v>0.45310657499999996</v>
      </c>
      <c r="BF38" s="162">
        <v>309</v>
      </c>
      <c r="BG38" s="162">
        <v>288</v>
      </c>
      <c r="BH38" s="162">
        <v>649</v>
      </c>
      <c r="BI38" s="162">
        <v>265</v>
      </c>
      <c r="BJ38" s="162">
        <v>168</v>
      </c>
      <c r="BK38" s="97"/>
      <c r="BL38" s="97"/>
      <c r="BM38" s="97"/>
      <c r="BN38" s="97"/>
    </row>
    <row r="39" spans="1:66" ht="12.75">
      <c r="A39" s="79" t="s">
        <v>643</v>
      </c>
      <c r="B39" s="79" t="s">
        <v>363</v>
      </c>
      <c r="C39" s="79" t="s">
        <v>234</v>
      </c>
      <c r="D39" s="99">
        <v>4034</v>
      </c>
      <c r="E39" s="99">
        <v>488</v>
      </c>
      <c r="F39" s="99" t="s">
        <v>398</v>
      </c>
      <c r="G39" s="99">
        <v>12</v>
      </c>
      <c r="H39" s="99" t="s">
        <v>663</v>
      </c>
      <c r="I39" s="99">
        <v>57</v>
      </c>
      <c r="J39" s="99">
        <v>333</v>
      </c>
      <c r="K39" s="99">
        <v>10</v>
      </c>
      <c r="L39" s="99">
        <v>871</v>
      </c>
      <c r="M39" s="99">
        <v>196</v>
      </c>
      <c r="N39" s="99">
        <v>124</v>
      </c>
      <c r="O39" s="99">
        <v>105</v>
      </c>
      <c r="P39" s="159">
        <v>105</v>
      </c>
      <c r="Q39" s="99">
        <v>12</v>
      </c>
      <c r="R39" s="99">
        <v>24</v>
      </c>
      <c r="S39" s="99">
        <v>18</v>
      </c>
      <c r="T39" s="99">
        <v>10</v>
      </c>
      <c r="U39" s="99" t="s">
        <v>663</v>
      </c>
      <c r="V39" s="99">
        <v>32</v>
      </c>
      <c r="W39" s="99">
        <v>32</v>
      </c>
      <c r="X39" s="99">
        <v>7</v>
      </c>
      <c r="Y39" s="99">
        <v>45</v>
      </c>
      <c r="Z39" s="99">
        <v>21</v>
      </c>
      <c r="AA39" s="99" t="s">
        <v>663</v>
      </c>
      <c r="AB39" s="99" t="s">
        <v>663</v>
      </c>
      <c r="AC39" s="99" t="s">
        <v>663</v>
      </c>
      <c r="AD39" s="98" t="s">
        <v>376</v>
      </c>
      <c r="AE39" s="100">
        <v>0.12097174020823004</v>
      </c>
      <c r="AF39" s="100">
        <v>0.14</v>
      </c>
      <c r="AG39" s="98">
        <v>297.4714923153198</v>
      </c>
      <c r="AH39" s="98" t="s">
        <v>663</v>
      </c>
      <c r="AI39" s="100">
        <v>0.013999999999999999</v>
      </c>
      <c r="AJ39" s="100">
        <v>0.722343</v>
      </c>
      <c r="AK39" s="100">
        <v>0.833333</v>
      </c>
      <c r="AL39" s="100">
        <v>0.839923</v>
      </c>
      <c r="AM39" s="100">
        <v>0.547486</v>
      </c>
      <c r="AN39" s="100">
        <v>0.593301</v>
      </c>
      <c r="AO39" s="98">
        <v>2602.875557759048</v>
      </c>
      <c r="AP39" s="158">
        <v>1.545023041</v>
      </c>
      <c r="AQ39" s="100">
        <v>0.11428571428571428</v>
      </c>
      <c r="AR39" s="100">
        <v>0.5</v>
      </c>
      <c r="AS39" s="98">
        <v>446.20723847297967</v>
      </c>
      <c r="AT39" s="98">
        <v>247.8929102627665</v>
      </c>
      <c r="AU39" s="98" t="s">
        <v>663</v>
      </c>
      <c r="AV39" s="98">
        <v>793.2573128408527</v>
      </c>
      <c r="AW39" s="98">
        <v>793.2573128408527</v>
      </c>
      <c r="AX39" s="98">
        <v>173.52503718393655</v>
      </c>
      <c r="AY39" s="98">
        <v>1115.5180961824492</v>
      </c>
      <c r="AZ39" s="98">
        <v>520.5751115518096</v>
      </c>
      <c r="BA39" s="100" t="s">
        <v>663</v>
      </c>
      <c r="BB39" s="100" t="s">
        <v>663</v>
      </c>
      <c r="BC39" s="100" t="s">
        <v>663</v>
      </c>
      <c r="BD39" s="158">
        <v>1.263675766</v>
      </c>
      <c r="BE39" s="158">
        <v>1.8703445429999999</v>
      </c>
      <c r="BF39" s="162">
        <v>461</v>
      </c>
      <c r="BG39" s="162">
        <v>12</v>
      </c>
      <c r="BH39" s="162">
        <v>1037</v>
      </c>
      <c r="BI39" s="162">
        <v>358</v>
      </c>
      <c r="BJ39" s="162">
        <v>209</v>
      </c>
      <c r="BK39" s="97"/>
      <c r="BL39" s="97"/>
      <c r="BM39" s="97"/>
      <c r="BN39" s="97"/>
    </row>
    <row r="40" spans="1:66" ht="12.75">
      <c r="A40" s="79" t="s">
        <v>637</v>
      </c>
      <c r="B40" s="79" t="s">
        <v>357</v>
      </c>
      <c r="C40" s="79" t="s">
        <v>234</v>
      </c>
      <c r="D40" s="99">
        <v>3974</v>
      </c>
      <c r="E40" s="99">
        <v>832</v>
      </c>
      <c r="F40" s="99" t="s">
        <v>397</v>
      </c>
      <c r="G40" s="99">
        <v>14</v>
      </c>
      <c r="H40" s="99">
        <v>9</v>
      </c>
      <c r="I40" s="99">
        <v>90</v>
      </c>
      <c r="J40" s="99">
        <v>460</v>
      </c>
      <c r="K40" s="99">
        <v>448</v>
      </c>
      <c r="L40" s="99">
        <v>784</v>
      </c>
      <c r="M40" s="99">
        <v>406</v>
      </c>
      <c r="N40" s="99">
        <v>236</v>
      </c>
      <c r="O40" s="99">
        <v>85</v>
      </c>
      <c r="P40" s="159">
        <v>85</v>
      </c>
      <c r="Q40" s="99">
        <v>6</v>
      </c>
      <c r="R40" s="99">
        <v>18</v>
      </c>
      <c r="S40" s="99">
        <v>26</v>
      </c>
      <c r="T40" s="99">
        <v>18</v>
      </c>
      <c r="U40" s="99" t="s">
        <v>663</v>
      </c>
      <c r="V40" s="99">
        <v>8</v>
      </c>
      <c r="W40" s="99">
        <v>18</v>
      </c>
      <c r="X40" s="99">
        <v>39</v>
      </c>
      <c r="Y40" s="99">
        <v>52</v>
      </c>
      <c r="Z40" s="99">
        <v>33</v>
      </c>
      <c r="AA40" s="99" t="s">
        <v>663</v>
      </c>
      <c r="AB40" s="99" t="s">
        <v>663</v>
      </c>
      <c r="AC40" s="99" t="s">
        <v>663</v>
      </c>
      <c r="AD40" s="98" t="s">
        <v>376</v>
      </c>
      <c r="AE40" s="100">
        <v>0.2093608454957222</v>
      </c>
      <c r="AF40" s="100">
        <v>0.09</v>
      </c>
      <c r="AG40" s="98">
        <v>352.28988424760945</v>
      </c>
      <c r="AH40" s="98">
        <v>226.4720684448918</v>
      </c>
      <c r="AI40" s="100">
        <v>0.023</v>
      </c>
      <c r="AJ40" s="100">
        <v>0.784983</v>
      </c>
      <c r="AK40" s="100">
        <v>0.784588</v>
      </c>
      <c r="AL40" s="100">
        <v>0.823529</v>
      </c>
      <c r="AM40" s="100">
        <v>0.611446</v>
      </c>
      <c r="AN40" s="100">
        <v>0.608247</v>
      </c>
      <c r="AO40" s="98">
        <v>2138.9028686462</v>
      </c>
      <c r="AP40" s="158">
        <v>1.040905991</v>
      </c>
      <c r="AQ40" s="100">
        <v>0.07058823529411765</v>
      </c>
      <c r="AR40" s="100">
        <v>0.3333333333333333</v>
      </c>
      <c r="AS40" s="98">
        <v>654.2526421741319</v>
      </c>
      <c r="AT40" s="98">
        <v>452.9441368897836</v>
      </c>
      <c r="AU40" s="98" t="s">
        <v>663</v>
      </c>
      <c r="AV40" s="98">
        <v>201.30850528434826</v>
      </c>
      <c r="AW40" s="98">
        <v>452.9441368897836</v>
      </c>
      <c r="AX40" s="98">
        <v>981.3789632611978</v>
      </c>
      <c r="AY40" s="98">
        <v>1308.5052843482638</v>
      </c>
      <c r="AZ40" s="98">
        <v>830.3975842979365</v>
      </c>
      <c r="BA40" s="100" t="s">
        <v>663</v>
      </c>
      <c r="BB40" s="100" t="s">
        <v>663</v>
      </c>
      <c r="BC40" s="100" t="s">
        <v>663</v>
      </c>
      <c r="BD40" s="158">
        <v>0.8314386749</v>
      </c>
      <c r="BE40" s="158">
        <v>1.287096405</v>
      </c>
      <c r="BF40" s="162">
        <v>586</v>
      </c>
      <c r="BG40" s="162">
        <v>571</v>
      </c>
      <c r="BH40" s="162">
        <v>952</v>
      </c>
      <c r="BI40" s="162">
        <v>664</v>
      </c>
      <c r="BJ40" s="162">
        <v>388</v>
      </c>
      <c r="BK40" s="97"/>
      <c r="BL40" s="97"/>
      <c r="BM40" s="97"/>
      <c r="BN40" s="97"/>
    </row>
    <row r="41" spans="1:66" ht="12.75">
      <c r="A41" s="79" t="s">
        <v>599</v>
      </c>
      <c r="B41" s="79" t="s">
        <v>319</v>
      </c>
      <c r="C41" s="79" t="s">
        <v>234</v>
      </c>
      <c r="D41" s="99">
        <v>7709</v>
      </c>
      <c r="E41" s="99">
        <v>1496</v>
      </c>
      <c r="F41" s="99" t="s">
        <v>399</v>
      </c>
      <c r="G41" s="99">
        <v>33</v>
      </c>
      <c r="H41" s="99">
        <v>17</v>
      </c>
      <c r="I41" s="99">
        <v>177</v>
      </c>
      <c r="J41" s="99">
        <v>834</v>
      </c>
      <c r="K41" s="99">
        <v>8</v>
      </c>
      <c r="L41" s="99">
        <v>1415</v>
      </c>
      <c r="M41" s="99">
        <v>677</v>
      </c>
      <c r="N41" s="99">
        <v>369</v>
      </c>
      <c r="O41" s="99">
        <v>175</v>
      </c>
      <c r="P41" s="159">
        <v>175</v>
      </c>
      <c r="Q41" s="99">
        <v>19</v>
      </c>
      <c r="R41" s="99">
        <v>39</v>
      </c>
      <c r="S41" s="99">
        <v>38</v>
      </c>
      <c r="T41" s="99">
        <v>22</v>
      </c>
      <c r="U41" s="99" t="s">
        <v>663</v>
      </c>
      <c r="V41" s="99">
        <v>42</v>
      </c>
      <c r="W41" s="99">
        <v>50</v>
      </c>
      <c r="X41" s="99">
        <v>16</v>
      </c>
      <c r="Y41" s="99">
        <v>87</v>
      </c>
      <c r="Z41" s="99">
        <v>30</v>
      </c>
      <c r="AA41" s="99" t="s">
        <v>663</v>
      </c>
      <c r="AB41" s="99" t="s">
        <v>663</v>
      </c>
      <c r="AC41" s="99" t="s">
        <v>663</v>
      </c>
      <c r="AD41" s="98" t="s">
        <v>376</v>
      </c>
      <c r="AE41" s="100">
        <v>0.1940588922039175</v>
      </c>
      <c r="AF41" s="100">
        <v>0.06</v>
      </c>
      <c r="AG41" s="98">
        <v>428.07108574393567</v>
      </c>
      <c r="AH41" s="98">
        <v>220.5214684135426</v>
      </c>
      <c r="AI41" s="100">
        <v>0.023</v>
      </c>
      <c r="AJ41" s="100">
        <v>0.741993</v>
      </c>
      <c r="AK41" s="100">
        <v>0.5</v>
      </c>
      <c r="AL41" s="100">
        <v>0.800339</v>
      </c>
      <c r="AM41" s="100">
        <v>0.592301</v>
      </c>
      <c r="AN41" s="100">
        <v>0.615</v>
      </c>
      <c r="AO41" s="98">
        <v>2270.073939551174</v>
      </c>
      <c r="AP41" s="158">
        <v>1.101305008</v>
      </c>
      <c r="AQ41" s="100">
        <v>0.10857142857142857</v>
      </c>
      <c r="AR41" s="100">
        <v>0.48717948717948717</v>
      </c>
      <c r="AS41" s="98">
        <v>492.9303411596835</v>
      </c>
      <c r="AT41" s="98">
        <v>285.38072382929045</v>
      </c>
      <c r="AU41" s="98" t="s">
        <v>663</v>
      </c>
      <c r="AV41" s="98">
        <v>544.8177454922818</v>
      </c>
      <c r="AW41" s="98">
        <v>648.5925541574783</v>
      </c>
      <c r="AX41" s="98">
        <v>207.54961733039303</v>
      </c>
      <c r="AY41" s="98">
        <v>1128.5510442340121</v>
      </c>
      <c r="AZ41" s="98">
        <v>389.155532494487</v>
      </c>
      <c r="BA41" s="100" t="s">
        <v>663</v>
      </c>
      <c r="BB41" s="100" t="s">
        <v>663</v>
      </c>
      <c r="BC41" s="100" t="s">
        <v>663</v>
      </c>
      <c r="BD41" s="158">
        <v>0.9441762543</v>
      </c>
      <c r="BE41" s="158">
        <v>1.277108994</v>
      </c>
      <c r="BF41" s="162">
        <v>1124</v>
      </c>
      <c r="BG41" s="162">
        <v>16</v>
      </c>
      <c r="BH41" s="162">
        <v>1768</v>
      </c>
      <c r="BI41" s="162">
        <v>1143</v>
      </c>
      <c r="BJ41" s="162">
        <v>600</v>
      </c>
      <c r="BK41" s="97"/>
      <c r="BL41" s="97"/>
      <c r="BM41" s="97"/>
      <c r="BN41" s="97"/>
    </row>
    <row r="42" spans="1:66" ht="12.75">
      <c r="A42" s="79" t="s">
        <v>566</v>
      </c>
      <c r="B42" s="79" t="s">
        <v>286</v>
      </c>
      <c r="C42" s="79" t="s">
        <v>234</v>
      </c>
      <c r="D42" s="99">
        <v>10182</v>
      </c>
      <c r="E42" s="99">
        <v>1520</v>
      </c>
      <c r="F42" s="99" t="s">
        <v>396</v>
      </c>
      <c r="G42" s="99">
        <v>43</v>
      </c>
      <c r="H42" s="99">
        <v>23</v>
      </c>
      <c r="I42" s="99">
        <v>96</v>
      </c>
      <c r="J42" s="99">
        <v>694</v>
      </c>
      <c r="K42" s="99" t="s">
        <v>663</v>
      </c>
      <c r="L42" s="99">
        <v>1538</v>
      </c>
      <c r="M42" s="99">
        <v>313</v>
      </c>
      <c r="N42" s="99">
        <v>254</v>
      </c>
      <c r="O42" s="99">
        <v>143</v>
      </c>
      <c r="P42" s="159">
        <v>143</v>
      </c>
      <c r="Q42" s="99">
        <v>14</v>
      </c>
      <c r="R42" s="99">
        <v>27</v>
      </c>
      <c r="S42" s="99">
        <v>34</v>
      </c>
      <c r="T42" s="99">
        <v>25</v>
      </c>
      <c r="U42" s="99">
        <v>9</v>
      </c>
      <c r="V42" s="99">
        <v>8</v>
      </c>
      <c r="W42" s="99">
        <v>43</v>
      </c>
      <c r="X42" s="99">
        <v>65</v>
      </c>
      <c r="Y42" s="99">
        <v>100</v>
      </c>
      <c r="Z42" s="99">
        <v>70</v>
      </c>
      <c r="AA42" s="99" t="s">
        <v>663</v>
      </c>
      <c r="AB42" s="99" t="s">
        <v>663</v>
      </c>
      <c r="AC42" s="99" t="s">
        <v>663</v>
      </c>
      <c r="AD42" s="98" t="s">
        <v>376</v>
      </c>
      <c r="AE42" s="100">
        <v>0.14928304851699076</v>
      </c>
      <c r="AF42" s="100">
        <v>0.2</v>
      </c>
      <c r="AG42" s="98">
        <v>422.31388725201333</v>
      </c>
      <c r="AH42" s="98">
        <v>225.8888234138676</v>
      </c>
      <c r="AI42" s="100">
        <v>0.009000000000000001</v>
      </c>
      <c r="AJ42" s="100">
        <v>0.673786</v>
      </c>
      <c r="AK42" s="100" t="s">
        <v>663</v>
      </c>
      <c r="AL42" s="100">
        <v>0.629554</v>
      </c>
      <c r="AM42" s="100">
        <v>0.362269</v>
      </c>
      <c r="AN42" s="100">
        <v>0.51626</v>
      </c>
      <c r="AO42" s="98">
        <v>1404.439206442742</v>
      </c>
      <c r="AP42" s="158">
        <v>0.8242603302</v>
      </c>
      <c r="AQ42" s="100">
        <v>0.0979020979020979</v>
      </c>
      <c r="AR42" s="100">
        <v>0.5185185185185185</v>
      </c>
      <c r="AS42" s="98">
        <v>333.92260852484776</v>
      </c>
      <c r="AT42" s="98">
        <v>245.5313297976822</v>
      </c>
      <c r="AU42" s="98">
        <v>88.39127872716558</v>
      </c>
      <c r="AV42" s="98">
        <v>78.5700255352583</v>
      </c>
      <c r="AW42" s="98">
        <v>422.31388725201333</v>
      </c>
      <c r="AX42" s="98">
        <v>638.3814574739737</v>
      </c>
      <c r="AY42" s="98">
        <v>982.1253191907288</v>
      </c>
      <c r="AZ42" s="98">
        <v>687.4877234335102</v>
      </c>
      <c r="BA42" s="100" t="s">
        <v>663</v>
      </c>
      <c r="BB42" s="100" t="s">
        <v>663</v>
      </c>
      <c r="BC42" s="100" t="s">
        <v>663</v>
      </c>
      <c r="BD42" s="158">
        <v>0.6947031403</v>
      </c>
      <c r="BE42" s="158">
        <v>0.9709667206</v>
      </c>
      <c r="BF42" s="162">
        <v>1030</v>
      </c>
      <c r="BG42" s="162" t="s">
        <v>663</v>
      </c>
      <c r="BH42" s="162">
        <v>2443</v>
      </c>
      <c r="BI42" s="162">
        <v>864</v>
      </c>
      <c r="BJ42" s="162">
        <v>492</v>
      </c>
      <c r="BK42" s="97"/>
      <c r="BL42" s="97"/>
      <c r="BM42" s="97"/>
      <c r="BN42" s="97"/>
    </row>
    <row r="43" spans="1:66" ht="12.75">
      <c r="A43" s="79" t="s">
        <v>627</v>
      </c>
      <c r="B43" s="79" t="s">
        <v>347</v>
      </c>
      <c r="C43" s="79" t="s">
        <v>234</v>
      </c>
      <c r="D43" s="99">
        <v>8651</v>
      </c>
      <c r="E43" s="99">
        <v>1397</v>
      </c>
      <c r="F43" s="99" t="s">
        <v>398</v>
      </c>
      <c r="G43" s="99">
        <v>51</v>
      </c>
      <c r="H43" s="99">
        <v>20</v>
      </c>
      <c r="I43" s="99">
        <v>204</v>
      </c>
      <c r="J43" s="99">
        <v>707</v>
      </c>
      <c r="K43" s="99">
        <v>10</v>
      </c>
      <c r="L43" s="99">
        <v>1551</v>
      </c>
      <c r="M43" s="99">
        <v>564</v>
      </c>
      <c r="N43" s="99">
        <v>312</v>
      </c>
      <c r="O43" s="99">
        <v>140</v>
      </c>
      <c r="P43" s="159">
        <v>140</v>
      </c>
      <c r="Q43" s="99">
        <v>23</v>
      </c>
      <c r="R43" s="99">
        <v>40</v>
      </c>
      <c r="S43" s="99">
        <v>51</v>
      </c>
      <c r="T43" s="99">
        <v>10</v>
      </c>
      <c r="U43" s="99" t="s">
        <v>663</v>
      </c>
      <c r="V43" s="99">
        <v>21</v>
      </c>
      <c r="W43" s="99">
        <v>60</v>
      </c>
      <c r="X43" s="99">
        <v>31</v>
      </c>
      <c r="Y43" s="99">
        <v>90</v>
      </c>
      <c r="Z43" s="99">
        <v>66</v>
      </c>
      <c r="AA43" s="99" t="s">
        <v>663</v>
      </c>
      <c r="AB43" s="99" t="s">
        <v>663</v>
      </c>
      <c r="AC43" s="99" t="s">
        <v>663</v>
      </c>
      <c r="AD43" s="98" t="s">
        <v>376</v>
      </c>
      <c r="AE43" s="100">
        <v>0.16148422147728586</v>
      </c>
      <c r="AF43" s="100">
        <v>0.14</v>
      </c>
      <c r="AG43" s="98">
        <v>589.5272222864409</v>
      </c>
      <c r="AH43" s="98">
        <v>231.1871459946827</v>
      </c>
      <c r="AI43" s="100">
        <v>0.024</v>
      </c>
      <c r="AJ43" s="100">
        <v>0.691105</v>
      </c>
      <c r="AK43" s="100">
        <v>0.625</v>
      </c>
      <c r="AL43" s="100">
        <v>0.767442</v>
      </c>
      <c r="AM43" s="100">
        <v>0.562874</v>
      </c>
      <c r="AN43" s="100">
        <v>0.583178</v>
      </c>
      <c r="AO43" s="98">
        <v>1618.3100219627788</v>
      </c>
      <c r="AP43" s="158">
        <v>0.8997444916</v>
      </c>
      <c r="AQ43" s="100">
        <v>0.16428571428571428</v>
      </c>
      <c r="AR43" s="100">
        <v>0.575</v>
      </c>
      <c r="AS43" s="98">
        <v>589.5272222864409</v>
      </c>
      <c r="AT43" s="98">
        <v>115.59357299734135</v>
      </c>
      <c r="AU43" s="98" t="s">
        <v>663</v>
      </c>
      <c r="AV43" s="98">
        <v>242.74650329441684</v>
      </c>
      <c r="AW43" s="98">
        <v>693.5614379840481</v>
      </c>
      <c r="AX43" s="98">
        <v>358.3400762917582</v>
      </c>
      <c r="AY43" s="98">
        <v>1040.3421569760721</v>
      </c>
      <c r="AZ43" s="98">
        <v>762.9175817824529</v>
      </c>
      <c r="BA43" s="100" t="s">
        <v>663</v>
      </c>
      <c r="BB43" s="100" t="s">
        <v>663</v>
      </c>
      <c r="BC43" s="100" t="s">
        <v>663</v>
      </c>
      <c r="BD43" s="158">
        <v>0.7568815613</v>
      </c>
      <c r="BE43" s="158">
        <v>1.06173378</v>
      </c>
      <c r="BF43" s="162">
        <v>1023</v>
      </c>
      <c r="BG43" s="162">
        <v>16</v>
      </c>
      <c r="BH43" s="162">
        <v>2021</v>
      </c>
      <c r="BI43" s="162">
        <v>1002</v>
      </c>
      <c r="BJ43" s="162">
        <v>535</v>
      </c>
      <c r="BK43" s="97"/>
      <c r="BL43" s="97"/>
      <c r="BM43" s="97"/>
      <c r="BN43" s="97"/>
    </row>
    <row r="44" spans="1:66" ht="12.75">
      <c r="A44" s="79" t="s">
        <v>569</v>
      </c>
      <c r="B44" s="79" t="s">
        <v>289</v>
      </c>
      <c r="C44" s="79" t="s">
        <v>234</v>
      </c>
      <c r="D44" s="99">
        <v>7173</v>
      </c>
      <c r="E44" s="99">
        <v>1640</v>
      </c>
      <c r="F44" s="99" t="s">
        <v>397</v>
      </c>
      <c r="G44" s="99">
        <v>41</v>
      </c>
      <c r="H44" s="99">
        <v>24</v>
      </c>
      <c r="I44" s="99">
        <v>153</v>
      </c>
      <c r="J44" s="99">
        <v>861</v>
      </c>
      <c r="K44" s="99">
        <v>19</v>
      </c>
      <c r="L44" s="99">
        <v>1399</v>
      </c>
      <c r="M44" s="99">
        <v>586</v>
      </c>
      <c r="N44" s="99">
        <v>364</v>
      </c>
      <c r="O44" s="99">
        <v>178</v>
      </c>
      <c r="P44" s="159">
        <v>178</v>
      </c>
      <c r="Q44" s="99">
        <v>26</v>
      </c>
      <c r="R44" s="99">
        <v>41</v>
      </c>
      <c r="S44" s="99">
        <v>34</v>
      </c>
      <c r="T44" s="99">
        <v>26</v>
      </c>
      <c r="U44" s="99" t="s">
        <v>663</v>
      </c>
      <c r="V44" s="99">
        <v>34</v>
      </c>
      <c r="W44" s="99">
        <v>28</v>
      </c>
      <c r="X44" s="99">
        <v>30</v>
      </c>
      <c r="Y44" s="99">
        <v>73</v>
      </c>
      <c r="Z44" s="99">
        <v>64</v>
      </c>
      <c r="AA44" s="99" t="s">
        <v>663</v>
      </c>
      <c r="AB44" s="99" t="s">
        <v>663</v>
      </c>
      <c r="AC44" s="99" t="s">
        <v>663</v>
      </c>
      <c r="AD44" s="98" t="s">
        <v>376</v>
      </c>
      <c r="AE44" s="100">
        <v>0.22863515962637668</v>
      </c>
      <c r="AF44" s="100">
        <v>0.09</v>
      </c>
      <c r="AG44" s="98">
        <v>571.5878990659418</v>
      </c>
      <c r="AH44" s="98">
        <v>334.5880384776244</v>
      </c>
      <c r="AI44" s="100">
        <v>0.021</v>
      </c>
      <c r="AJ44" s="100">
        <v>0.831884</v>
      </c>
      <c r="AK44" s="100">
        <v>0.575758</v>
      </c>
      <c r="AL44" s="100">
        <v>0.811485</v>
      </c>
      <c r="AM44" s="100">
        <v>0.634886</v>
      </c>
      <c r="AN44" s="100">
        <v>0.62116</v>
      </c>
      <c r="AO44" s="98">
        <v>2481.527952042381</v>
      </c>
      <c r="AP44" s="158">
        <v>1.118899689</v>
      </c>
      <c r="AQ44" s="100">
        <v>0.14606741573033707</v>
      </c>
      <c r="AR44" s="100">
        <v>0.6341463414634146</v>
      </c>
      <c r="AS44" s="98">
        <v>473.9997211766346</v>
      </c>
      <c r="AT44" s="98">
        <v>362.4703750174265</v>
      </c>
      <c r="AU44" s="98" t="s">
        <v>663</v>
      </c>
      <c r="AV44" s="98">
        <v>473.9997211766346</v>
      </c>
      <c r="AW44" s="98">
        <v>390.3527115572285</v>
      </c>
      <c r="AX44" s="98">
        <v>418.23504809703053</v>
      </c>
      <c r="AY44" s="98">
        <v>1017.7052837027743</v>
      </c>
      <c r="AZ44" s="98">
        <v>892.2347692736652</v>
      </c>
      <c r="BA44" s="100" t="s">
        <v>663</v>
      </c>
      <c r="BB44" s="100" t="s">
        <v>663</v>
      </c>
      <c r="BC44" s="100" t="s">
        <v>663</v>
      </c>
      <c r="BD44" s="158">
        <v>0.9605593872</v>
      </c>
      <c r="BE44" s="158">
        <v>1.295889893</v>
      </c>
      <c r="BF44" s="162">
        <v>1035</v>
      </c>
      <c r="BG44" s="162">
        <v>33</v>
      </c>
      <c r="BH44" s="162">
        <v>1724</v>
      </c>
      <c r="BI44" s="162">
        <v>923</v>
      </c>
      <c r="BJ44" s="162">
        <v>586</v>
      </c>
      <c r="BK44" s="97"/>
      <c r="BL44" s="97"/>
      <c r="BM44" s="97"/>
      <c r="BN44" s="97"/>
    </row>
    <row r="45" spans="1:66" ht="12.75">
      <c r="A45" s="79" t="s">
        <v>624</v>
      </c>
      <c r="B45" s="79" t="s">
        <v>344</v>
      </c>
      <c r="C45" s="79" t="s">
        <v>234</v>
      </c>
      <c r="D45" s="99">
        <v>3735</v>
      </c>
      <c r="E45" s="99">
        <v>767</v>
      </c>
      <c r="F45" s="99" t="s">
        <v>397</v>
      </c>
      <c r="G45" s="99">
        <v>21</v>
      </c>
      <c r="H45" s="99">
        <v>12</v>
      </c>
      <c r="I45" s="99">
        <v>76</v>
      </c>
      <c r="J45" s="99">
        <v>392</v>
      </c>
      <c r="K45" s="99" t="s">
        <v>663</v>
      </c>
      <c r="L45" s="99">
        <v>740</v>
      </c>
      <c r="M45" s="99">
        <v>296</v>
      </c>
      <c r="N45" s="99">
        <v>169</v>
      </c>
      <c r="O45" s="99">
        <v>72</v>
      </c>
      <c r="P45" s="159">
        <v>72</v>
      </c>
      <c r="Q45" s="99">
        <v>13</v>
      </c>
      <c r="R45" s="99">
        <v>22</v>
      </c>
      <c r="S45" s="99">
        <v>22</v>
      </c>
      <c r="T45" s="99">
        <v>7</v>
      </c>
      <c r="U45" s="99" t="s">
        <v>663</v>
      </c>
      <c r="V45" s="99">
        <v>9</v>
      </c>
      <c r="W45" s="99">
        <v>32</v>
      </c>
      <c r="X45" s="99">
        <v>17</v>
      </c>
      <c r="Y45" s="99">
        <v>44</v>
      </c>
      <c r="Z45" s="99">
        <v>30</v>
      </c>
      <c r="AA45" s="99" t="s">
        <v>663</v>
      </c>
      <c r="AB45" s="99" t="s">
        <v>663</v>
      </c>
      <c r="AC45" s="99" t="s">
        <v>663</v>
      </c>
      <c r="AD45" s="98" t="s">
        <v>376</v>
      </c>
      <c r="AE45" s="100">
        <v>0.20535475234270414</v>
      </c>
      <c r="AF45" s="100">
        <v>0.11</v>
      </c>
      <c r="AG45" s="98">
        <v>562.2489959839357</v>
      </c>
      <c r="AH45" s="98">
        <v>321.285140562249</v>
      </c>
      <c r="AI45" s="100">
        <v>0.02</v>
      </c>
      <c r="AJ45" s="100">
        <v>0.773176</v>
      </c>
      <c r="AK45" s="100" t="s">
        <v>663</v>
      </c>
      <c r="AL45" s="100">
        <v>0.849598</v>
      </c>
      <c r="AM45" s="100">
        <v>0.596774</v>
      </c>
      <c r="AN45" s="100">
        <v>0.670635</v>
      </c>
      <c r="AO45" s="98">
        <v>1927.710843373494</v>
      </c>
      <c r="AP45" s="158">
        <v>0.9538013458000001</v>
      </c>
      <c r="AQ45" s="100">
        <v>0.18055555555555555</v>
      </c>
      <c r="AR45" s="100">
        <v>0.5909090909090909</v>
      </c>
      <c r="AS45" s="98">
        <v>589.0227576974565</v>
      </c>
      <c r="AT45" s="98">
        <v>187.41633199464525</v>
      </c>
      <c r="AU45" s="98" t="s">
        <v>663</v>
      </c>
      <c r="AV45" s="98">
        <v>240.96385542168676</v>
      </c>
      <c r="AW45" s="98">
        <v>856.760374832664</v>
      </c>
      <c r="AX45" s="98">
        <v>455.1539491298527</v>
      </c>
      <c r="AY45" s="98">
        <v>1178.045515394913</v>
      </c>
      <c r="AZ45" s="98">
        <v>803.2128514056225</v>
      </c>
      <c r="BA45" s="100" t="s">
        <v>663</v>
      </c>
      <c r="BB45" s="100" t="s">
        <v>663</v>
      </c>
      <c r="BC45" s="100" t="s">
        <v>663</v>
      </c>
      <c r="BD45" s="158">
        <v>0.7462908172999999</v>
      </c>
      <c r="BE45" s="158">
        <v>1.201154938</v>
      </c>
      <c r="BF45" s="162">
        <v>507</v>
      </c>
      <c r="BG45" s="162" t="s">
        <v>663</v>
      </c>
      <c r="BH45" s="162">
        <v>871</v>
      </c>
      <c r="BI45" s="162">
        <v>496</v>
      </c>
      <c r="BJ45" s="162">
        <v>252</v>
      </c>
      <c r="BK45" s="97"/>
      <c r="BL45" s="97"/>
      <c r="BM45" s="97"/>
      <c r="BN45" s="97"/>
    </row>
    <row r="46" spans="1:66" ht="12.75">
      <c r="A46" s="79" t="s">
        <v>571</v>
      </c>
      <c r="B46" s="79" t="s">
        <v>291</v>
      </c>
      <c r="C46" s="79" t="s">
        <v>234</v>
      </c>
      <c r="D46" s="99">
        <v>8384</v>
      </c>
      <c r="E46" s="99">
        <v>1732</v>
      </c>
      <c r="F46" s="99" t="s">
        <v>399</v>
      </c>
      <c r="G46" s="99">
        <v>27</v>
      </c>
      <c r="H46" s="99">
        <v>18</v>
      </c>
      <c r="I46" s="99">
        <v>215</v>
      </c>
      <c r="J46" s="99">
        <v>1144</v>
      </c>
      <c r="K46" s="99">
        <v>1015</v>
      </c>
      <c r="L46" s="99">
        <v>1571</v>
      </c>
      <c r="M46" s="99">
        <v>829</v>
      </c>
      <c r="N46" s="99">
        <v>402</v>
      </c>
      <c r="O46" s="99">
        <v>230</v>
      </c>
      <c r="P46" s="159">
        <v>230</v>
      </c>
      <c r="Q46" s="99">
        <v>29</v>
      </c>
      <c r="R46" s="99">
        <v>53</v>
      </c>
      <c r="S46" s="99">
        <v>47</v>
      </c>
      <c r="T46" s="99">
        <v>27</v>
      </c>
      <c r="U46" s="99" t="s">
        <v>663</v>
      </c>
      <c r="V46" s="99">
        <v>76</v>
      </c>
      <c r="W46" s="99">
        <v>75</v>
      </c>
      <c r="X46" s="99">
        <v>36</v>
      </c>
      <c r="Y46" s="99">
        <v>103</v>
      </c>
      <c r="Z46" s="99">
        <v>51</v>
      </c>
      <c r="AA46" s="99" t="s">
        <v>663</v>
      </c>
      <c r="AB46" s="99" t="s">
        <v>663</v>
      </c>
      <c r="AC46" s="99" t="s">
        <v>663</v>
      </c>
      <c r="AD46" s="98" t="s">
        <v>376</v>
      </c>
      <c r="AE46" s="100">
        <v>0.20658396946564886</v>
      </c>
      <c r="AF46" s="100">
        <v>0.06</v>
      </c>
      <c r="AG46" s="98">
        <v>322.0419847328244</v>
      </c>
      <c r="AH46" s="98">
        <v>214.6946564885496</v>
      </c>
      <c r="AI46" s="100">
        <v>0.026000000000000002</v>
      </c>
      <c r="AJ46" s="100">
        <v>0.811923</v>
      </c>
      <c r="AK46" s="100">
        <v>0.855818</v>
      </c>
      <c r="AL46" s="100">
        <v>0.715392</v>
      </c>
      <c r="AM46" s="100">
        <v>0.590456</v>
      </c>
      <c r="AN46" s="100">
        <v>0.597325</v>
      </c>
      <c r="AO46" s="98">
        <v>2743.320610687023</v>
      </c>
      <c r="AP46" s="158">
        <v>1.25551857</v>
      </c>
      <c r="AQ46" s="100">
        <v>0.12608695652173912</v>
      </c>
      <c r="AR46" s="100">
        <v>0.5471698113207547</v>
      </c>
      <c r="AS46" s="98">
        <v>560.5916030534352</v>
      </c>
      <c r="AT46" s="98">
        <v>322.0419847328244</v>
      </c>
      <c r="AU46" s="98" t="s">
        <v>663</v>
      </c>
      <c r="AV46" s="98">
        <v>906.4885496183206</v>
      </c>
      <c r="AW46" s="98">
        <v>894.5610687022901</v>
      </c>
      <c r="AX46" s="98">
        <v>429.3893129770992</v>
      </c>
      <c r="AY46" s="98">
        <v>1228.530534351145</v>
      </c>
      <c r="AZ46" s="98">
        <v>608.3015267175573</v>
      </c>
      <c r="BA46" s="100" t="s">
        <v>663</v>
      </c>
      <c r="BB46" s="100" t="s">
        <v>663</v>
      </c>
      <c r="BC46" s="100" t="s">
        <v>663</v>
      </c>
      <c r="BD46" s="158">
        <v>1.098490677</v>
      </c>
      <c r="BE46" s="158">
        <v>1.4286950680000001</v>
      </c>
      <c r="BF46" s="162">
        <v>1409</v>
      </c>
      <c r="BG46" s="162">
        <v>1186</v>
      </c>
      <c r="BH46" s="162">
        <v>2196</v>
      </c>
      <c r="BI46" s="162">
        <v>1404</v>
      </c>
      <c r="BJ46" s="162">
        <v>673</v>
      </c>
      <c r="BK46" s="97"/>
      <c r="BL46" s="97"/>
      <c r="BM46" s="97"/>
      <c r="BN46" s="97"/>
    </row>
    <row r="47" spans="1:66" ht="12.75">
      <c r="A47" s="79" t="s">
        <v>617</v>
      </c>
      <c r="B47" s="79" t="s">
        <v>337</v>
      </c>
      <c r="C47" s="79" t="s">
        <v>234</v>
      </c>
      <c r="D47" s="99">
        <v>8210</v>
      </c>
      <c r="E47" s="99">
        <v>998</v>
      </c>
      <c r="F47" s="99" t="s">
        <v>397</v>
      </c>
      <c r="G47" s="99">
        <v>36</v>
      </c>
      <c r="H47" s="99">
        <v>15</v>
      </c>
      <c r="I47" s="99">
        <v>101</v>
      </c>
      <c r="J47" s="99">
        <v>660</v>
      </c>
      <c r="K47" s="99">
        <v>10</v>
      </c>
      <c r="L47" s="99">
        <v>1776</v>
      </c>
      <c r="M47" s="99">
        <v>406</v>
      </c>
      <c r="N47" s="99">
        <v>247</v>
      </c>
      <c r="O47" s="99">
        <v>97</v>
      </c>
      <c r="P47" s="159">
        <v>97</v>
      </c>
      <c r="Q47" s="99">
        <v>6</v>
      </c>
      <c r="R47" s="99">
        <v>20</v>
      </c>
      <c r="S47" s="99">
        <v>35</v>
      </c>
      <c r="T47" s="99">
        <v>9</v>
      </c>
      <c r="U47" s="99">
        <v>6</v>
      </c>
      <c r="V47" s="99">
        <v>18</v>
      </c>
      <c r="W47" s="99">
        <v>41</v>
      </c>
      <c r="X47" s="99">
        <v>11</v>
      </c>
      <c r="Y47" s="99">
        <v>67</v>
      </c>
      <c r="Z47" s="99">
        <v>27</v>
      </c>
      <c r="AA47" s="99" t="s">
        <v>663</v>
      </c>
      <c r="AB47" s="99" t="s">
        <v>663</v>
      </c>
      <c r="AC47" s="99" t="s">
        <v>663</v>
      </c>
      <c r="AD47" s="98" t="s">
        <v>376</v>
      </c>
      <c r="AE47" s="100">
        <v>0.1215590742996346</v>
      </c>
      <c r="AF47" s="100">
        <v>0.12</v>
      </c>
      <c r="AG47" s="98">
        <v>438.489646772229</v>
      </c>
      <c r="AH47" s="98">
        <v>182.70401948842874</v>
      </c>
      <c r="AI47" s="100">
        <v>0.012</v>
      </c>
      <c r="AJ47" s="100">
        <v>0.676923</v>
      </c>
      <c r="AK47" s="100">
        <v>0.625</v>
      </c>
      <c r="AL47" s="100">
        <v>0.80654</v>
      </c>
      <c r="AM47" s="100">
        <v>0.525907</v>
      </c>
      <c r="AN47" s="100">
        <v>0.552573</v>
      </c>
      <c r="AO47" s="98">
        <v>1181.4859926918393</v>
      </c>
      <c r="AP47" s="158">
        <v>0.6930185699</v>
      </c>
      <c r="AQ47" s="100">
        <v>0.061855670103092786</v>
      </c>
      <c r="AR47" s="100">
        <v>0.3</v>
      </c>
      <c r="AS47" s="98">
        <v>426.3093788063337</v>
      </c>
      <c r="AT47" s="98">
        <v>109.62241169305724</v>
      </c>
      <c r="AU47" s="98">
        <v>73.0816077953715</v>
      </c>
      <c r="AV47" s="98">
        <v>219.2448233861145</v>
      </c>
      <c r="AW47" s="98">
        <v>499.39098660170527</v>
      </c>
      <c r="AX47" s="98">
        <v>133.98294762484775</v>
      </c>
      <c r="AY47" s="98">
        <v>816.0779537149817</v>
      </c>
      <c r="AZ47" s="98">
        <v>328.86723507917173</v>
      </c>
      <c r="BA47" s="100" t="s">
        <v>663</v>
      </c>
      <c r="BB47" s="100" t="s">
        <v>663</v>
      </c>
      <c r="BC47" s="100" t="s">
        <v>663</v>
      </c>
      <c r="BD47" s="158">
        <v>0.5619913864</v>
      </c>
      <c r="BE47" s="158">
        <v>0.8454239655000001</v>
      </c>
      <c r="BF47" s="162">
        <v>975</v>
      </c>
      <c r="BG47" s="162">
        <v>16</v>
      </c>
      <c r="BH47" s="162">
        <v>2202</v>
      </c>
      <c r="BI47" s="162">
        <v>772</v>
      </c>
      <c r="BJ47" s="162">
        <v>447</v>
      </c>
      <c r="BK47" s="97"/>
      <c r="BL47" s="97"/>
      <c r="BM47" s="97"/>
      <c r="BN47" s="97"/>
    </row>
    <row r="48" spans="1:66" ht="12.75">
      <c r="A48" s="79" t="s">
        <v>611</v>
      </c>
      <c r="B48" s="79" t="s">
        <v>331</v>
      </c>
      <c r="C48" s="79" t="s">
        <v>234</v>
      </c>
      <c r="D48" s="99">
        <v>2137</v>
      </c>
      <c r="E48" s="99">
        <v>223</v>
      </c>
      <c r="F48" s="99" t="s">
        <v>396</v>
      </c>
      <c r="G48" s="99">
        <v>14</v>
      </c>
      <c r="H48" s="99" t="s">
        <v>663</v>
      </c>
      <c r="I48" s="99">
        <v>37</v>
      </c>
      <c r="J48" s="99">
        <v>231</v>
      </c>
      <c r="K48" s="99">
        <v>223</v>
      </c>
      <c r="L48" s="99">
        <v>379</v>
      </c>
      <c r="M48" s="99">
        <v>148</v>
      </c>
      <c r="N48" s="99">
        <v>87</v>
      </c>
      <c r="O48" s="99">
        <v>44</v>
      </c>
      <c r="P48" s="159">
        <v>44</v>
      </c>
      <c r="Q48" s="99" t="s">
        <v>663</v>
      </c>
      <c r="R48" s="99" t="s">
        <v>663</v>
      </c>
      <c r="S48" s="99">
        <v>9</v>
      </c>
      <c r="T48" s="99">
        <v>9</v>
      </c>
      <c r="U48" s="99" t="s">
        <v>663</v>
      </c>
      <c r="V48" s="99">
        <v>6</v>
      </c>
      <c r="W48" s="99">
        <v>13</v>
      </c>
      <c r="X48" s="99">
        <v>7</v>
      </c>
      <c r="Y48" s="99">
        <v>15</v>
      </c>
      <c r="Z48" s="99" t="s">
        <v>663</v>
      </c>
      <c r="AA48" s="99" t="s">
        <v>663</v>
      </c>
      <c r="AB48" s="99" t="s">
        <v>663</v>
      </c>
      <c r="AC48" s="99" t="s">
        <v>663</v>
      </c>
      <c r="AD48" s="98" t="s">
        <v>376</v>
      </c>
      <c r="AE48" s="100">
        <v>0.1043518951801591</v>
      </c>
      <c r="AF48" s="100">
        <v>0.2</v>
      </c>
      <c r="AG48" s="98">
        <v>655.1240056153487</v>
      </c>
      <c r="AH48" s="98" t="s">
        <v>663</v>
      </c>
      <c r="AI48" s="100">
        <v>0.017</v>
      </c>
      <c r="AJ48" s="100">
        <v>0.757377</v>
      </c>
      <c r="AK48" s="100">
        <v>0.766323</v>
      </c>
      <c r="AL48" s="100">
        <v>0.701852</v>
      </c>
      <c r="AM48" s="100">
        <v>0.468354</v>
      </c>
      <c r="AN48" s="100">
        <v>0.520958</v>
      </c>
      <c r="AO48" s="98">
        <v>2058.9611605053815</v>
      </c>
      <c r="AP48" s="158">
        <v>1.248155594</v>
      </c>
      <c r="AQ48" s="100" t="s">
        <v>663</v>
      </c>
      <c r="AR48" s="100" t="s">
        <v>663</v>
      </c>
      <c r="AS48" s="98">
        <v>421.1511464670098</v>
      </c>
      <c r="AT48" s="98">
        <v>421.1511464670098</v>
      </c>
      <c r="AU48" s="98" t="s">
        <v>663</v>
      </c>
      <c r="AV48" s="98">
        <v>280.76743097800653</v>
      </c>
      <c r="AW48" s="98">
        <v>608.3294337856809</v>
      </c>
      <c r="AX48" s="98">
        <v>327.56200280767433</v>
      </c>
      <c r="AY48" s="98">
        <v>701.9185774450164</v>
      </c>
      <c r="AZ48" s="98" t="s">
        <v>663</v>
      </c>
      <c r="BA48" s="100" t="s">
        <v>663</v>
      </c>
      <c r="BB48" s="100" t="s">
        <v>663</v>
      </c>
      <c r="BC48" s="100" t="s">
        <v>663</v>
      </c>
      <c r="BD48" s="158">
        <v>0.9069117737000001</v>
      </c>
      <c r="BE48" s="158">
        <v>1.6755906680000001</v>
      </c>
      <c r="BF48" s="162">
        <v>305</v>
      </c>
      <c r="BG48" s="162">
        <v>291</v>
      </c>
      <c r="BH48" s="162">
        <v>540</v>
      </c>
      <c r="BI48" s="162">
        <v>316</v>
      </c>
      <c r="BJ48" s="162">
        <v>167</v>
      </c>
      <c r="BK48" s="97"/>
      <c r="BL48" s="97"/>
      <c r="BM48" s="97"/>
      <c r="BN48" s="97"/>
    </row>
    <row r="49" spans="1:66" ht="12.75">
      <c r="A49" s="79" t="s">
        <v>568</v>
      </c>
      <c r="B49" s="79" t="s">
        <v>288</v>
      </c>
      <c r="C49" s="79" t="s">
        <v>234</v>
      </c>
      <c r="D49" s="99">
        <v>5356</v>
      </c>
      <c r="E49" s="99">
        <v>1155</v>
      </c>
      <c r="F49" s="99" t="s">
        <v>397</v>
      </c>
      <c r="G49" s="99">
        <v>17</v>
      </c>
      <c r="H49" s="99">
        <v>9</v>
      </c>
      <c r="I49" s="99">
        <v>120</v>
      </c>
      <c r="J49" s="99">
        <v>697</v>
      </c>
      <c r="K49" s="99" t="s">
        <v>663</v>
      </c>
      <c r="L49" s="99">
        <v>1032</v>
      </c>
      <c r="M49" s="99">
        <v>467</v>
      </c>
      <c r="N49" s="99">
        <v>263</v>
      </c>
      <c r="O49" s="99">
        <v>48</v>
      </c>
      <c r="P49" s="159">
        <v>48</v>
      </c>
      <c r="Q49" s="99">
        <v>9</v>
      </c>
      <c r="R49" s="99">
        <v>22</v>
      </c>
      <c r="S49" s="99">
        <v>16</v>
      </c>
      <c r="T49" s="99" t="s">
        <v>663</v>
      </c>
      <c r="U49" s="99" t="s">
        <v>663</v>
      </c>
      <c r="V49" s="99" t="s">
        <v>663</v>
      </c>
      <c r="W49" s="99">
        <v>47</v>
      </c>
      <c r="X49" s="99">
        <v>14</v>
      </c>
      <c r="Y49" s="99">
        <v>75</v>
      </c>
      <c r="Z49" s="99">
        <v>14</v>
      </c>
      <c r="AA49" s="99" t="s">
        <v>663</v>
      </c>
      <c r="AB49" s="99" t="s">
        <v>663</v>
      </c>
      <c r="AC49" s="99" t="s">
        <v>663</v>
      </c>
      <c r="AD49" s="98" t="s">
        <v>376</v>
      </c>
      <c r="AE49" s="100">
        <v>0.21564600448095594</v>
      </c>
      <c r="AF49" s="100">
        <v>0.11</v>
      </c>
      <c r="AG49" s="98">
        <v>317.4010455563854</v>
      </c>
      <c r="AH49" s="98">
        <v>168.03584764749814</v>
      </c>
      <c r="AI49" s="100">
        <v>0.022000000000000002</v>
      </c>
      <c r="AJ49" s="100">
        <v>0.771872</v>
      </c>
      <c r="AK49" s="100" t="s">
        <v>663</v>
      </c>
      <c r="AL49" s="100">
        <v>0.778281</v>
      </c>
      <c r="AM49" s="100">
        <v>0.561298</v>
      </c>
      <c r="AN49" s="100">
        <v>0.596372</v>
      </c>
      <c r="AO49" s="98">
        <v>896.1911874533233</v>
      </c>
      <c r="AP49" s="158">
        <v>0.40769199370000003</v>
      </c>
      <c r="AQ49" s="100">
        <v>0.1875</v>
      </c>
      <c r="AR49" s="100">
        <v>0.4090909090909091</v>
      </c>
      <c r="AS49" s="98">
        <v>298.7303958177745</v>
      </c>
      <c r="AT49" s="98" t="s">
        <v>663</v>
      </c>
      <c r="AU49" s="98" t="s">
        <v>663</v>
      </c>
      <c r="AV49" s="98" t="s">
        <v>663</v>
      </c>
      <c r="AW49" s="98">
        <v>877.5205377147124</v>
      </c>
      <c r="AX49" s="98">
        <v>261.38909634055267</v>
      </c>
      <c r="AY49" s="98">
        <v>1400.2987303958178</v>
      </c>
      <c r="AZ49" s="98">
        <v>261.38909634055267</v>
      </c>
      <c r="BA49" s="100" t="s">
        <v>663</v>
      </c>
      <c r="BB49" s="100" t="s">
        <v>663</v>
      </c>
      <c r="BC49" s="100" t="s">
        <v>663</v>
      </c>
      <c r="BD49" s="158">
        <v>0.30059989930000003</v>
      </c>
      <c r="BE49" s="158">
        <v>0.5405404663</v>
      </c>
      <c r="BF49" s="162">
        <v>903</v>
      </c>
      <c r="BG49" s="162" t="s">
        <v>663</v>
      </c>
      <c r="BH49" s="162">
        <v>1326</v>
      </c>
      <c r="BI49" s="162">
        <v>832</v>
      </c>
      <c r="BJ49" s="162">
        <v>441</v>
      </c>
      <c r="BK49" s="97"/>
      <c r="BL49" s="97"/>
      <c r="BM49" s="97"/>
      <c r="BN49" s="97"/>
    </row>
    <row r="50" spans="1:66" ht="12.75">
      <c r="A50" s="79" t="s">
        <v>605</v>
      </c>
      <c r="B50" s="79" t="s">
        <v>325</v>
      </c>
      <c r="C50" s="79" t="s">
        <v>234</v>
      </c>
      <c r="D50" s="99">
        <v>15182</v>
      </c>
      <c r="E50" s="99">
        <v>2845</v>
      </c>
      <c r="F50" s="99" t="s">
        <v>398</v>
      </c>
      <c r="G50" s="99">
        <v>69</v>
      </c>
      <c r="H50" s="99">
        <v>38</v>
      </c>
      <c r="I50" s="99">
        <v>317</v>
      </c>
      <c r="J50" s="99">
        <v>1709</v>
      </c>
      <c r="K50" s="99">
        <v>101</v>
      </c>
      <c r="L50" s="99">
        <v>3005</v>
      </c>
      <c r="M50" s="99">
        <v>1200</v>
      </c>
      <c r="N50" s="99">
        <v>709</v>
      </c>
      <c r="O50" s="99">
        <v>338</v>
      </c>
      <c r="P50" s="159">
        <v>338</v>
      </c>
      <c r="Q50" s="99">
        <v>33</v>
      </c>
      <c r="R50" s="99">
        <v>76</v>
      </c>
      <c r="S50" s="99">
        <v>136</v>
      </c>
      <c r="T50" s="99">
        <v>54</v>
      </c>
      <c r="U50" s="99">
        <v>12</v>
      </c>
      <c r="V50" s="99">
        <v>25</v>
      </c>
      <c r="W50" s="99">
        <v>93</v>
      </c>
      <c r="X50" s="99">
        <v>66</v>
      </c>
      <c r="Y50" s="99">
        <v>174</v>
      </c>
      <c r="Z50" s="99">
        <v>97</v>
      </c>
      <c r="AA50" s="99" t="s">
        <v>663</v>
      </c>
      <c r="AB50" s="99" t="s">
        <v>663</v>
      </c>
      <c r="AC50" s="99" t="s">
        <v>663</v>
      </c>
      <c r="AD50" s="98" t="s">
        <v>376</v>
      </c>
      <c r="AE50" s="100">
        <v>0.18739296535370834</v>
      </c>
      <c r="AF50" s="100">
        <v>0.13</v>
      </c>
      <c r="AG50" s="98">
        <v>454.4855750230536</v>
      </c>
      <c r="AH50" s="98">
        <v>250.2964036358846</v>
      </c>
      <c r="AI50" s="100">
        <v>0.021</v>
      </c>
      <c r="AJ50" s="100">
        <v>0.796737</v>
      </c>
      <c r="AK50" s="100">
        <v>0.748148</v>
      </c>
      <c r="AL50" s="100">
        <v>0.79204</v>
      </c>
      <c r="AM50" s="100">
        <v>0.606367</v>
      </c>
      <c r="AN50" s="100">
        <v>0.614918</v>
      </c>
      <c r="AO50" s="98">
        <v>2226.3206428665526</v>
      </c>
      <c r="AP50" s="158">
        <v>1.111331329</v>
      </c>
      <c r="AQ50" s="100">
        <v>0.09763313609467456</v>
      </c>
      <c r="AR50" s="100">
        <v>0.4342105263157895</v>
      </c>
      <c r="AS50" s="98">
        <v>895.7976551179028</v>
      </c>
      <c r="AT50" s="98">
        <v>355.68436306152023</v>
      </c>
      <c r="AU50" s="98">
        <v>79.04096956922672</v>
      </c>
      <c r="AV50" s="98">
        <v>164.66868660255565</v>
      </c>
      <c r="AW50" s="98">
        <v>612.567514161507</v>
      </c>
      <c r="AX50" s="98">
        <v>434.72533263074695</v>
      </c>
      <c r="AY50" s="98">
        <v>1146.0940587537873</v>
      </c>
      <c r="AZ50" s="98">
        <v>638.914504017916</v>
      </c>
      <c r="BA50" s="100" t="s">
        <v>663</v>
      </c>
      <c r="BB50" s="100" t="s">
        <v>663</v>
      </c>
      <c r="BC50" s="100" t="s">
        <v>663</v>
      </c>
      <c r="BD50" s="158">
        <v>0.9959988403</v>
      </c>
      <c r="BE50" s="158">
        <v>1.236354141</v>
      </c>
      <c r="BF50" s="162">
        <v>2145</v>
      </c>
      <c r="BG50" s="162">
        <v>135</v>
      </c>
      <c r="BH50" s="162">
        <v>3794</v>
      </c>
      <c r="BI50" s="162">
        <v>1979</v>
      </c>
      <c r="BJ50" s="162">
        <v>1153</v>
      </c>
      <c r="BK50" s="97"/>
      <c r="BL50" s="97"/>
      <c r="BM50" s="97"/>
      <c r="BN50" s="97"/>
    </row>
    <row r="51" spans="1:66" ht="12.75">
      <c r="A51" s="79" t="s">
        <v>588</v>
      </c>
      <c r="B51" s="79" t="s">
        <v>308</v>
      </c>
      <c r="C51" s="79" t="s">
        <v>234</v>
      </c>
      <c r="D51" s="99">
        <v>10426</v>
      </c>
      <c r="E51" s="99">
        <v>2015</v>
      </c>
      <c r="F51" s="99" t="s">
        <v>397</v>
      </c>
      <c r="G51" s="99">
        <v>52</v>
      </c>
      <c r="H51" s="99">
        <v>26</v>
      </c>
      <c r="I51" s="99">
        <v>202</v>
      </c>
      <c r="J51" s="99">
        <v>1060</v>
      </c>
      <c r="K51" s="99">
        <v>7</v>
      </c>
      <c r="L51" s="99">
        <v>1961</v>
      </c>
      <c r="M51" s="99">
        <v>750</v>
      </c>
      <c r="N51" s="99">
        <v>346</v>
      </c>
      <c r="O51" s="99">
        <v>215</v>
      </c>
      <c r="P51" s="159">
        <v>215</v>
      </c>
      <c r="Q51" s="99">
        <v>19</v>
      </c>
      <c r="R51" s="99">
        <v>41</v>
      </c>
      <c r="S51" s="99">
        <v>27</v>
      </c>
      <c r="T51" s="99">
        <v>32</v>
      </c>
      <c r="U51" s="99">
        <v>13</v>
      </c>
      <c r="V51" s="99">
        <v>47</v>
      </c>
      <c r="W51" s="99">
        <v>94</v>
      </c>
      <c r="X51" s="99">
        <v>23</v>
      </c>
      <c r="Y51" s="99">
        <v>122</v>
      </c>
      <c r="Z51" s="99">
        <v>68</v>
      </c>
      <c r="AA51" s="99" t="s">
        <v>663</v>
      </c>
      <c r="AB51" s="99" t="s">
        <v>663</v>
      </c>
      <c r="AC51" s="99" t="s">
        <v>663</v>
      </c>
      <c r="AD51" s="98" t="s">
        <v>376</v>
      </c>
      <c r="AE51" s="100">
        <v>0.19326683291770574</v>
      </c>
      <c r="AF51" s="100">
        <v>0.1</v>
      </c>
      <c r="AG51" s="98">
        <v>498.75311720698255</v>
      </c>
      <c r="AH51" s="98">
        <v>249.37655860349128</v>
      </c>
      <c r="AI51" s="100">
        <v>0.019</v>
      </c>
      <c r="AJ51" s="100">
        <v>0.772595</v>
      </c>
      <c r="AK51" s="100">
        <v>0.466667</v>
      </c>
      <c r="AL51" s="100">
        <v>0.807993</v>
      </c>
      <c r="AM51" s="100">
        <v>0.558867</v>
      </c>
      <c r="AN51" s="100">
        <v>0.571901</v>
      </c>
      <c r="AO51" s="98">
        <v>2062.15231152887</v>
      </c>
      <c r="AP51" s="158">
        <v>1.036384277</v>
      </c>
      <c r="AQ51" s="100">
        <v>0.08837209302325581</v>
      </c>
      <c r="AR51" s="100">
        <v>0.4634146341463415</v>
      </c>
      <c r="AS51" s="98">
        <v>258.96796470362557</v>
      </c>
      <c r="AT51" s="98">
        <v>306.924995204297</v>
      </c>
      <c r="AU51" s="98">
        <v>124.68827930174564</v>
      </c>
      <c r="AV51" s="98">
        <v>450.79608670631114</v>
      </c>
      <c r="AW51" s="98">
        <v>901.5921734126223</v>
      </c>
      <c r="AX51" s="98">
        <v>220.60234030308843</v>
      </c>
      <c r="AY51" s="98">
        <v>1170.151544216382</v>
      </c>
      <c r="AZ51" s="98">
        <v>652.215614809131</v>
      </c>
      <c r="BA51" s="100" t="s">
        <v>663</v>
      </c>
      <c r="BB51" s="100" t="s">
        <v>663</v>
      </c>
      <c r="BC51" s="100" t="s">
        <v>663</v>
      </c>
      <c r="BD51" s="158">
        <v>0.9024729919000001</v>
      </c>
      <c r="BE51" s="158">
        <v>1.184566116</v>
      </c>
      <c r="BF51" s="162">
        <v>1372</v>
      </c>
      <c r="BG51" s="162">
        <v>15</v>
      </c>
      <c r="BH51" s="162">
        <v>2427</v>
      </c>
      <c r="BI51" s="162">
        <v>1342</v>
      </c>
      <c r="BJ51" s="162">
        <v>605</v>
      </c>
      <c r="BK51" s="97"/>
      <c r="BL51" s="97"/>
      <c r="BM51" s="97"/>
      <c r="BN51" s="97"/>
    </row>
    <row r="52" spans="1:66" ht="12.75">
      <c r="A52" s="79" t="s">
        <v>563</v>
      </c>
      <c r="B52" s="79" t="s">
        <v>283</v>
      </c>
      <c r="C52" s="79" t="s">
        <v>234</v>
      </c>
      <c r="D52" s="99">
        <v>11170</v>
      </c>
      <c r="E52" s="99">
        <v>1943</v>
      </c>
      <c r="F52" s="99" t="s">
        <v>397</v>
      </c>
      <c r="G52" s="99">
        <v>49</v>
      </c>
      <c r="H52" s="99">
        <v>26</v>
      </c>
      <c r="I52" s="99">
        <v>238</v>
      </c>
      <c r="J52" s="99">
        <v>1013</v>
      </c>
      <c r="K52" s="99">
        <v>962</v>
      </c>
      <c r="L52" s="99">
        <v>1843</v>
      </c>
      <c r="M52" s="99">
        <v>723</v>
      </c>
      <c r="N52" s="99">
        <v>367</v>
      </c>
      <c r="O52" s="99">
        <v>221</v>
      </c>
      <c r="P52" s="159">
        <v>221</v>
      </c>
      <c r="Q52" s="99">
        <v>24</v>
      </c>
      <c r="R52" s="99">
        <v>59</v>
      </c>
      <c r="S52" s="99">
        <v>57</v>
      </c>
      <c r="T52" s="99">
        <v>17</v>
      </c>
      <c r="U52" s="99">
        <v>15</v>
      </c>
      <c r="V52" s="99">
        <v>37</v>
      </c>
      <c r="W52" s="99">
        <v>74</v>
      </c>
      <c r="X52" s="99">
        <v>39</v>
      </c>
      <c r="Y52" s="99">
        <v>162</v>
      </c>
      <c r="Z52" s="99">
        <v>75</v>
      </c>
      <c r="AA52" s="99" t="s">
        <v>663</v>
      </c>
      <c r="AB52" s="99" t="s">
        <v>663</v>
      </c>
      <c r="AC52" s="99" t="s">
        <v>663</v>
      </c>
      <c r="AD52" s="98" t="s">
        <v>376</v>
      </c>
      <c r="AE52" s="100">
        <v>0.1739480752014324</v>
      </c>
      <c r="AF52" s="100">
        <v>0.12</v>
      </c>
      <c r="AG52" s="98">
        <v>438.6750223813787</v>
      </c>
      <c r="AH52" s="98">
        <v>232.76633840644584</v>
      </c>
      <c r="AI52" s="100">
        <v>0.021</v>
      </c>
      <c r="AJ52" s="100">
        <v>0.69194</v>
      </c>
      <c r="AK52" s="100">
        <v>0.678899</v>
      </c>
      <c r="AL52" s="100">
        <v>0.718239</v>
      </c>
      <c r="AM52" s="100">
        <v>0.507013</v>
      </c>
      <c r="AN52" s="100">
        <v>0.526542</v>
      </c>
      <c r="AO52" s="98">
        <v>1978.5138764547896</v>
      </c>
      <c r="AP52" s="158">
        <v>1.026797028</v>
      </c>
      <c r="AQ52" s="100">
        <v>0.1085972850678733</v>
      </c>
      <c r="AR52" s="100">
        <v>0.4067796610169492</v>
      </c>
      <c r="AS52" s="98">
        <v>510.29543419874665</v>
      </c>
      <c r="AT52" s="98">
        <v>152.1933751119069</v>
      </c>
      <c r="AU52" s="98">
        <v>134.2882721575649</v>
      </c>
      <c r="AV52" s="98">
        <v>331.2444046553268</v>
      </c>
      <c r="AW52" s="98">
        <v>662.4888093106536</v>
      </c>
      <c r="AX52" s="98">
        <v>349.1495076096688</v>
      </c>
      <c r="AY52" s="98">
        <v>1450.313339301701</v>
      </c>
      <c r="AZ52" s="98">
        <v>671.4413607878246</v>
      </c>
      <c r="BA52" s="100" t="s">
        <v>663</v>
      </c>
      <c r="BB52" s="100" t="s">
        <v>663</v>
      </c>
      <c r="BC52" s="100" t="s">
        <v>663</v>
      </c>
      <c r="BD52" s="158">
        <v>0.8958754729999999</v>
      </c>
      <c r="BE52" s="158">
        <v>1.171469116</v>
      </c>
      <c r="BF52" s="162">
        <v>1464</v>
      </c>
      <c r="BG52" s="162">
        <v>1417</v>
      </c>
      <c r="BH52" s="162">
        <v>2566</v>
      </c>
      <c r="BI52" s="162">
        <v>1426</v>
      </c>
      <c r="BJ52" s="162">
        <v>697</v>
      </c>
      <c r="BK52" s="97"/>
      <c r="BL52" s="97"/>
      <c r="BM52" s="97"/>
      <c r="BN52" s="97"/>
    </row>
    <row r="53" spans="1:66" ht="12.75">
      <c r="A53" s="79" t="s">
        <v>625</v>
      </c>
      <c r="B53" s="79" t="s">
        <v>345</v>
      </c>
      <c r="C53" s="79" t="s">
        <v>234</v>
      </c>
      <c r="D53" s="99">
        <v>2678</v>
      </c>
      <c r="E53" s="99">
        <v>409</v>
      </c>
      <c r="F53" s="99" t="s">
        <v>398</v>
      </c>
      <c r="G53" s="99" t="s">
        <v>663</v>
      </c>
      <c r="H53" s="99" t="s">
        <v>663</v>
      </c>
      <c r="I53" s="99">
        <v>52</v>
      </c>
      <c r="J53" s="99">
        <v>271</v>
      </c>
      <c r="K53" s="99">
        <v>246</v>
      </c>
      <c r="L53" s="99">
        <v>438</v>
      </c>
      <c r="M53" s="99">
        <v>150</v>
      </c>
      <c r="N53" s="99">
        <v>76</v>
      </c>
      <c r="O53" s="99">
        <v>15</v>
      </c>
      <c r="P53" s="159">
        <v>15</v>
      </c>
      <c r="Q53" s="99" t="s">
        <v>663</v>
      </c>
      <c r="R53" s="99">
        <v>10</v>
      </c>
      <c r="S53" s="99" t="s">
        <v>663</v>
      </c>
      <c r="T53" s="99" t="s">
        <v>663</v>
      </c>
      <c r="U53" s="99" t="s">
        <v>663</v>
      </c>
      <c r="V53" s="99" t="s">
        <v>663</v>
      </c>
      <c r="W53" s="99" t="s">
        <v>663</v>
      </c>
      <c r="X53" s="99" t="s">
        <v>663</v>
      </c>
      <c r="Y53" s="99" t="s">
        <v>663</v>
      </c>
      <c r="Z53" s="99" t="s">
        <v>663</v>
      </c>
      <c r="AA53" s="99" t="s">
        <v>663</v>
      </c>
      <c r="AB53" s="99" t="s">
        <v>663</v>
      </c>
      <c r="AC53" s="99" t="s">
        <v>663</v>
      </c>
      <c r="AD53" s="98" t="s">
        <v>376</v>
      </c>
      <c r="AE53" s="100">
        <v>0.1527259148618372</v>
      </c>
      <c r="AF53" s="100">
        <v>0.14</v>
      </c>
      <c r="AG53" s="98" t="s">
        <v>663</v>
      </c>
      <c r="AH53" s="98" t="s">
        <v>663</v>
      </c>
      <c r="AI53" s="100">
        <v>0.019</v>
      </c>
      <c r="AJ53" s="100">
        <v>0.811377</v>
      </c>
      <c r="AK53" s="100">
        <v>0.752294</v>
      </c>
      <c r="AL53" s="100">
        <v>0.752577</v>
      </c>
      <c r="AM53" s="100">
        <v>0.485437</v>
      </c>
      <c r="AN53" s="100">
        <v>0.47205</v>
      </c>
      <c r="AO53" s="98">
        <v>560.1194921583271</v>
      </c>
      <c r="AP53" s="158">
        <v>0.3088765907</v>
      </c>
      <c r="AQ53" s="100" t="s">
        <v>663</v>
      </c>
      <c r="AR53" s="100" t="s">
        <v>663</v>
      </c>
      <c r="AS53" s="98" t="s">
        <v>663</v>
      </c>
      <c r="AT53" s="98" t="s">
        <v>663</v>
      </c>
      <c r="AU53" s="98" t="s">
        <v>663</v>
      </c>
      <c r="AV53" s="98" t="s">
        <v>663</v>
      </c>
      <c r="AW53" s="98" t="s">
        <v>663</v>
      </c>
      <c r="AX53" s="98" t="s">
        <v>663</v>
      </c>
      <c r="AY53" s="98" t="s">
        <v>663</v>
      </c>
      <c r="AZ53" s="98" t="s">
        <v>663</v>
      </c>
      <c r="BA53" s="100" t="s">
        <v>663</v>
      </c>
      <c r="BB53" s="100" t="s">
        <v>663</v>
      </c>
      <c r="BC53" s="100" t="s">
        <v>663</v>
      </c>
      <c r="BD53" s="158">
        <v>0.1728758812</v>
      </c>
      <c r="BE53" s="158">
        <v>0.5094449615</v>
      </c>
      <c r="BF53" s="162">
        <v>334</v>
      </c>
      <c r="BG53" s="162">
        <v>327</v>
      </c>
      <c r="BH53" s="162">
        <v>582</v>
      </c>
      <c r="BI53" s="162">
        <v>309</v>
      </c>
      <c r="BJ53" s="162">
        <v>161</v>
      </c>
      <c r="BK53" s="97"/>
      <c r="BL53" s="97"/>
      <c r="BM53" s="97"/>
      <c r="BN53" s="97"/>
    </row>
    <row r="54" spans="1:66" ht="12.75">
      <c r="A54" s="79" t="s">
        <v>648</v>
      </c>
      <c r="B54" s="79" t="s">
        <v>368</v>
      </c>
      <c r="C54" s="79" t="s">
        <v>234</v>
      </c>
      <c r="D54" s="99">
        <v>2691</v>
      </c>
      <c r="E54" s="99">
        <v>336</v>
      </c>
      <c r="F54" s="99" t="s">
        <v>398</v>
      </c>
      <c r="G54" s="99">
        <v>12</v>
      </c>
      <c r="H54" s="99">
        <v>6</v>
      </c>
      <c r="I54" s="99">
        <v>42</v>
      </c>
      <c r="J54" s="99">
        <v>196</v>
      </c>
      <c r="K54" s="99" t="s">
        <v>663</v>
      </c>
      <c r="L54" s="99">
        <v>466</v>
      </c>
      <c r="M54" s="99">
        <v>100</v>
      </c>
      <c r="N54" s="99">
        <v>79</v>
      </c>
      <c r="O54" s="99">
        <v>24</v>
      </c>
      <c r="P54" s="159">
        <v>24</v>
      </c>
      <c r="Q54" s="99" t="s">
        <v>663</v>
      </c>
      <c r="R54" s="99" t="s">
        <v>663</v>
      </c>
      <c r="S54" s="99" t="s">
        <v>663</v>
      </c>
      <c r="T54" s="99">
        <v>6</v>
      </c>
      <c r="U54" s="99" t="s">
        <v>663</v>
      </c>
      <c r="V54" s="99" t="s">
        <v>663</v>
      </c>
      <c r="W54" s="99">
        <v>10</v>
      </c>
      <c r="X54" s="99">
        <v>14</v>
      </c>
      <c r="Y54" s="99">
        <v>30</v>
      </c>
      <c r="Z54" s="99">
        <v>8</v>
      </c>
      <c r="AA54" s="99" t="s">
        <v>663</v>
      </c>
      <c r="AB54" s="99" t="s">
        <v>663</v>
      </c>
      <c r="AC54" s="99" t="s">
        <v>663</v>
      </c>
      <c r="AD54" s="98" t="s">
        <v>376</v>
      </c>
      <c r="AE54" s="100">
        <v>0.12486064659977704</v>
      </c>
      <c r="AF54" s="100">
        <v>0.17</v>
      </c>
      <c r="AG54" s="98">
        <v>445.9308807134894</v>
      </c>
      <c r="AH54" s="98">
        <v>222.9654403567447</v>
      </c>
      <c r="AI54" s="100">
        <v>0.016</v>
      </c>
      <c r="AJ54" s="100">
        <v>0.707581</v>
      </c>
      <c r="AK54" s="100" t="s">
        <v>663</v>
      </c>
      <c r="AL54" s="100">
        <v>0.7456</v>
      </c>
      <c r="AM54" s="100">
        <v>0.383142</v>
      </c>
      <c r="AN54" s="100">
        <v>0.556338</v>
      </c>
      <c r="AO54" s="98">
        <v>891.8617614269788</v>
      </c>
      <c r="AP54" s="158">
        <v>0.5523485565</v>
      </c>
      <c r="AQ54" s="100" t="s">
        <v>663</v>
      </c>
      <c r="AR54" s="100" t="s">
        <v>663</v>
      </c>
      <c r="AS54" s="98" t="s">
        <v>663</v>
      </c>
      <c r="AT54" s="98">
        <v>222.9654403567447</v>
      </c>
      <c r="AU54" s="98" t="s">
        <v>663</v>
      </c>
      <c r="AV54" s="98" t="s">
        <v>663</v>
      </c>
      <c r="AW54" s="98">
        <v>371.6090672612412</v>
      </c>
      <c r="AX54" s="98">
        <v>520.2526941657377</v>
      </c>
      <c r="AY54" s="98">
        <v>1114.8272017837235</v>
      </c>
      <c r="AZ54" s="98">
        <v>297.28725380899294</v>
      </c>
      <c r="BA54" s="100" t="s">
        <v>663</v>
      </c>
      <c r="BB54" s="100" t="s">
        <v>663</v>
      </c>
      <c r="BC54" s="100" t="s">
        <v>663</v>
      </c>
      <c r="BD54" s="158">
        <v>0.35390014649999996</v>
      </c>
      <c r="BE54" s="158">
        <v>0.8218508911000001</v>
      </c>
      <c r="BF54" s="162">
        <v>277</v>
      </c>
      <c r="BG54" s="162" t="s">
        <v>663</v>
      </c>
      <c r="BH54" s="162">
        <v>625</v>
      </c>
      <c r="BI54" s="162">
        <v>261</v>
      </c>
      <c r="BJ54" s="162">
        <v>142</v>
      </c>
      <c r="BK54" s="97"/>
      <c r="BL54" s="97"/>
      <c r="BM54" s="97"/>
      <c r="BN54" s="97"/>
    </row>
    <row r="55" spans="1:66" ht="12.75">
      <c r="A55" s="79" t="s">
        <v>620</v>
      </c>
      <c r="B55" s="79" t="s">
        <v>340</v>
      </c>
      <c r="C55" s="79" t="s">
        <v>234</v>
      </c>
      <c r="D55" s="99">
        <v>6235</v>
      </c>
      <c r="E55" s="99">
        <v>800</v>
      </c>
      <c r="F55" s="99" t="s">
        <v>399</v>
      </c>
      <c r="G55" s="99">
        <v>15</v>
      </c>
      <c r="H55" s="99">
        <v>17</v>
      </c>
      <c r="I55" s="99">
        <v>94</v>
      </c>
      <c r="J55" s="99">
        <v>753</v>
      </c>
      <c r="K55" s="99">
        <v>740</v>
      </c>
      <c r="L55" s="99">
        <v>1344</v>
      </c>
      <c r="M55" s="99">
        <v>435</v>
      </c>
      <c r="N55" s="99">
        <v>285</v>
      </c>
      <c r="O55" s="99">
        <v>84</v>
      </c>
      <c r="P55" s="159">
        <v>84</v>
      </c>
      <c r="Q55" s="99">
        <v>13</v>
      </c>
      <c r="R55" s="99">
        <v>27</v>
      </c>
      <c r="S55" s="99">
        <v>10</v>
      </c>
      <c r="T55" s="99">
        <v>10</v>
      </c>
      <c r="U55" s="99" t="s">
        <v>663</v>
      </c>
      <c r="V55" s="99">
        <v>19</v>
      </c>
      <c r="W55" s="99">
        <v>19</v>
      </c>
      <c r="X55" s="99">
        <v>12</v>
      </c>
      <c r="Y55" s="99">
        <v>31</v>
      </c>
      <c r="Z55" s="99">
        <v>53</v>
      </c>
      <c r="AA55" s="99" t="s">
        <v>663</v>
      </c>
      <c r="AB55" s="99" t="s">
        <v>663</v>
      </c>
      <c r="AC55" s="99" t="s">
        <v>663</v>
      </c>
      <c r="AD55" s="98" t="s">
        <v>376</v>
      </c>
      <c r="AE55" s="100">
        <v>0.12830793905372895</v>
      </c>
      <c r="AF55" s="100">
        <v>0.08</v>
      </c>
      <c r="AG55" s="98">
        <v>240.57738572574178</v>
      </c>
      <c r="AH55" s="98">
        <v>272.654370489174</v>
      </c>
      <c r="AI55" s="100">
        <v>0.015</v>
      </c>
      <c r="AJ55" s="100">
        <v>0.823851</v>
      </c>
      <c r="AK55" s="100">
        <v>0.825893</v>
      </c>
      <c r="AL55" s="100">
        <v>0.766686</v>
      </c>
      <c r="AM55" s="100">
        <v>0.652174</v>
      </c>
      <c r="AN55" s="100">
        <v>0.658199</v>
      </c>
      <c r="AO55" s="98">
        <v>1347.2333600641539</v>
      </c>
      <c r="AP55" s="158">
        <v>0.7356150818</v>
      </c>
      <c r="AQ55" s="100">
        <v>0.15476190476190477</v>
      </c>
      <c r="AR55" s="100">
        <v>0.48148148148148145</v>
      </c>
      <c r="AS55" s="98">
        <v>160.3849238171612</v>
      </c>
      <c r="AT55" s="98">
        <v>160.3849238171612</v>
      </c>
      <c r="AU55" s="98" t="s">
        <v>663</v>
      </c>
      <c r="AV55" s="98">
        <v>304.73135525260625</v>
      </c>
      <c r="AW55" s="98">
        <v>304.73135525260625</v>
      </c>
      <c r="AX55" s="98">
        <v>192.46190858059342</v>
      </c>
      <c r="AY55" s="98">
        <v>497.1932638331997</v>
      </c>
      <c r="AZ55" s="98">
        <v>850.0400962309543</v>
      </c>
      <c r="BA55" s="100" t="s">
        <v>663</v>
      </c>
      <c r="BB55" s="100" t="s">
        <v>663</v>
      </c>
      <c r="BC55" s="100" t="s">
        <v>663</v>
      </c>
      <c r="BD55" s="158">
        <v>0.5867553711</v>
      </c>
      <c r="BE55" s="158">
        <v>0.9107415009000001</v>
      </c>
      <c r="BF55" s="162">
        <v>914</v>
      </c>
      <c r="BG55" s="162">
        <v>896</v>
      </c>
      <c r="BH55" s="162">
        <v>1753</v>
      </c>
      <c r="BI55" s="162">
        <v>667</v>
      </c>
      <c r="BJ55" s="162">
        <v>433</v>
      </c>
      <c r="BK55" s="97"/>
      <c r="BL55" s="97"/>
      <c r="BM55" s="97"/>
      <c r="BN55" s="97"/>
    </row>
    <row r="56" spans="1:66" ht="12.75">
      <c r="A56" s="79" t="s">
        <v>604</v>
      </c>
      <c r="B56" s="79" t="s">
        <v>324</v>
      </c>
      <c r="C56" s="79" t="s">
        <v>234</v>
      </c>
      <c r="D56" s="99">
        <v>2188</v>
      </c>
      <c r="E56" s="99">
        <v>292</v>
      </c>
      <c r="F56" s="99" t="s">
        <v>397</v>
      </c>
      <c r="G56" s="99">
        <v>10</v>
      </c>
      <c r="H56" s="99" t="s">
        <v>663</v>
      </c>
      <c r="I56" s="99">
        <v>37</v>
      </c>
      <c r="J56" s="99">
        <v>220</v>
      </c>
      <c r="K56" s="99" t="s">
        <v>663</v>
      </c>
      <c r="L56" s="99">
        <v>446</v>
      </c>
      <c r="M56" s="99">
        <v>143</v>
      </c>
      <c r="N56" s="99">
        <v>67</v>
      </c>
      <c r="O56" s="99">
        <v>23</v>
      </c>
      <c r="P56" s="159">
        <v>23</v>
      </c>
      <c r="Q56" s="99" t="s">
        <v>663</v>
      </c>
      <c r="R56" s="99" t="s">
        <v>663</v>
      </c>
      <c r="S56" s="99">
        <v>9</v>
      </c>
      <c r="T56" s="99" t="s">
        <v>663</v>
      </c>
      <c r="U56" s="99" t="s">
        <v>663</v>
      </c>
      <c r="V56" s="99" t="s">
        <v>663</v>
      </c>
      <c r="W56" s="99">
        <v>21</v>
      </c>
      <c r="X56" s="99">
        <v>8</v>
      </c>
      <c r="Y56" s="99">
        <v>21</v>
      </c>
      <c r="Z56" s="99">
        <v>9</v>
      </c>
      <c r="AA56" s="99" t="s">
        <v>663</v>
      </c>
      <c r="AB56" s="99" t="s">
        <v>663</v>
      </c>
      <c r="AC56" s="99" t="s">
        <v>663</v>
      </c>
      <c r="AD56" s="98" t="s">
        <v>376</v>
      </c>
      <c r="AE56" s="100">
        <v>0.13345521023765997</v>
      </c>
      <c r="AF56" s="100">
        <v>0.12</v>
      </c>
      <c r="AG56" s="98">
        <v>457.0383912248629</v>
      </c>
      <c r="AH56" s="98" t="s">
        <v>663</v>
      </c>
      <c r="AI56" s="100">
        <v>0.017</v>
      </c>
      <c r="AJ56" s="100">
        <v>0.700637</v>
      </c>
      <c r="AK56" s="100" t="s">
        <v>663</v>
      </c>
      <c r="AL56" s="100">
        <v>0.789381</v>
      </c>
      <c r="AM56" s="100">
        <v>0.581301</v>
      </c>
      <c r="AN56" s="100">
        <v>0.527559</v>
      </c>
      <c r="AO56" s="98">
        <v>1051.1882998171845</v>
      </c>
      <c r="AP56" s="158">
        <v>0.5822031021</v>
      </c>
      <c r="AQ56" s="100" t="s">
        <v>663</v>
      </c>
      <c r="AR56" s="100" t="s">
        <v>663</v>
      </c>
      <c r="AS56" s="98">
        <v>411.3345521023766</v>
      </c>
      <c r="AT56" s="98" t="s">
        <v>663</v>
      </c>
      <c r="AU56" s="98" t="s">
        <v>663</v>
      </c>
      <c r="AV56" s="98" t="s">
        <v>663</v>
      </c>
      <c r="AW56" s="98">
        <v>959.7806215722121</v>
      </c>
      <c r="AX56" s="98">
        <v>365.6307129798903</v>
      </c>
      <c r="AY56" s="98">
        <v>959.7806215722121</v>
      </c>
      <c r="AZ56" s="98">
        <v>411.3345521023766</v>
      </c>
      <c r="BA56" s="100" t="s">
        <v>663</v>
      </c>
      <c r="BB56" s="100" t="s">
        <v>663</v>
      </c>
      <c r="BC56" s="100" t="s">
        <v>663</v>
      </c>
      <c r="BD56" s="158">
        <v>0.36906681059999996</v>
      </c>
      <c r="BE56" s="158">
        <v>0.8735905456999999</v>
      </c>
      <c r="BF56" s="162">
        <v>314</v>
      </c>
      <c r="BG56" s="162" t="s">
        <v>663</v>
      </c>
      <c r="BH56" s="162">
        <v>565</v>
      </c>
      <c r="BI56" s="162">
        <v>246</v>
      </c>
      <c r="BJ56" s="162">
        <v>127</v>
      </c>
      <c r="BK56" s="97"/>
      <c r="BL56" s="97"/>
      <c r="BM56" s="97"/>
      <c r="BN56" s="97"/>
    </row>
    <row r="57" spans="1:66" ht="12.75">
      <c r="A57" s="79" t="s">
        <v>594</v>
      </c>
      <c r="B57" s="79" t="s">
        <v>314</v>
      </c>
      <c r="C57" s="79" t="s">
        <v>234</v>
      </c>
      <c r="D57" s="99">
        <v>13281</v>
      </c>
      <c r="E57" s="99">
        <v>2397</v>
      </c>
      <c r="F57" s="99" t="s">
        <v>398</v>
      </c>
      <c r="G57" s="99">
        <v>66</v>
      </c>
      <c r="H57" s="99">
        <v>33</v>
      </c>
      <c r="I57" s="99">
        <v>270</v>
      </c>
      <c r="J57" s="99">
        <v>1443</v>
      </c>
      <c r="K57" s="99">
        <v>89</v>
      </c>
      <c r="L57" s="99">
        <v>2689</v>
      </c>
      <c r="M57" s="99">
        <v>1058</v>
      </c>
      <c r="N57" s="99">
        <v>615</v>
      </c>
      <c r="O57" s="99">
        <v>192</v>
      </c>
      <c r="P57" s="159">
        <v>192</v>
      </c>
      <c r="Q57" s="99">
        <v>24</v>
      </c>
      <c r="R57" s="99">
        <v>51</v>
      </c>
      <c r="S57" s="99">
        <v>53</v>
      </c>
      <c r="T57" s="99">
        <v>19</v>
      </c>
      <c r="U57" s="99">
        <v>9</v>
      </c>
      <c r="V57" s="99">
        <v>30</v>
      </c>
      <c r="W57" s="99">
        <v>91</v>
      </c>
      <c r="X57" s="99">
        <v>62</v>
      </c>
      <c r="Y57" s="99">
        <v>148</v>
      </c>
      <c r="Z57" s="99">
        <v>75</v>
      </c>
      <c r="AA57" s="99" t="s">
        <v>663</v>
      </c>
      <c r="AB57" s="99" t="s">
        <v>663</v>
      </c>
      <c r="AC57" s="99" t="s">
        <v>663</v>
      </c>
      <c r="AD57" s="98" t="s">
        <v>376</v>
      </c>
      <c r="AE57" s="100">
        <v>0.18048339733453805</v>
      </c>
      <c r="AF57" s="100">
        <v>0.13</v>
      </c>
      <c r="AG57" s="98">
        <v>496.95053083352155</v>
      </c>
      <c r="AH57" s="98">
        <v>248.47526541676078</v>
      </c>
      <c r="AI57" s="100">
        <v>0.02</v>
      </c>
      <c r="AJ57" s="100">
        <v>0.796358</v>
      </c>
      <c r="AK57" s="100">
        <v>0.723577</v>
      </c>
      <c r="AL57" s="100">
        <v>0.813862</v>
      </c>
      <c r="AM57" s="100">
        <v>0.613689</v>
      </c>
      <c r="AN57" s="100">
        <v>0.623732</v>
      </c>
      <c r="AO57" s="98">
        <v>1445.674271515699</v>
      </c>
      <c r="AP57" s="158">
        <v>0.7417116547</v>
      </c>
      <c r="AQ57" s="100">
        <v>0.125</v>
      </c>
      <c r="AR57" s="100">
        <v>0.47058823529411764</v>
      </c>
      <c r="AS57" s="98">
        <v>399.0663353663128</v>
      </c>
      <c r="AT57" s="98">
        <v>143.0615164520744</v>
      </c>
      <c r="AU57" s="98">
        <v>67.7659814772984</v>
      </c>
      <c r="AV57" s="98">
        <v>225.886604924328</v>
      </c>
      <c r="AW57" s="98">
        <v>685.1893682704616</v>
      </c>
      <c r="AX57" s="98">
        <v>466.8323168436112</v>
      </c>
      <c r="AY57" s="98">
        <v>1114.3739176266847</v>
      </c>
      <c r="AZ57" s="98">
        <v>564.71651231082</v>
      </c>
      <c r="BA57" s="100" t="s">
        <v>663</v>
      </c>
      <c r="BB57" s="100" t="s">
        <v>663</v>
      </c>
      <c r="BC57" s="100" t="s">
        <v>663</v>
      </c>
      <c r="BD57" s="158">
        <v>0.6405033111999999</v>
      </c>
      <c r="BE57" s="158">
        <v>0.8543711853000001</v>
      </c>
      <c r="BF57" s="162">
        <v>1812</v>
      </c>
      <c r="BG57" s="162">
        <v>123</v>
      </c>
      <c r="BH57" s="162">
        <v>3304</v>
      </c>
      <c r="BI57" s="162">
        <v>1724</v>
      </c>
      <c r="BJ57" s="162">
        <v>986</v>
      </c>
      <c r="BK57" s="97"/>
      <c r="BL57" s="97"/>
      <c r="BM57" s="97"/>
      <c r="BN57" s="97"/>
    </row>
    <row r="58" spans="1:66" ht="12.75">
      <c r="A58" s="79" t="s">
        <v>598</v>
      </c>
      <c r="B58" s="79" t="s">
        <v>318</v>
      </c>
      <c r="C58" s="79" t="s">
        <v>234</v>
      </c>
      <c r="D58" s="99">
        <v>13379</v>
      </c>
      <c r="E58" s="99">
        <v>2670</v>
      </c>
      <c r="F58" s="99" t="s">
        <v>399</v>
      </c>
      <c r="G58" s="99">
        <v>77</v>
      </c>
      <c r="H58" s="99">
        <v>22</v>
      </c>
      <c r="I58" s="99">
        <v>311</v>
      </c>
      <c r="J58" s="99">
        <v>1508</v>
      </c>
      <c r="K58" s="99">
        <v>13</v>
      </c>
      <c r="L58" s="99">
        <v>2597</v>
      </c>
      <c r="M58" s="99">
        <v>1091</v>
      </c>
      <c r="N58" s="99">
        <v>497</v>
      </c>
      <c r="O58" s="99">
        <v>311</v>
      </c>
      <c r="P58" s="159">
        <v>311</v>
      </c>
      <c r="Q58" s="99">
        <v>34</v>
      </c>
      <c r="R58" s="99">
        <v>57</v>
      </c>
      <c r="S58" s="99">
        <v>53</v>
      </c>
      <c r="T58" s="99">
        <v>36</v>
      </c>
      <c r="U58" s="99">
        <v>14</v>
      </c>
      <c r="V58" s="99">
        <v>46</v>
      </c>
      <c r="W58" s="99">
        <v>87</v>
      </c>
      <c r="X58" s="99">
        <v>28</v>
      </c>
      <c r="Y58" s="99">
        <v>154</v>
      </c>
      <c r="Z58" s="99">
        <v>56</v>
      </c>
      <c r="AA58" s="99" t="s">
        <v>663</v>
      </c>
      <c r="AB58" s="99" t="s">
        <v>663</v>
      </c>
      <c r="AC58" s="99" t="s">
        <v>663</v>
      </c>
      <c r="AD58" s="98" t="s">
        <v>376</v>
      </c>
      <c r="AE58" s="100">
        <v>0.19956648478959563</v>
      </c>
      <c r="AF58" s="100">
        <v>0.07</v>
      </c>
      <c r="AG58" s="98">
        <v>575.5288138126915</v>
      </c>
      <c r="AH58" s="98">
        <v>164.4368039464833</v>
      </c>
      <c r="AI58" s="100">
        <v>0.023</v>
      </c>
      <c r="AJ58" s="100">
        <v>0.770174</v>
      </c>
      <c r="AK58" s="100">
        <v>0.565217</v>
      </c>
      <c r="AL58" s="100">
        <v>0.801049</v>
      </c>
      <c r="AM58" s="100">
        <v>0.604097</v>
      </c>
      <c r="AN58" s="100">
        <v>0.634738</v>
      </c>
      <c r="AO58" s="98">
        <v>2324.538455788923</v>
      </c>
      <c r="AP58" s="158">
        <v>1.117223053</v>
      </c>
      <c r="AQ58" s="100">
        <v>0.10932475884244373</v>
      </c>
      <c r="AR58" s="100">
        <v>0.5964912280701754</v>
      </c>
      <c r="AS58" s="98">
        <v>396.143209507437</v>
      </c>
      <c r="AT58" s="98">
        <v>269.0784064578818</v>
      </c>
      <c r="AU58" s="98">
        <v>104.64160251139846</v>
      </c>
      <c r="AV58" s="98">
        <v>343.8224082517378</v>
      </c>
      <c r="AW58" s="98">
        <v>650.2728156065476</v>
      </c>
      <c r="AX58" s="98">
        <v>209.28320502279692</v>
      </c>
      <c r="AY58" s="98">
        <v>1151.057627625383</v>
      </c>
      <c r="AZ58" s="98">
        <v>418.56641004559384</v>
      </c>
      <c r="BA58" s="100" t="s">
        <v>663</v>
      </c>
      <c r="BB58" s="100" t="s">
        <v>663</v>
      </c>
      <c r="BC58" s="100" t="s">
        <v>663</v>
      </c>
      <c r="BD58" s="158">
        <v>0.9964923096</v>
      </c>
      <c r="BE58" s="158">
        <v>1.248549118</v>
      </c>
      <c r="BF58" s="162">
        <v>1958</v>
      </c>
      <c r="BG58" s="162">
        <v>23</v>
      </c>
      <c r="BH58" s="162">
        <v>3242</v>
      </c>
      <c r="BI58" s="162">
        <v>1806</v>
      </c>
      <c r="BJ58" s="162">
        <v>783</v>
      </c>
      <c r="BK58" s="97"/>
      <c r="BL58" s="97"/>
      <c r="BM58" s="97"/>
      <c r="BN58" s="97"/>
    </row>
    <row r="59" spans="1:66" ht="12.75">
      <c r="A59" s="79" t="s">
        <v>592</v>
      </c>
      <c r="B59" s="79" t="s">
        <v>312</v>
      </c>
      <c r="C59" s="79" t="s">
        <v>234</v>
      </c>
      <c r="D59" s="99">
        <v>10059</v>
      </c>
      <c r="E59" s="99">
        <v>1917</v>
      </c>
      <c r="F59" s="99" t="s">
        <v>397</v>
      </c>
      <c r="G59" s="99">
        <v>58</v>
      </c>
      <c r="H59" s="99">
        <v>26</v>
      </c>
      <c r="I59" s="99">
        <v>214</v>
      </c>
      <c r="J59" s="99">
        <v>891</v>
      </c>
      <c r="K59" s="99" t="s">
        <v>663</v>
      </c>
      <c r="L59" s="99">
        <v>1788</v>
      </c>
      <c r="M59" s="99">
        <v>621</v>
      </c>
      <c r="N59" s="99">
        <v>323</v>
      </c>
      <c r="O59" s="99">
        <v>199</v>
      </c>
      <c r="P59" s="159">
        <v>199</v>
      </c>
      <c r="Q59" s="99">
        <v>28</v>
      </c>
      <c r="R59" s="99">
        <v>41</v>
      </c>
      <c r="S59" s="99">
        <v>42</v>
      </c>
      <c r="T59" s="99">
        <v>25</v>
      </c>
      <c r="U59" s="99">
        <v>7</v>
      </c>
      <c r="V59" s="99">
        <v>26</v>
      </c>
      <c r="W59" s="99">
        <v>98</v>
      </c>
      <c r="X59" s="99">
        <v>30</v>
      </c>
      <c r="Y59" s="99">
        <v>137</v>
      </c>
      <c r="Z59" s="99">
        <v>65</v>
      </c>
      <c r="AA59" s="99" t="s">
        <v>663</v>
      </c>
      <c r="AB59" s="99" t="s">
        <v>663</v>
      </c>
      <c r="AC59" s="99" t="s">
        <v>663</v>
      </c>
      <c r="AD59" s="98" t="s">
        <v>376</v>
      </c>
      <c r="AE59" s="100">
        <v>0.19057560393677303</v>
      </c>
      <c r="AF59" s="100">
        <v>0.12</v>
      </c>
      <c r="AG59" s="98">
        <v>576.5980713788647</v>
      </c>
      <c r="AH59" s="98">
        <v>258.47499751466347</v>
      </c>
      <c r="AI59" s="100">
        <v>0.021</v>
      </c>
      <c r="AJ59" s="100">
        <v>0.748739</v>
      </c>
      <c r="AK59" s="100" t="s">
        <v>663</v>
      </c>
      <c r="AL59" s="100">
        <v>0.760527</v>
      </c>
      <c r="AM59" s="100">
        <v>0.570248</v>
      </c>
      <c r="AN59" s="100">
        <v>0.621154</v>
      </c>
      <c r="AO59" s="98">
        <v>1978.3278655930012</v>
      </c>
      <c r="AP59" s="158">
        <v>1.021581726</v>
      </c>
      <c r="AQ59" s="100">
        <v>0.1407035175879397</v>
      </c>
      <c r="AR59" s="100">
        <v>0.6829268292682927</v>
      </c>
      <c r="AS59" s="98">
        <v>417.5365344467641</v>
      </c>
      <c r="AT59" s="98">
        <v>248.5336514564072</v>
      </c>
      <c r="AU59" s="98">
        <v>69.58942240779402</v>
      </c>
      <c r="AV59" s="98">
        <v>258.47499751466347</v>
      </c>
      <c r="AW59" s="98">
        <v>974.2519137091163</v>
      </c>
      <c r="AX59" s="98">
        <v>298.2403817476886</v>
      </c>
      <c r="AY59" s="98">
        <v>1361.9644099811114</v>
      </c>
      <c r="AZ59" s="98">
        <v>646.1874937866587</v>
      </c>
      <c r="BA59" s="101" t="s">
        <v>663</v>
      </c>
      <c r="BB59" s="101" t="s">
        <v>663</v>
      </c>
      <c r="BC59" s="101" t="s">
        <v>663</v>
      </c>
      <c r="BD59" s="158">
        <v>0.8845680237000001</v>
      </c>
      <c r="BE59" s="158">
        <v>1.173806305</v>
      </c>
      <c r="BF59" s="162">
        <v>1190</v>
      </c>
      <c r="BG59" s="162" t="s">
        <v>663</v>
      </c>
      <c r="BH59" s="162">
        <v>2351</v>
      </c>
      <c r="BI59" s="162">
        <v>1089</v>
      </c>
      <c r="BJ59" s="162">
        <v>520</v>
      </c>
      <c r="BK59" s="97"/>
      <c r="BL59" s="97"/>
      <c r="BM59" s="97"/>
      <c r="BN59" s="97"/>
    </row>
    <row r="60" spans="1:66" ht="12.75">
      <c r="A60" s="79" t="s">
        <v>582</v>
      </c>
      <c r="B60" s="79" t="s">
        <v>302</v>
      </c>
      <c r="C60" s="79" t="s">
        <v>234</v>
      </c>
      <c r="D60" s="99">
        <v>4895</v>
      </c>
      <c r="E60" s="99">
        <v>1264</v>
      </c>
      <c r="F60" s="99" t="s">
        <v>399</v>
      </c>
      <c r="G60" s="99">
        <v>30</v>
      </c>
      <c r="H60" s="99">
        <v>10</v>
      </c>
      <c r="I60" s="99">
        <v>129</v>
      </c>
      <c r="J60" s="99">
        <v>621</v>
      </c>
      <c r="K60" s="99">
        <v>484</v>
      </c>
      <c r="L60" s="99">
        <v>922</v>
      </c>
      <c r="M60" s="99">
        <v>497</v>
      </c>
      <c r="N60" s="99">
        <v>314</v>
      </c>
      <c r="O60" s="99">
        <v>172</v>
      </c>
      <c r="P60" s="159">
        <v>172</v>
      </c>
      <c r="Q60" s="99">
        <v>18</v>
      </c>
      <c r="R60" s="99">
        <v>34</v>
      </c>
      <c r="S60" s="99">
        <v>30</v>
      </c>
      <c r="T60" s="99">
        <v>21</v>
      </c>
      <c r="U60" s="99">
        <v>6</v>
      </c>
      <c r="V60" s="99">
        <v>44</v>
      </c>
      <c r="W60" s="99">
        <v>29</v>
      </c>
      <c r="X60" s="99">
        <v>31</v>
      </c>
      <c r="Y60" s="99">
        <v>74</v>
      </c>
      <c r="Z60" s="99">
        <v>30</v>
      </c>
      <c r="AA60" s="99" t="s">
        <v>663</v>
      </c>
      <c r="AB60" s="99" t="s">
        <v>663</v>
      </c>
      <c r="AC60" s="99" t="s">
        <v>663</v>
      </c>
      <c r="AD60" s="98" t="s">
        <v>376</v>
      </c>
      <c r="AE60" s="100">
        <v>0.2582226762002043</v>
      </c>
      <c r="AF60" s="100">
        <v>0.09</v>
      </c>
      <c r="AG60" s="98">
        <v>612.8702757916241</v>
      </c>
      <c r="AH60" s="98">
        <v>204.29009193054137</v>
      </c>
      <c r="AI60" s="100">
        <v>0.026000000000000002</v>
      </c>
      <c r="AJ60" s="100">
        <v>0.796154</v>
      </c>
      <c r="AK60" s="100">
        <v>0.779388</v>
      </c>
      <c r="AL60" s="100">
        <v>0.810193</v>
      </c>
      <c r="AM60" s="100">
        <v>0.622807</v>
      </c>
      <c r="AN60" s="100">
        <v>0.630522</v>
      </c>
      <c r="AO60" s="98">
        <v>3513.7895812053116</v>
      </c>
      <c r="AP60" s="158">
        <v>1.499760132</v>
      </c>
      <c r="AQ60" s="100">
        <v>0.10465116279069768</v>
      </c>
      <c r="AR60" s="100">
        <v>0.5294117647058824</v>
      </c>
      <c r="AS60" s="98">
        <v>612.8702757916241</v>
      </c>
      <c r="AT60" s="98">
        <v>429.00919305413686</v>
      </c>
      <c r="AU60" s="98">
        <v>122.57405515832482</v>
      </c>
      <c r="AV60" s="98">
        <v>898.876404494382</v>
      </c>
      <c r="AW60" s="98">
        <v>592.44126659857</v>
      </c>
      <c r="AX60" s="98">
        <v>633.2992849846783</v>
      </c>
      <c r="AY60" s="98">
        <v>1511.746680286006</v>
      </c>
      <c r="AZ60" s="98">
        <v>612.8702757916241</v>
      </c>
      <c r="BA60" s="100" t="s">
        <v>663</v>
      </c>
      <c r="BB60" s="100" t="s">
        <v>663</v>
      </c>
      <c r="BC60" s="100" t="s">
        <v>663</v>
      </c>
      <c r="BD60" s="158">
        <v>1.2839967350000001</v>
      </c>
      <c r="BE60" s="158">
        <v>1.741404724</v>
      </c>
      <c r="BF60" s="162">
        <v>780</v>
      </c>
      <c r="BG60" s="162">
        <v>621</v>
      </c>
      <c r="BH60" s="162">
        <v>1138</v>
      </c>
      <c r="BI60" s="162">
        <v>798</v>
      </c>
      <c r="BJ60" s="162">
        <v>498</v>
      </c>
      <c r="BK60" s="97"/>
      <c r="BL60" s="97"/>
      <c r="BM60" s="97"/>
      <c r="BN60" s="97"/>
    </row>
    <row r="61" spans="1:66" ht="12.75">
      <c r="A61" s="79" t="s">
        <v>621</v>
      </c>
      <c r="B61" s="79" t="s">
        <v>341</v>
      </c>
      <c r="C61" s="79" t="s">
        <v>234</v>
      </c>
      <c r="D61" s="99">
        <v>4967</v>
      </c>
      <c r="E61" s="99">
        <v>692</v>
      </c>
      <c r="F61" s="99" t="s">
        <v>396</v>
      </c>
      <c r="G61" s="99">
        <v>21</v>
      </c>
      <c r="H61" s="99">
        <v>12</v>
      </c>
      <c r="I61" s="99">
        <v>92</v>
      </c>
      <c r="J61" s="99">
        <v>387</v>
      </c>
      <c r="K61" s="99" t="s">
        <v>663</v>
      </c>
      <c r="L61" s="99">
        <v>902</v>
      </c>
      <c r="M61" s="99">
        <v>276</v>
      </c>
      <c r="N61" s="99">
        <v>142</v>
      </c>
      <c r="O61" s="99">
        <v>56</v>
      </c>
      <c r="P61" s="159">
        <v>56</v>
      </c>
      <c r="Q61" s="99">
        <v>6</v>
      </c>
      <c r="R61" s="99">
        <v>21</v>
      </c>
      <c r="S61" s="99">
        <v>17</v>
      </c>
      <c r="T61" s="99" t="s">
        <v>663</v>
      </c>
      <c r="U61" s="99" t="s">
        <v>663</v>
      </c>
      <c r="V61" s="99" t="s">
        <v>663</v>
      </c>
      <c r="W61" s="99">
        <v>37</v>
      </c>
      <c r="X61" s="99">
        <v>7</v>
      </c>
      <c r="Y61" s="99">
        <v>53</v>
      </c>
      <c r="Z61" s="99">
        <v>39</v>
      </c>
      <c r="AA61" s="99" t="s">
        <v>663</v>
      </c>
      <c r="AB61" s="99" t="s">
        <v>663</v>
      </c>
      <c r="AC61" s="99" t="s">
        <v>663</v>
      </c>
      <c r="AD61" s="98" t="s">
        <v>376</v>
      </c>
      <c r="AE61" s="100">
        <v>0.1393195087578015</v>
      </c>
      <c r="AF61" s="100">
        <v>0.18</v>
      </c>
      <c r="AG61" s="98">
        <v>422.7904167505537</v>
      </c>
      <c r="AH61" s="98">
        <v>241.59452385745922</v>
      </c>
      <c r="AI61" s="100">
        <v>0.019</v>
      </c>
      <c r="AJ61" s="100">
        <v>0.68617</v>
      </c>
      <c r="AK61" s="100" t="s">
        <v>663</v>
      </c>
      <c r="AL61" s="100">
        <v>0.749169</v>
      </c>
      <c r="AM61" s="100">
        <v>0.533849</v>
      </c>
      <c r="AN61" s="100">
        <v>0.527881</v>
      </c>
      <c r="AO61" s="98">
        <v>1127.4411113348096</v>
      </c>
      <c r="AP61" s="158">
        <v>0.6585966492</v>
      </c>
      <c r="AQ61" s="100">
        <v>0.10714285714285714</v>
      </c>
      <c r="AR61" s="100">
        <v>0.2857142857142857</v>
      </c>
      <c r="AS61" s="98">
        <v>342.25890879806724</v>
      </c>
      <c r="AT61" s="98" t="s">
        <v>663</v>
      </c>
      <c r="AU61" s="98" t="s">
        <v>663</v>
      </c>
      <c r="AV61" s="98" t="s">
        <v>663</v>
      </c>
      <c r="AW61" s="98">
        <v>744.9164485604992</v>
      </c>
      <c r="AX61" s="98">
        <v>140.9301389168512</v>
      </c>
      <c r="AY61" s="98">
        <v>1067.042480370445</v>
      </c>
      <c r="AZ61" s="98">
        <v>785.1822025367425</v>
      </c>
      <c r="BA61" s="100" t="s">
        <v>663</v>
      </c>
      <c r="BB61" s="100" t="s">
        <v>663</v>
      </c>
      <c r="BC61" s="100" t="s">
        <v>663</v>
      </c>
      <c r="BD61" s="158">
        <v>0.4974968338</v>
      </c>
      <c r="BE61" s="158">
        <v>0.8552425385</v>
      </c>
      <c r="BF61" s="162">
        <v>564</v>
      </c>
      <c r="BG61" s="162" t="s">
        <v>663</v>
      </c>
      <c r="BH61" s="162">
        <v>1204</v>
      </c>
      <c r="BI61" s="162">
        <v>517</v>
      </c>
      <c r="BJ61" s="162">
        <v>269</v>
      </c>
      <c r="BK61" s="97"/>
      <c r="BL61" s="97"/>
      <c r="BM61" s="97"/>
      <c r="BN61" s="97"/>
    </row>
    <row r="62" spans="1:66" ht="12.75">
      <c r="A62" s="79" t="s">
        <v>633</v>
      </c>
      <c r="B62" s="79" t="s">
        <v>353</v>
      </c>
      <c r="C62" s="79" t="s">
        <v>234</v>
      </c>
      <c r="D62" s="99">
        <v>2305</v>
      </c>
      <c r="E62" s="99">
        <v>310</v>
      </c>
      <c r="F62" s="99" t="s">
        <v>398</v>
      </c>
      <c r="G62" s="99" t="s">
        <v>663</v>
      </c>
      <c r="H62" s="99" t="s">
        <v>663</v>
      </c>
      <c r="I62" s="99">
        <v>41</v>
      </c>
      <c r="J62" s="99">
        <v>190</v>
      </c>
      <c r="K62" s="99" t="s">
        <v>663</v>
      </c>
      <c r="L62" s="99">
        <v>434</v>
      </c>
      <c r="M62" s="99">
        <v>121</v>
      </c>
      <c r="N62" s="99">
        <v>58</v>
      </c>
      <c r="O62" s="99">
        <v>43</v>
      </c>
      <c r="P62" s="159">
        <v>43</v>
      </c>
      <c r="Q62" s="99" t="s">
        <v>663</v>
      </c>
      <c r="R62" s="99" t="s">
        <v>663</v>
      </c>
      <c r="S62" s="99">
        <v>16</v>
      </c>
      <c r="T62" s="99" t="s">
        <v>663</v>
      </c>
      <c r="U62" s="99" t="s">
        <v>663</v>
      </c>
      <c r="V62" s="99">
        <v>19</v>
      </c>
      <c r="W62" s="99">
        <v>19</v>
      </c>
      <c r="X62" s="99">
        <v>7</v>
      </c>
      <c r="Y62" s="99">
        <v>18</v>
      </c>
      <c r="Z62" s="99" t="s">
        <v>663</v>
      </c>
      <c r="AA62" s="99" t="s">
        <v>663</v>
      </c>
      <c r="AB62" s="99" t="s">
        <v>663</v>
      </c>
      <c r="AC62" s="99" t="s">
        <v>663</v>
      </c>
      <c r="AD62" s="98" t="s">
        <v>376</v>
      </c>
      <c r="AE62" s="100">
        <v>0.13449023861171366</v>
      </c>
      <c r="AF62" s="100">
        <v>0.15</v>
      </c>
      <c r="AG62" s="98" t="s">
        <v>663</v>
      </c>
      <c r="AH62" s="98" t="s">
        <v>663</v>
      </c>
      <c r="AI62" s="100">
        <v>0.018000000000000002</v>
      </c>
      <c r="AJ62" s="100">
        <v>0.727969</v>
      </c>
      <c r="AK62" s="100" t="s">
        <v>663</v>
      </c>
      <c r="AL62" s="100">
        <v>0.802218</v>
      </c>
      <c r="AM62" s="100">
        <v>0.557604</v>
      </c>
      <c r="AN62" s="100">
        <v>0.504348</v>
      </c>
      <c r="AO62" s="98">
        <v>1865.5097613882863</v>
      </c>
      <c r="AP62" s="158">
        <v>1.085898361</v>
      </c>
      <c r="AQ62" s="100" t="s">
        <v>663</v>
      </c>
      <c r="AR62" s="100" t="s">
        <v>663</v>
      </c>
      <c r="AS62" s="98">
        <v>694.1431670281995</v>
      </c>
      <c r="AT62" s="98" t="s">
        <v>663</v>
      </c>
      <c r="AU62" s="98" t="s">
        <v>663</v>
      </c>
      <c r="AV62" s="98">
        <v>824.295010845987</v>
      </c>
      <c r="AW62" s="98">
        <v>824.295010845987</v>
      </c>
      <c r="AX62" s="98">
        <v>303.6876355748373</v>
      </c>
      <c r="AY62" s="98">
        <v>780.9110629067245</v>
      </c>
      <c r="AZ62" s="98" t="s">
        <v>663</v>
      </c>
      <c r="BA62" s="100" t="s">
        <v>663</v>
      </c>
      <c r="BB62" s="100" t="s">
        <v>663</v>
      </c>
      <c r="BC62" s="100" t="s">
        <v>663</v>
      </c>
      <c r="BD62" s="158">
        <v>0.7858699799</v>
      </c>
      <c r="BE62" s="158">
        <v>1.4626979059999998</v>
      </c>
      <c r="BF62" s="162">
        <v>261</v>
      </c>
      <c r="BG62" s="162" t="s">
        <v>663</v>
      </c>
      <c r="BH62" s="162">
        <v>541</v>
      </c>
      <c r="BI62" s="162">
        <v>217</v>
      </c>
      <c r="BJ62" s="162">
        <v>115</v>
      </c>
      <c r="BK62" s="97"/>
      <c r="BL62" s="97"/>
      <c r="BM62" s="97"/>
      <c r="BN62" s="97"/>
    </row>
    <row r="63" spans="1:66" ht="12.75">
      <c r="A63" s="79" t="s">
        <v>635</v>
      </c>
      <c r="B63" s="79" t="s">
        <v>355</v>
      </c>
      <c r="C63" s="79" t="s">
        <v>234</v>
      </c>
      <c r="D63" s="99">
        <v>5039</v>
      </c>
      <c r="E63" s="99">
        <v>881</v>
      </c>
      <c r="F63" s="99" t="s">
        <v>399</v>
      </c>
      <c r="G63" s="99">
        <v>23</v>
      </c>
      <c r="H63" s="99">
        <v>10</v>
      </c>
      <c r="I63" s="99">
        <v>93</v>
      </c>
      <c r="J63" s="99">
        <v>527</v>
      </c>
      <c r="K63" s="99">
        <v>11</v>
      </c>
      <c r="L63" s="99">
        <v>1121</v>
      </c>
      <c r="M63" s="99">
        <v>242</v>
      </c>
      <c r="N63" s="99">
        <v>183</v>
      </c>
      <c r="O63" s="99">
        <v>50</v>
      </c>
      <c r="P63" s="159">
        <v>50</v>
      </c>
      <c r="Q63" s="99">
        <v>14</v>
      </c>
      <c r="R63" s="99">
        <v>23</v>
      </c>
      <c r="S63" s="99" t="s">
        <v>663</v>
      </c>
      <c r="T63" s="99">
        <v>13</v>
      </c>
      <c r="U63" s="99">
        <v>7</v>
      </c>
      <c r="V63" s="99" t="s">
        <v>663</v>
      </c>
      <c r="W63" s="99">
        <v>20</v>
      </c>
      <c r="X63" s="99">
        <v>20</v>
      </c>
      <c r="Y63" s="99">
        <v>41</v>
      </c>
      <c r="Z63" s="99">
        <v>39</v>
      </c>
      <c r="AA63" s="99" t="s">
        <v>663</v>
      </c>
      <c r="AB63" s="99" t="s">
        <v>663</v>
      </c>
      <c r="AC63" s="99" t="s">
        <v>663</v>
      </c>
      <c r="AD63" s="98" t="s">
        <v>376</v>
      </c>
      <c r="AE63" s="100">
        <v>0.17483627703909504</v>
      </c>
      <c r="AF63" s="100">
        <v>0.08</v>
      </c>
      <c r="AG63" s="98">
        <v>456.4397697955944</v>
      </c>
      <c r="AH63" s="98">
        <v>198.45207382417146</v>
      </c>
      <c r="AI63" s="100">
        <v>0.018000000000000002</v>
      </c>
      <c r="AJ63" s="100">
        <v>0.772727</v>
      </c>
      <c r="AK63" s="100">
        <v>0.785714</v>
      </c>
      <c r="AL63" s="100">
        <v>0.852471</v>
      </c>
      <c r="AM63" s="100">
        <v>0.417962</v>
      </c>
      <c r="AN63" s="100">
        <v>0.56135</v>
      </c>
      <c r="AO63" s="98">
        <v>992.2603691208573</v>
      </c>
      <c r="AP63" s="158">
        <v>0.5008488846</v>
      </c>
      <c r="AQ63" s="100">
        <v>0.28</v>
      </c>
      <c r="AR63" s="100">
        <v>0.6086956521739131</v>
      </c>
      <c r="AS63" s="98" t="s">
        <v>663</v>
      </c>
      <c r="AT63" s="98">
        <v>257.9876959714229</v>
      </c>
      <c r="AU63" s="98">
        <v>138.91645167692002</v>
      </c>
      <c r="AV63" s="98" t="s">
        <v>663</v>
      </c>
      <c r="AW63" s="98">
        <v>396.9041476483429</v>
      </c>
      <c r="AX63" s="98">
        <v>396.9041476483429</v>
      </c>
      <c r="AY63" s="98">
        <v>813.653502679103</v>
      </c>
      <c r="AZ63" s="98">
        <v>773.9630879142687</v>
      </c>
      <c r="BA63" s="100" t="s">
        <v>663</v>
      </c>
      <c r="BB63" s="100" t="s">
        <v>663</v>
      </c>
      <c r="BC63" s="100" t="s">
        <v>663</v>
      </c>
      <c r="BD63" s="158">
        <v>0.3717396927</v>
      </c>
      <c r="BE63" s="158">
        <v>0.6603068542</v>
      </c>
      <c r="BF63" s="162">
        <v>682</v>
      </c>
      <c r="BG63" s="162">
        <v>14</v>
      </c>
      <c r="BH63" s="162">
        <v>1315</v>
      </c>
      <c r="BI63" s="162">
        <v>579</v>
      </c>
      <c r="BJ63" s="162">
        <v>326</v>
      </c>
      <c r="BK63" s="97"/>
      <c r="BL63" s="97"/>
      <c r="BM63" s="97"/>
      <c r="BN63" s="97"/>
    </row>
    <row r="64" spans="1:66" ht="12.75">
      <c r="A64" s="79" t="s">
        <v>595</v>
      </c>
      <c r="B64" s="79" t="s">
        <v>315</v>
      </c>
      <c r="C64" s="79" t="s">
        <v>234</v>
      </c>
      <c r="D64" s="99">
        <v>3368</v>
      </c>
      <c r="E64" s="99">
        <v>481</v>
      </c>
      <c r="F64" s="99" t="s">
        <v>398</v>
      </c>
      <c r="G64" s="99">
        <v>14</v>
      </c>
      <c r="H64" s="99">
        <v>10</v>
      </c>
      <c r="I64" s="99">
        <v>65</v>
      </c>
      <c r="J64" s="99">
        <v>279</v>
      </c>
      <c r="K64" s="99">
        <v>35</v>
      </c>
      <c r="L64" s="99">
        <v>651</v>
      </c>
      <c r="M64" s="99">
        <v>174</v>
      </c>
      <c r="N64" s="99">
        <v>99</v>
      </c>
      <c r="O64" s="99">
        <v>22</v>
      </c>
      <c r="P64" s="159">
        <v>22</v>
      </c>
      <c r="Q64" s="99" t="s">
        <v>663</v>
      </c>
      <c r="R64" s="99">
        <v>17</v>
      </c>
      <c r="S64" s="99">
        <v>8</v>
      </c>
      <c r="T64" s="99" t="s">
        <v>663</v>
      </c>
      <c r="U64" s="99" t="s">
        <v>663</v>
      </c>
      <c r="V64" s="99" t="s">
        <v>663</v>
      </c>
      <c r="W64" s="99">
        <v>23</v>
      </c>
      <c r="X64" s="99">
        <v>13</v>
      </c>
      <c r="Y64" s="99">
        <v>49</v>
      </c>
      <c r="Z64" s="99">
        <v>26</v>
      </c>
      <c r="AA64" s="99" t="s">
        <v>663</v>
      </c>
      <c r="AB64" s="99" t="s">
        <v>663</v>
      </c>
      <c r="AC64" s="99" t="s">
        <v>663</v>
      </c>
      <c r="AD64" s="98" t="s">
        <v>376</v>
      </c>
      <c r="AE64" s="100">
        <v>0.1428147268408551</v>
      </c>
      <c r="AF64" s="100">
        <v>0.16</v>
      </c>
      <c r="AG64" s="98">
        <v>415.67695961995247</v>
      </c>
      <c r="AH64" s="98">
        <v>296.91211401425176</v>
      </c>
      <c r="AI64" s="100">
        <v>0.019</v>
      </c>
      <c r="AJ64" s="100">
        <v>0.711735</v>
      </c>
      <c r="AK64" s="100">
        <v>0.7</v>
      </c>
      <c r="AL64" s="100">
        <v>0.786232</v>
      </c>
      <c r="AM64" s="100">
        <v>0.483333</v>
      </c>
      <c r="AN64" s="100">
        <v>0.507692</v>
      </c>
      <c r="AO64" s="98">
        <v>653.206650831354</v>
      </c>
      <c r="AP64" s="158">
        <v>0.37734409329999996</v>
      </c>
      <c r="AQ64" s="100" t="s">
        <v>663</v>
      </c>
      <c r="AR64" s="100" t="s">
        <v>663</v>
      </c>
      <c r="AS64" s="98">
        <v>237.52969121140143</v>
      </c>
      <c r="AT64" s="98" t="s">
        <v>663</v>
      </c>
      <c r="AU64" s="98" t="s">
        <v>663</v>
      </c>
      <c r="AV64" s="98" t="s">
        <v>663</v>
      </c>
      <c r="AW64" s="98">
        <v>682.8978622327791</v>
      </c>
      <c r="AX64" s="98">
        <v>385.9857482185273</v>
      </c>
      <c r="AY64" s="98">
        <v>1454.8693586698337</v>
      </c>
      <c r="AZ64" s="98">
        <v>771.9714964370546</v>
      </c>
      <c r="BA64" s="100" t="s">
        <v>663</v>
      </c>
      <c r="BB64" s="100" t="s">
        <v>663</v>
      </c>
      <c r="BC64" s="100" t="s">
        <v>663</v>
      </c>
      <c r="BD64" s="158">
        <v>0.23647954940000002</v>
      </c>
      <c r="BE64" s="158">
        <v>0.5713035202</v>
      </c>
      <c r="BF64" s="162">
        <v>392</v>
      </c>
      <c r="BG64" s="162">
        <v>50</v>
      </c>
      <c r="BH64" s="162">
        <v>828</v>
      </c>
      <c r="BI64" s="162">
        <v>360</v>
      </c>
      <c r="BJ64" s="162">
        <v>195</v>
      </c>
      <c r="BK64" s="97"/>
      <c r="BL64" s="97"/>
      <c r="BM64" s="97"/>
      <c r="BN64" s="97"/>
    </row>
    <row r="65" spans="1:66" ht="12.75">
      <c r="A65" s="79" t="s">
        <v>649</v>
      </c>
      <c r="B65" s="79" t="s">
        <v>369</v>
      </c>
      <c r="C65" s="79" t="s">
        <v>234</v>
      </c>
      <c r="D65" s="99">
        <v>4301</v>
      </c>
      <c r="E65" s="99">
        <v>892</v>
      </c>
      <c r="F65" s="99" t="s">
        <v>397</v>
      </c>
      <c r="G65" s="99" t="s">
        <v>663</v>
      </c>
      <c r="H65" s="99">
        <v>13</v>
      </c>
      <c r="I65" s="99">
        <v>87</v>
      </c>
      <c r="J65" s="99">
        <v>480</v>
      </c>
      <c r="K65" s="99">
        <v>24</v>
      </c>
      <c r="L65" s="99">
        <v>863</v>
      </c>
      <c r="M65" s="99">
        <v>340</v>
      </c>
      <c r="N65" s="99">
        <v>182</v>
      </c>
      <c r="O65" s="99">
        <v>61</v>
      </c>
      <c r="P65" s="159">
        <v>61</v>
      </c>
      <c r="Q65" s="99">
        <v>11</v>
      </c>
      <c r="R65" s="99">
        <v>21</v>
      </c>
      <c r="S65" s="99">
        <v>9</v>
      </c>
      <c r="T65" s="99">
        <v>6</v>
      </c>
      <c r="U65" s="99" t="s">
        <v>663</v>
      </c>
      <c r="V65" s="99">
        <v>16</v>
      </c>
      <c r="W65" s="99">
        <v>23</v>
      </c>
      <c r="X65" s="99">
        <v>11</v>
      </c>
      <c r="Y65" s="99">
        <v>51</v>
      </c>
      <c r="Z65" s="99">
        <v>35</v>
      </c>
      <c r="AA65" s="99" t="s">
        <v>663</v>
      </c>
      <c r="AB65" s="99" t="s">
        <v>663</v>
      </c>
      <c r="AC65" s="99" t="s">
        <v>663</v>
      </c>
      <c r="AD65" s="98" t="s">
        <v>376</v>
      </c>
      <c r="AE65" s="100">
        <v>0.2073936293885143</v>
      </c>
      <c r="AF65" s="100">
        <v>0.12</v>
      </c>
      <c r="AG65" s="98" t="s">
        <v>663</v>
      </c>
      <c r="AH65" s="98">
        <v>302.25528946756566</v>
      </c>
      <c r="AI65" s="100">
        <v>0.02</v>
      </c>
      <c r="AJ65" s="100">
        <v>0.74883</v>
      </c>
      <c r="AK65" s="100">
        <v>0.705882</v>
      </c>
      <c r="AL65" s="100">
        <v>0.816462</v>
      </c>
      <c r="AM65" s="100">
        <v>0.551948</v>
      </c>
      <c r="AN65" s="100">
        <v>0.587097</v>
      </c>
      <c r="AO65" s="98">
        <v>1418.2748198093466</v>
      </c>
      <c r="AP65" s="158">
        <v>0.6659452057</v>
      </c>
      <c r="AQ65" s="100">
        <v>0.18032786885245902</v>
      </c>
      <c r="AR65" s="100">
        <v>0.5238095238095238</v>
      </c>
      <c r="AS65" s="98">
        <v>209.25366193908394</v>
      </c>
      <c r="AT65" s="98">
        <v>139.50244129272264</v>
      </c>
      <c r="AU65" s="98" t="s">
        <v>663</v>
      </c>
      <c r="AV65" s="98">
        <v>372.006510113927</v>
      </c>
      <c r="AW65" s="98">
        <v>534.75935828877</v>
      </c>
      <c r="AX65" s="98">
        <v>255.7544757033248</v>
      </c>
      <c r="AY65" s="98">
        <v>1185.7707509881423</v>
      </c>
      <c r="AZ65" s="98">
        <v>813.7642408742153</v>
      </c>
      <c r="BA65" s="100" t="s">
        <v>663</v>
      </c>
      <c r="BB65" s="100" t="s">
        <v>663</v>
      </c>
      <c r="BC65" s="100" t="s">
        <v>663</v>
      </c>
      <c r="BD65" s="158">
        <v>0.5093953323</v>
      </c>
      <c r="BE65" s="158">
        <v>0.855434494</v>
      </c>
      <c r="BF65" s="162">
        <v>641</v>
      </c>
      <c r="BG65" s="162">
        <v>34</v>
      </c>
      <c r="BH65" s="162">
        <v>1057</v>
      </c>
      <c r="BI65" s="162">
        <v>616</v>
      </c>
      <c r="BJ65" s="162">
        <v>310</v>
      </c>
      <c r="BK65" s="97"/>
      <c r="BL65" s="97"/>
      <c r="BM65" s="97"/>
      <c r="BN65" s="97"/>
    </row>
    <row r="66" spans="1:66" ht="12.75">
      <c r="A66" s="79" t="s">
        <v>644</v>
      </c>
      <c r="B66" s="79" t="s">
        <v>364</v>
      </c>
      <c r="C66" s="79" t="s">
        <v>234</v>
      </c>
      <c r="D66" s="99">
        <v>2979</v>
      </c>
      <c r="E66" s="99">
        <v>408</v>
      </c>
      <c r="F66" s="99" t="s">
        <v>398</v>
      </c>
      <c r="G66" s="99">
        <v>10</v>
      </c>
      <c r="H66" s="99" t="s">
        <v>663</v>
      </c>
      <c r="I66" s="99">
        <v>33</v>
      </c>
      <c r="J66" s="99">
        <v>303</v>
      </c>
      <c r="K66" s="99">
        <v>19</v>
      </c>
      <c r="L66" s="99">
        <v>654</v>
      </c>
      <c r="M66" s="99">
        <v>226</v>
      </c>
      <c r="N66" s="99">
        <v>124</v>
      </c>
      <c r="O66" s="99">
        <v>44</v>
      </c>
      <c r="P66" s="159">
        <v>44</v>
      </c>
      <c r="Q66" s="99">
        <v>10</v>
      </c>
      <c r="R66" s="99">
        <v>16</v>
      </c>
      <c r="S66" s="99">
        <v>6</v>
      </c>
      <c r="T66" s="99">
        <v>7</v>
      </c>
      <c r="U66" s="99" t="s">
        <v>663</v>
      </c>
      <c r="V66" s="99">
        <v>7</v>
      </c>
      <c r="W66" s="99">
        <v>37</v>
      </c>
      <c r="X66" s="99">
        <v>9</v>
      </c>
      <c r="Y66" s="99">
        <v>30</v>
      </c>
      <c r="Z66" s="99">
        <v>17</v>
      </c>
      <c r="AA66" s="99" t="s">
        <v>663</v>
      </c>
      <c r="AB66" s="99" t="s">
        <v>663</v>
      </c>
      <c r="AC66" s="99" t="s">
        <v>663</v>
      </c>
      <c r="AD66" s="98" t="s">
        <v>376</v>
      </c>
      <c r="AE66" s="100">
        <v>0.13695871097683787</v>
      </c>
      <c r="AF66" s="100">
        <v>0.12</v>
      </c>
      <c r="AG66" s="98">
        <v>335.6831151393085</v>
      </c>
      <c r="AH66" s="98" t="s">
        <v>663</v>
      </c>
      <c r="AI66" s="100">
        <v>0.011000000000000001</v>
      </c>
      <c r="AJ66" s="100">
        <v>0.808</v>
      </c>
      <c r="AK66" s="100">
        <v>0.904762</v>
      </c>
      <c r="AL66" s="100">
        <v>0.835249</v>
      </c>
      <c r="AM66" s="100">
        <v>0.610811</v>
      </c>
      <c r="AN66" s="100">
        <v>0.659574</v>
      </c>
      <c r="AO66" s="98">
        <v>1477.0057066129573</v>
      </c>
      <c r="AP66" s="158">
        <v>0.8330995178</v>
      </c>
      <c r="AQ66" s="100">
        <v>0.22727272727272727</v>
      </c>
      <c r="AR66" s="100">
        <v>0.625</v>
      </c>
      <c r="AS66" s="98">
        <v>201.4098690835851</v>
      </c>
      <c r="AT66" s="98">
        <v>234.97818059751594</v>
      </c>
      <c r="AU66" s="98" t="s">
        <v>663</v>
      </c>
      <c r="AV66" s="98">
        <v>234.97818059751594</v>
      </c>
      <c r="AW66" s="98">
        <v>1242.0275260154415</v>
      </c>
      <c r="AX66" s="98">
        <v>302.11480362537765</v>
      </c>
      <c r="AY66" s="98">
        <v>1007.0493454179255</v>
      </c>
      <c r="AZ66" s="98">
        <v>570.6612957368244</v>
      </c>
      <c r="BA66" s="100" t="s">
        <v>663</v>
      </c>
      <c r="BB66" s="100" t="s">
        <v>663</v>
      </c>
      <c r="BC66" s="100" t="s">
        <v>663</v>
      </c>
      <c r="BD66" s="158">
        <v>0.6053313828</v>
      </c>
      <c r="BE66" s="158">
        <v>1.118397217</v>
      </c>
      <c r="BF66" s="162">
        <v>375</v>
      </c>
      <c r="BG66" s="162">
        <v>21</v>
      </c>
      <c r="BH66" s="162">
        <v>783</v>
      </c>
      <c r="BI66" s="162">
        <v>370</v>
      </c>
      <c r="BJ66" s="162">
        <v>188</v>
      </c>
      <c r="BK66" s="97"/>
      <c r="BL66" s="97"/>
      <c r="BM66" s="97"/>
      <c r="BN66" s="97"/>
    </row>
    <row r="67" spans="1:66" ht="12.75">
      <c r="A67" s="79" t="s">
        <v>645</v>
      </c>
      <c r="B67" s="79" t="s">
        <v>365</v>
      </c>
      <c r="C67" s="79" t="s">
        <v>234</v>
      </c>
      <c r="D67" s="99">
        <v>3186</v>
      </c>
      <c r="E67" s="99">
        <v>526</v>
      </c>
      <c r="F67" s="99" t="s">
        <v>398</v>
      </c>
      <c r="G67" s="99">
        <v>11</v>
      </c>
      <c r="H67" s="99">
        <v>10</v>
      </c>
      <c r="I67" s="99">
        <v>57</v>
      </c>
      <c r="J67" s="99">
        <v>270</v>
      </c>
      <c r="K67" s="99">
        <v>7</v>
      </c>
      <c r="L67" s="99">
        <v>664</v>
      </c>
      <c r="M67" s="99">
        <v>109</v>
      </c>
      <c r="N67" s="99">
        <v>85</v>
      </c>
      <c r="O67" s="99">
        <v>118</v>
      </c>
      <c r="P67" s="159">
        <v>118</v>
      </c>
      <c r="Q67" s="99">
        <v>13</v>
      </c>
      <c r="R67" s="99">
        <v>22</v>
      </c>
      <c r="S67" s="99">
        <v>20</v>
      </c>
      <c r="T67" s="99">
        <v>15</v>
      </c>
      <c r="U67" s="99">
        <v>7</v>
      </c>
      <c r="V67" s="99">
        <v>16</v>
      </c>
      <c r="W67" s="99">
        <v>14</v>
      </c>
      <c r="X67" s="99">
        <v>25</v>
      </c>
      <c r="Y67" s="99">
        <v>40</v>
      </c>
      <c r="Z67" s="99">
        <v>29</v>
      </c>
      <c r="AA67" s="99" t="s">
        <v>663</v>
      </c>
      <c r="AB67" s="99" t="s">
        <v>663</v>
      </c>
      <c r="AC67" s="99" t="s">
        <v>663</v>
      </c>
      <c r="AD67" s="98" t="s">
        <v>376</v>
      </c>
      <c r="AE67" s="100">
        <v>0.16509730069052103</v>
      </c>
      <c r="AF67" s="100">
        <v>0.17</v>
      </c>
      <c r="AG67" s="98">
        <v>345.2605147520402</v>
      </c>
      <c r="AH67" s="98">
        <v>313.8731952291274</v>
      </c>
      <c r="AI67" s="100">
        <v>0.018000000000000002</v>
      </c>
      <c r="AJ67" s="100">
        <v>0.721925</v>
      </c>
      <c r="AK67" s="100">
        <v>0.777778</v>
      </c>
      <c r="AL67" s="100">
        <v>0.836272</v>
      </c>
      <c r="AM67" s="100">
        <v>0.335385</v>
      </c>
      <c r="AN67" s="100">
        <v>0.491329</v>
      </c>
      <c r="AO67" s="98">
        <v>3703.703703703704</v>
      </c>
      <c r="AP67" s="158">
        <v>1.9837446589999999</v>
      </c>
      <c r="AQ67" s="100">
        <v>0.11016949152542373</v>
      </c>
      <c r="AR67" s="100">
        <v>0.5909090909090909</v>
      </c>
      <c r="AS67" s="98">
        <v>627.7463904582548</v>
      </c>
      <c r="AT67" s="98">
        <v>470.8097928436911</v>
      </c>
      <c r="AU67" s="98">
        <v>219.7112366603892</v>
      </c>
      <c r="AV67" s="98">
        <v>502.1971123666039</v>
      </c>
      <c r="AW67" s="98">
        <v>439.4224733207784</v>
      </c>
      <c r="AX67" s="98">
        <v>784.6829880728186</v>
      </c>
      <c r="AY67" s="98">
        <v>1255.4927809165097</v>
      </c>
      <c r="AZ67" s="98">
        <v>910.2322661644696</v>
      </c>
      <c r="BA67" s="100" t="s">
        <v>663</v>
      </c>
      <c r="BB67" s="100" t="s">
        <v>663</v>
      </c>
      <c r="BC67" s="100" t="s">
        <v>663</v>
      </c>
      <c r="BD67" s="158">
        <v>1.641997986</v>
      </c>
      <c r="BE67" s="158">
        <v>2.375643921</v>
      </c>
      <c r="BF67" s="162">
        <v>374</v>
      </c>
      <c r="BG67" s="162">
        <v>9</v>
      </c>
      <c r="BH67" s="162">
        <v>794</v>
      </c>
      <c r="BI67" s="162">
        <v>325</v>
      </c>
      <c r="BJ67" s="162">
        <v>173</v>
      </c>
      <c r="BK67" s="97"/>
      <c r="BL67" s="97"/>
      <c r="BM67" s="97"/>
      <c r="BN67" s="97"/>
    </row>
    <row r="68" spans="1:66" ht="12.75">
      <c r="A68" s="79" t="s">
        <v>586</v>
      </c>
      <c r="B68" s="79" t="s">
        <v>306</v>
      </c>
      <c r="C68" s="79" t="s">
        <v>234</v>
      </c>
      <c r="D68" s="99">
        <v>10067</v>
      </c>
      <c r="E68" s="99">
        <v>1994</v>
      </c>
      <c r="F68" s="99" t="s">
        <v>399</v>
      </c>
      <c r="G68" s="99">
        <v>50</v>
      </c>
      <c r="H68" s="99">
        <v>32</v>
      </c>
      <c r="I68" s="99">
        <v>240</v>
      </c>
      <c r="J68" s="99">
        <v>1295</v>
      </c>
      <c r="K68" s="99">
        <v>12</v>
      </c>
      <c r="L68" s="99">
        <v>1925</v>
      </c>
      <c r="M68" s="99">
        <v>931</v>
      </c>
      <c r="N68" s="99">
        <v>503</v>
      </c>
      <c r="O68" s="99">
        <v>239</v>
      </c>
      <c r="P68" s="159">
        <v>239</v>
      </c>
      <c r="Q68" s="99">
        <v>26</v>
      </c>
      <c r="R68" s="99">
        <v>61</v>
      </c>
      <c r="S68" s="99">
        <v>29</v>
      </c>
      <c r="T68" s="99">
        <v>22</v>
      </c>
      <c r="U68" s="99">
        <v>10</v>
      </c>
      <c r="V68" s="99">
        <v>39</v>
      </c>
      <c r="W68" s="99">
        <v>83</v>
      </c>
      <c r="X68" s="99">
        <v>21</v>
      </c>
      <c r="Y68" s="99">
        <v>121</v>
      </c>
      <c r="Z68" s="99">
        <v>77</v>
      </c>
      <c r="AA68" s="99" t="s">
        <v>663</v>
      </c>
      <c r="AB68" s="99" t="s">
        <v>663</v>
      </c>
      <c r="AC68" s="99" t="s">
        <v>663</v>
      </c>
      <c r="AD68" s="98" t="s">
        <v>376</v>
      </c>
      <c r="AE68" s="100">
        <v>0.1980729114929969</v>
      </c>
      <c r="AF68" s="100">
        <v>0.07</v>
      </c>
      <c r="AG68" s="98">
        <v>496.67229561935034</v>
      </c>
      <c r="AH68" s="98">
        <v>317.87026919638424</v>
      </c>
      <c r="AI68" s="100">
        <v>0.024</v>
      </c>
      <c r="AJ68" s="100">
        <v>0.817035</v>
      </c>
      <c r="AK68" s="100">
        <v>0.666667</v>
      </c>
      <c r="AL68" s="100">
        <v>0.762981</v>
      </c>
      <c r="AM68" s="100">
        <v>0.600258</v>
      </c>
      <c r="AN68" s="100">
        <v>0.626401</v>
      </c>
      <c r="AO68" s="98">
        <v>2374.0935730604947</v>
      </c>
      <c r="AP68" s="158">
        <v>1.131194077</v>
      </c>
      <c r="AQ68" s="100">
        <v>0.1087866108786611</v>
      </c>
      <c r="AR68" s="100">
        <v>0.4262295081967213</v>
      </c>
      <c r="AS68" s="98">
        <v>288.0699314592232</v>
      </c>
      <c r="AT68" s="98">
        <v>218.53581007251415</v>
      </c>
      <c r="AU68" s="98">
        <v>99.33445912387008</v>
      </c>
      <c r="AV68" s="98">
        <v>387.4043905830933</v>
      </c>
      <c r="AW68" s="98">
        <v>824.4760107281215</v>
      </c>
      <c r="AX68" s="98">
        <v>208.60236416012714</v>
      </c>
      <c r="AY68" s="98">
        <v>1201.9469553988279</v>
      </c>
      <c r="AZ68" s="98">
        <v>764.8753352537996</v>
      </c>
      <c r="BA68" s="100" t="s">
        <v>663</v>
      </c>
      <c r="BB68" s="100" t="s">
        <v>663</v>
      </c>
      <c r="BC68" s="100" t="s">
        <v>663</v>
      </c>
      <c r="BD68" s="158">
        <v>0.992315979</v>
      </c>
      <c r="BE68" s="158">
        <v>1.2840681459999999</v>
      </c>
      <c r="BF68" s="162">
        <v>1585</v>
      </c>
      <c r="BG68" s="162">
        <v>18</v>
      </c>
      <c r="BH68" s="162">
        <v>2523</v>
      </c>
      <c r="BI68" s="162">
        <v>1551</v>
      </c>
      <c r="BJ68" s="162">
        <v>803</v>
      </c>
      <c r="BK68" s="97"/>
      <c r="BL68" s="97"/>
      <c r="BM68" s="97"/>
      <c r="BN68" s="97"/>
    </row>
    <row r="69" spans="1:66" ht="12.75">
      <c r="A69" s="79" t="s">
        <v>646</v>
      </c>
      <c r="B69" s="79" t="s">
        <v>366</v>
      </c>
      <c r="C69" s="79" t="s">
        <v>234</v>
      </c>
      <c r="D69" s="99">
        <v>3807</v>
      </c>
      <c r="E69" s="99">
        <v>430</v>
      </c>
      <c r="F69" s="99" t="s">
        <v>397</v>
      </c>
      <c r="G69" s="99">
        <v>15</v>
      </c>
      <c r="H69" s="99" t="s">
        <v>663</v>
      </c>
      <c r="I69" s="99">
        <v>76</v>
      </c>
      <c r="J69" s="99">
        <v>322</v>
      </c>
      <c r="K69" s="99">
        <v>7</v>
      </c>
      <c r="L69" s="99">
        <v>815</v>
      </c>
      <c r="M69" s="99">
        <v>221</v>
      </c>
      <c r="N69" s="99">
        <v>133</v>
      </c>
      <c r="O69" s="99">
        <v>61</v>
      </c>
      <c r="P69" s="159">
        <v>61</v>
      </c>
      <c r="Q69" s="99">
        <v>8</v>
      </c>
      <c r="R69" s="99">
        <v>9</v>
      </c>
      <c r="S69" s="99">
        <v>15</v>
      </c>
      <c r="T69" s="99">
        <v>6</v>
      </c>
      <c r="U69" s="99" t="s">
        <v>663</v>
      </c>
      <c r="V69" s="99">
        <v>7</v>
      </c>
      <c r="W69" s="99">
        <v>24</v>
      </c>
      <c r="X69" s="99">
        <v>6</v>
      </c>
      <c r="Y69" s="99">
        <v>25</v>
      </c>
      <c r="Z69" s="99">
        <v>23</v>
      </c>
      <c r="AA69" s="99" t="s">
        <v>663</v>
      </c>
      <c r="AB69" s="99" t="s">
        <v>663</v>
      </c>
      <c r="AC69" s="99" t="s">
        <v>663</v>
      </c>
      <c r="AD69" s="98" t="s">
        <v>376</v>
      </c>
      <c r="AE69" s="100">
        <v>0.112949829261886</v>
      </c>
      <c r="AF69" s="100">
        <v>0.11</v>
      </c>
      <c r="AG69" s="98">
        <v>394.01103230890465</v>
      </c>
      <c r="AH69" s="98" t="s">
        <v>663</v>
      </c>
      <c r="AI69" s="100">
        <v>0.02</v>
      </c>
      <c r="AJ69" s="100">
        <v>0.70614</v>
      </c>
      <c r="AK69" s="100">
        <v>0.7</v>
      </c>
      <c r="AL69" s="100">
        <v>0.832482</v>
      </c>
      <c r="AM69" s="100">
        <v>0.586207</v>
      </c>
      <c r="AN69" s="100">
        <v>0.599099</v>
      </c>
      <c r="AO69" s="98">
        <v>1602.3115313895455</v>
      </c>
      <c r="AP69" s="158">
        <v>0.9468190002</v>
      </c>
      <c r="AQ69" s="100">
        <v>0.13114754098360656</v>
      </c>
      <c r="AR69" s="100">
        <v>0.8888888888888888</v>
      </c>
      <c r="AS69" s="98">
        <v>394.01103230890465</v>
      </c>
      <c r="AT69" s="98">
        <v>157.60441292356185</v>
      </c>
      <c r="AU69" s="98" t="s">
        <v>663</v>
      </c>
      <c r="AV69" s="98">
        <v>183.87181507748883</v>
      </c>
      <c r="AW69" s="98">
        <v>630.4176516942474</v>
      </c>
      <c r="AX69" s="98">
        <v>157.60441292356185</v>
      </c>
      <c r="AY69" s="98">
        <v>656.6850538481744</v>
      </c>
      <c r="AZ69" s="98">
        <v>604.1502495403205</v>
      </c>
      <c r="BA69" s="100" t="s">
        <v>663</v>
      </c>
      <c r="BB69" s="100" t="s">
        <v>663</v>
      </c>
      <c r="BC69" s="100" t="s">
        <v>663</v>
      </c>
      <c r="BD69" s="158">
        <v>0.7242415619</v>
      </c>
      <c r="BE69" s="158">
        <v>1.216228638</v>
      </c>
      <c r="BF69" s="162">
        <v>456</v>
      </c>
      <c r="BG69" s="162">
        <v>10</v>
      </c>
      <c r="BH69" s="162">
        <v>979</v>
      </c>
      <c r="BI69" s="162">
        <v>377</v>
      </c>
      <c r="BJ69" s="162">
        <v>222</v>
      </c>
      <c r="BK69" s="97"/>
      <c r="BL69" s="97"/>
      <c r="BM69" s="97"/>
      <c r="BN69" s="97"/>
    </row>
    <row r="70" spans="1:66" ht="12.75">
      <c r="A70" s="79" t="s">
        <v>618</v>
      </c>
      <c r="B70" s="79" t="s">
        <v>338</v>
      </c>
      <c r="C70" s="79" t="s">
        <v>234</v>
      </c>
      <c r="D70" s="99">
        <v>4037</v>
      </c>
      <c r="E70" s="99">
        <v>773</v>
      </c>
      <c r="F70" s="99" t="s">
        <v>398</v>
      </c>
      <c r="G70" s="99">
        <v>22</v>
      </c>
      <c r="H70" s="99">
        <v>9</v>
      </c>
      <c r="I70" s="99">
        <v>86</v>
      </c>
      <c r="J70" s="99">
        <v>350</v>
      </c>
      <c r="K70" s="99" t="s">
        <v>663</v>
      </c>
      <c r="L70" s="99">
        <v>724</v>
      </c>
      <c r="M70" s="99">
        <v>290</v>
      </c>
      <c r="N70" s="99">
        <v>161</v>
      </c>
      <c r="O70" s="99">
        <v>68</v>
      </c>
      <c r="P70" s="159">
        <v>68</v>
      </c>
      <c r="Q70" s="99">
        <v>9</v>
      </c>
      <c r="R70" s="99">
        <v>18</v>
      </c>
      <c r="S70" s="99">
        <v>14</v>
      </c>
      <c r="T70" s="99">
        <v>14</v>
      </c>
      <c r="U70" s="99">
        <v>6</v>
      </c>
      <c r="V70" s="99">
        <v>11</v>
      </c>
      <c r="W70" s="99">
        <v>34</v>
      </c>
      <c r="X70" s="99">
        <v>20</v>
      </c>
      <c r="Y70" s="99">
        <v>44</v>
      </c>
      <c r="Z70" s="99">
        <v>11</v>
      </c>
      <c r="AA70" s="99" t="s">
        <v>663</v>
      </c>
      <c r="AB70" s="99" t="s">
        <v>663</v>
      </c>
      <c r="AC70" s="99" t="s">
        <v>663</v>
      </c>
      <c r="AD70" s="98" t="s">
        <v>376</v>
      </c>
      <c r="AE70" s="100">
        <v>0.19147882090661383</v>
      </c>
      <c r="AF70" s="100">
        <v>0.15</v>
      </c>
      <c r="AG70" s="98">
        <v>544.9591280653951</v>
      </c>
      <c r="AH70" s="98">
        <v>222.93782511766162</v>
      </c>
      <c r="AI70" s="100">
        <v>0.021</v>
      </c>
      <c r="AJ70" s="100">
        <v>0.744681</v>
      </c>
      <c r="AK70" s="100" t="s">
        <v>663</v>
      </c>
      <c r="AL70" s="100">
        <v>0.756531</v>
      </c>
      <c r="AM70" s="100">
        <v>0.575397</v>
      </c>
      <c r="AN70" s="100">
        <v>0.605263</v>
      </c>
      <c r="AO70" s="98">
        <v>1684.419123111221</v>
      </c>
      <c r="AP70" s="158">
        <v>0.8536595916999999</v>
      </c>
      <c r="AQ70" s="100">
        <v>0.1323529411764706</v>
      </c>
      <c r="AR70" s="100">
        <v>0.5</v>
      </c>
      <c r="AS70" s="98">
        <v>346.79217240525145</v>
      </c>
      <c r="AT70" s="98">
        <v>346.79217240525145</v>
      </c>
      <c r="AU70" s="98">
        <v>148.62521674510776</v>
      </c>
      <c r="AV70" s="98">
        <v>272.47956403269757</v>
      </c>
      <c r="AW70" s="98">
        <v>842.2095615556105</v>
      </c>
      <c r="AX70" s="98">
        <v>495.41738915035916</v>
      </c>
      <c r="AY70" s="98">
        <v>1089.9182561307903</v>
      </c>
      <c r="AZ70" s="98">
        <v>272.47956403269757</v>
      </c>
      <c r="BA70" s="100" t="s">
        <v>663</v>
      </c>
      <c r="BB70" s="100" t="s">
        <v>663</v>
      </c>
      <c r="BC70" s="100" t="s">
        <v>663</v>
      </c>
      <c r="BD70" s="158">
        <v>0.6629000854</v>
      </c>
      <c r="BE70" s="158">
        <v>1.082216949</v>
      </c>
      <c r="BF70" s="162">
        <v>470</v>
      </c>
      <c r="BG70" s="162" t="s">
        <v>663</v>
      </c>
      <c r="BH70" s="162">
        <v>957</v>
      </c>
      <c r="BI70" s="162">
        <v>504</v>
      </c>
      <c r="BJ70" s="162">
        <v>266</v>
      </c>
      <c r="BK70" s="97"/>
      <c r="BL70" s="97"/>
      <c r="BM70" s="97"/>
      <c r="BN70" s="97"/>
    </row>
    <row r="71" spans="1:66" ht="12.75">
      <c r="A71" s="79" t="s">
        <v>580</v>
      </c>
      <c r="B71" s="79" t="s">
        <v>300</v>
      </c>
      <c r="C71" s="79" t="s">
        <v>234</v>
      </c>
      <c r="D71" s="99">
        <v>10565</v>
      </c>
      <c r="E71" s="99">
        <v>1898</v>
      </c>
      <c r="F71" s="99" t="s">
        <v>398</v>
      </c>
      <c r="G71" s="99">
        <v>64</v>
      </c>
      <c r="H71" s="99">
        <v>23</v>
      </c>
      <c r="I71" s="99">
        <v>167</v>
      </c>
      <c r="J71" s="99">
        <v>1064</v>
      </c>
      <c r="K71" s="99" t="s">
        <v>663</v>
      </c>
      <c r="L71" s="99">
        <v>1891</v>
      </c>
      <c r="M71" s="99">
        <v>694</v>
      </c>
      <c r="N71" s="99">
        <v>340</v>
      </c>
      <c r="O71" s="99">
        <v>228</v>
      </c>
      <c r="P71" s="159">
        <v>228</v>
      </c>
      <c r="Q71" s="99">
        <v>25</v>
      </c>
      <c r="R71" s="99">
        <v>46</v>
      </c>
      <c r="S71" s="99">
        <v>44</v>
      </c>
      <c r="T71" s="99">
        <v>28</v>
      </c>
      <c r="U71" s="99">
        <v>18</v>
      </c>
      <c r="V71" s="99">
        <v>55</v>
      </c>
      <c r="W71" s="99">
        <v>109</v>
      </c>
      <c r="X71" s="99">
        <v>51</v>
      </c>
      <c r="Y71" s="99">
        <v>141</v>
      </c>
      <c r="Z71" s="99">
        <v>67</v>
      </c>
      <c r="AA71" s="99" t="s">
        <v>663</v>
      </c>
      <c r="AB71" s="99" t="s">
        <v>663</v>
      </c>
      <c r="AC71" s="99" t="s">
        <v>663</v>
      </c>
      <c r="AD71" s="98" t="s">
        <v>376</v>
      </c>
      <c r="AE71" s="100">
        <v>0.179649787032655</v>
      </c>
      <c r="AF71" s="100">
        <v>0.14</v>
      </c>
      <c r="AG71" s="98">
        <v>605.7737813535258</v>
      </c>
      <c r="AH71" s="98">
        <v>217.69995267392332</v>
      </c>
      <c r="AI71" s="100">
        <v>0.016</v>
      </c>
      <c r="AJ71" s="100">
        <v>0.773256</v>
      </c>
      <c r="AK71" s="100" t="s">
        <v>663</v>
      </c>
      <c r="AL71" s="100">
        <v>0.73494</v>
      </c>
      <c r="AM71" s="100">
        <v>0.541764</v>
      </c>
      <c r="AN71" s="100">
        <v>0.566667</v>
      </c>
      <c r="AO71" s="98">
        <v>2158.0690960719357</v>
      </c>
      <c r="AP71" s="158">
        <v>1.122406311</v>
      </c>
      <c r="AQ71" s="100">
        <v>0.10964912280701754</v>
      </c>
      <c r="AR71" s="100">
        <v>0.5434782608695652</v>
      </c>
      <c r="AS71" s="98">
        <v>416.46947468054896</v>
      </c>
      <c r="AT71" s="98">
        <v>265.02602934216753</v>
      </c>
      <c r="AU71" s="98">
        <v>170.37387600567914</v>
      </c>
      <c r="AV71" s="98">
        <v>520.5868433506862</v>
      </c>
      <c r="AW71" s="98">
        <v>1031.7084713677236</v>
      </c>
      <c r="AX71" s="98">
        <v>482.7259820160909</v>
      </c>
      <c r="AY71" s="98">
        <v>1334.5953620444866</v>
      </c>
      <c r="AZ71" s="98">
        <v>634.1694273544723</v>
      </c>
      <c r="BA71" s="100" t="s">
        <v>663</v>
      </c>
      <c r="BB71" s="100" t="s">
        <v>663</v>
      </c>
      <c r="BC71" s="100" t="s">
        <v>663</v>
      </c>
      <c r="BD71" s="158">
        <v>0.9814331817999999</v>
      </c>
      <c r="BE71" s="158">
        <v>1.277943954</v>
      </c>
      <c r="BF71" s="162">
        <v>1376</v>
      </c>
      <c r="BG71" s="162" t="s">
        <v>663</v>
      </c>
      <c r="BH71" s="162">
        <v>2573</v>
      </c>
      <c r="BI71" s="162">
        <v>1281</v>
      </c>
      <c r="BJ71" s="162">
        <v>600</v>
      </c>
      <c r="BK71" s="97"/>
      <c r="BL71" s="97"/>
      <c r="BM71" s="97"/>
      <c r="BN71" s="97"/>
    </row>
    <row r="72" spans="1:66" ht="12.75">
      <c r="A72" s="79" t="s">
        <v>612</v>
      </c>
      <c r="B72" s="79" t="s">
        <v>332</v>
      </c>
      <c r="C72" s="79" t="s">
        <v>234</v>
      </c>
      <c r="D72" s="99">
        <v>1704</v>
      </c>
      <c r="E72" s="99">
        <v>297</v>
      </c>
      <c r="F72" s="99" t="s">
        <v>398</v>
      </c>
      <c r="G72" s="99">
        <v>9</v>
      </c>
      <c r="H72" s="99" t="s">
        <v>663</v>
      </c>
      <c r="I72" s="99">
        <v>20</v>
      </c>
      <c r="J72" s="99">
        <v>169</v>
      </c>
      <c r="K72" s="99">
        <v>162</v>
      </c>
      <c r="L72" s="99">
        <v>318</v>
      </c>
      <c r="M72" s="99">
        <v>143</v>
      </c>
      <c r="N72" s="99">
        <v>79</v>
      </c>
      <c r="O72" s="99">
        <v>12</v>
      </c>
      <c r="P72" s="159">
        <v>12</v>
      </c>
      <c r="Q72" s="99" t="s">
        <v>663</v>
      </c>
      <c r="R72" s="99" t="s">
        <v>663</v>
      </c>
      <c r="S72" s="99" t="s">
        <v>663</v>
      </c>
      <c r="T72" s="99" t="s">
        <v>663</v>
      </c>
      <c r="U72" s="99" t="s">
        <v>663</v>
      </c>
      <c r="V72" s="99" t="s">
        <v>663</v>
      </c>
      <c r="W72" s="99">
        <v>11</v>
      </c>
      <c r="X72" s="99" t="s">
        <v>663</v>
      </c>
      <c r="Y72" s="99">
        <v>23</v>
      </c>
      <c r="Z72" s="99" t="s">
        <v>663</v>
      </c>
      <c r="AA72" s="99" t="s">
        <v>663</v>
      </c>
      <c r="AB72" s="99" t="s">
        <v>663</v>
      </c>
      <c r="AC72" s="99" t="s">
        <v>663</v>
      </c>
      <c r="AD72" s="98" t="s">
        <v>376</v>
      </c>
      <c r="AE72" s="100">
        <v>0.1742957746478873</v>
      </c>
      <c r="AF72" s="100">
        <v>0.17</v>
      </c>
      <c r="AG72" s="98">
        <v>528.169014084507</v>
      </c>
      <c r="AH72" s="98" t="s">
        <v>663</v>
      </c>
      <c r="AI72" s="100">
        <v>0.012</v>
      </c>
      <c r="AJ72" s="100">
        <v>0.719149</v>
      </c>
      <c r="AK72" s="100">
        <v>0.733032</v>
      </c>
      <c r="AL72" s="100">
        <v>0.805063</v>
      </c>
      <c r="AM72" s="100">
        <v>0.514388</v>
      </c>
      <c r="AN72" s="100">
        <v>0.512987</v>
      </c>
      <c r="AO72" s="98">
        <v>704.2253521126761</v>
      </c>
      <c r="AP72" s="158">
        <v>0.35965354920000003</v>
      </c>
      <c r="AQ72" s="100" t="s">
        <v>663</v>
      </c>
      <c r="AR72" s="100" t="s">
        <v>663</v>
      </c>
      <c r="AS72" s="98" t="s">
        <v>663</v>
      </c>
      <c r="AT72" s="98" t="s">
        <v>663</v>
      </c>
      <c r="AU72" s="98" t="s">
        <v>663</v>
      </c>
      <c r="AV72" s="98" t="s">
        <v>663</v>
      </c>
      <c r="AW72" s="98">
        <v>645.5399061032864</v>
      </c>
      <c r="AX72" s="98" t="s">
        <v>663</v>
      </c>
      <c r="AY72" s="98">
        <v>1349.7652582159624</v>
      </c>
      <c r="AZ72" s="98" t="s">
        <v>663</v>
      </c>
      <c r="BA72" s="100" t="s">
        <v>663</v>
      </c>
      <c r="BB72" s="100" t="s">
        <v>663</v>
      </c>
      <c r="BC72" s="100" t="s">
        <v>663</v>
      </c>
      <c r="BD72" s="158">
        <v>0.18583824159999998</v>
      </c>
      <c r="BE72" s="158">
        <v>0.6282423782</v>
      </c>
      <c r="BF72" s="162">
        <v>235</v>
      </c>
      <c r="BG72" s="162">
        <v>221</v>
      </c>
      <c r="BH72" s="162">
        <v>395</v>
      </c>
      <c r="BI72" s="162">
        <v>278</v>
      </c>
      <c r="BJ72" s="162">
        <v>154</v>
      </c>
      <c r="BK72" s="97"/>
      <c r="BL72" s="97"/>
      <c r="BM72" s="97"/>
      <c r="BN72" s="97"/>
    </row>
    <row r="73" spans="1:66" ht="12.75">
      <c r="A73" s="79" t="s">
        <v>632</v>
      </c>
      <c r="B73" s="79" t="s">
        <v>352</v>
      </c>
      <c r="C73" s="79" t="s">
        <v>234</v>
      </c>
      <c r="D73" s="99">
        <v>2024</v>
      </c>
      <c r="E73" s="99">
        <v>420</v>
      </c>
      <c r="F73" s="99" t="s">
        <v>397</v>
      </c>
      <c r="G73" s="99">
        <v>11</v>
      </c>
      <c r="H73" s="99" t="s">
        <v>663</v>
      </c>
      <c r="I73" s="99">
        <v>42</v>
      </c>
      <c r="J73" s="99">
        <v>197</v>
      </c>
      <c r="K73" s="99" t="s">
        <v>663</v>
      </c>
      <c r="L73" s="99">
        <v>377</v>
      </c>
      <c r="M73" s="99">
        <v>105</v>
      </c>
      <c r="N73" s="99">
        <v>81</v>
      </c>
      <c r="O73" s="99">
        <v>92</v>
      </c>
      <c r="P73" s="159">
        <v>92</v>
      </c>
      <c r="Q73" s="99">
        <v>9</v>
      </c>
      <c r="R73" s="99">
        <v>13</v>
      </c>
      <c r="S73" s="99">
        <v>17</v>
      </c>
      <c r="T73" s="99">
        <v>14</v>
      </c>
      <c r="U73" s="99" t="s">
        <v>663</v>
      </c>
      <c r="V73" s="99">
        <v>18</v>
      </c>
      <c r="W73" s="99">
        <v>16</v>
      </c>
      <c r="X73" s="99">
        <v>13</v>
      </c>
      <c r="Y73" s="99">
        <v>24</v>
      </c>
      <c r="Z73" s="99">
        <v>13</v>
      </c>
      <c r="AA73" s="99" t="s">
        <v>663</v>
      </c>
      <c r="AB73" s="99" t="s">
        <v>663</v>
      </c>
      <c r="AC73" s="99" t="s">
        <v>663</v>
      </c>
      <c r="AD73" s="98" t="s">
        <v>376</v>
      </c>
      <c r="AE73" s="100">
        <v>0.2075098814229249</v>
      </c>
      <c r="AF73" s="100">
        <v>0.1</v>
      </c>
      <c r="AG73" s="98">
        <v>543.4782608695652</v>
      </c>
      <c r="AH73" s="98" t="s">
        <v>663</v>
      </c>
      <c r="AI73" s="100">
        <v>0.021</v>
      </c>
      <c r="AJ73" s="100">
        <v>0.784861</v>
      </c>
      <c r="AK73" s="100" t="s">
        <v>663</v>
      </c>
      <c r="AL73" s="100">
        <v>0.821351</v>
      </c>
      <c r="AM73" s="100">
        <v>0.402299</v>
      </c>
      <c r="AN73" s="100">
        <v>0.536424</v>
      </c>
      <c r="AO73" s="98">
        <v>4545.454545454545</v>
      </c>
      <c r="AP73" s="158">
        <v>2.232678833</v>
      </c>
      <c r="AQ73" s="100">
        <v>0.09782608695652174</v>
      </c>
      <c r="AR73" s="100">
        <v>0.6923076923076923</v>
      </c>
      <c r="AS73" s="98">
        <v>839.9209486166008</v>
      </c>
      <c r="AT73" s="98">
        <v>691.699604743083</v>
      </c>
      <c r="AU73" s="98" t="s">
        <v>663</v>
      </c>
      <c r="AV73" s="98">
        <v>889.3280632411067</v>
      </c>
      <c r="AW73" s="98">
        <v>790.5138339920949</v>
      </c>
      <c r="AX73" s="98">
        <v>642.2924901185771</v>
      </c>
      <c r="AY73" s="98">
        <v>1185.7707509881423</v>
      </c>
      <c r="AZ73" s="98">
        <v>642.2924901185771</v>
      </c>
      <c r="BA73" s="100" t="s">
        <v>663</v>
      </c>
      <c r="BB73" s="100" t="s">
        <v>663</v>
      </c>
      <c r="BC73" s="100" t="s">
        <v>663</v>
      </c>
      <c r="BD73" s="158">
        <v>1.7998542789999998</v>
      </c>
      <c r="BE73" s="158">
        <v>2.7381823730000003</v>
      </c>
      <c r="BF73" s="162">
        <v>251</v>
      </c>
      <c r="BG73" s="162" t="s">
        <v>663</v>
      </c>
      <c r="BH73" s="162">
        <v>459</v>
      </c>
      <c r="BI73" s="162">
        <v>261</v>
      </c>
      <c r="BJ73" s="162">
        <v>151</v>
      </c>
      <c r="BK73" s="97"/>
      <c r="BL73" s="97"/>
      <c r="BM73" s="97"/>
      <c r="BN73" s="97"/>
    </row>
    <row r="74" spans="1:66" ht="12.75">
      <c r="A74" s="79" t="s">
        <v>576</v>
      </c>
      <c r="B74" s="79" t="s">
        <v>296</v>
      </c>
      <c r="C74" s="79" t="s">
        <v>234</v>
      </c>
      <c r="D74" s="99">
        <v>6803</v>
      </c>
      <c r="E74" s="99">
        <v>1842</v>
      </c>
      <c r="F74" s="99" t="s">
        <v>397</v>
      </c>
      <c r="G74" s="99">
        <v>50</v>
      </c>
      <c r="H74" s="99">
        <v>17</v>
      </c>
      <c r="I74" s="99">
        <v>198</v>
      </c>
      <c r="J74" s="99">
        <v>868</v>
      </c>
      <c r="K74" s="99">
        <v>849</v>
      </c>
      <c r="L74" s="99">
        <v>1284</v>
      </c>
      <c r="M74" s="99">
        <v>676</v>
      </c>
      <c r="N74" s="99">
        <v>428</v>
      </c>
      <c r="O74" s="99">
        <v>116</v>
      </c>
      <c r="P74" s="159">
        <v>116</v>
      </c>
      <c r="Q74" s="99">
        <v>20</v>
      </c>
      <c r="R74" s="99">
        <v>45</v>
      </c>
      <c r="S74" s="99">
        <v>8</v>
      </c>
      <c r="T74" s="99">
        <v>30</v>
      </c>
      <c r="U74" s="99">
        <v>8</v>
      </c>
      <c r="V74" s="99">
        <v>7</v>
      </c>
      <c r="W74" s="99">
        <v>48</v>
      </c>
      <c r="X74" s="99">
        <v>14</v>
      </c>
      <c r="Y74" s="99">
        <v>72</v>
      </c>
      <c r="Z74" s="99">
        <v>71</v>
      </c>
      <c r="AA74" s="99" t="s">
        <v>663</v>
      </c>
      <c r="AB74" s="99" t="s">
        <v>663</v>
      </c>
      <c r="AC74" s="99" t="s">
        <v>663</v>
      </c>
      <c r="AD74" s="98" t="s">
        <v>376</v>
      </c>
      <c r="AE74" s="100">
        <v>0.27076289872115245</v>
      </c>
      <c r="AF74" s="100">
        <v>0.1</v>
      </c>
      <c r="AG74" s="98">
        <v>734.9698662354843</v>
      </c>
      <c r="AH74" s="98">
        <v>249.88975452006468</v>
      </c>
      <c r="AI74" s="100">
        <v>0.028999999999999998</v>
      </c>
      <c r="AJ74" s="100">
        <v>0.807442</v>
      </c>
      <c r="AK74" s="100">
        <v>0.807034</v>
      </c>
      <c r="AL74" s="100">
        <v>0.794063</v>
      </c>
      <c r="AM74" s="100">
        <v>0.6647</v>
      </c>
      <c r="AN74" s="100">
        <v>0.66563</v>
      </c>
      <c r="AO74" s="98">
        <v>1705.1300896663238</v>
      </c>
      <c r="AP74" s="158">
        <v>0.7062121582</v>
      </c>
      <c r="AQ74" s="100">
        <v>0.1724137931034483</v>
      </c>
      <c r="AR74" s="100">
        <v>0.4444444444444444</v>
      </c>
      <c r="AS74" s="98">
        <v>117.59517859767749</v>
      </c>
      <c r="AT74" s="98">
        <v>440.9819197412906</v>
      </c>
      <c r="AU74" s="98">
        <v>117.59517859767749</v>
      </c>
      <c r="AV74" s="98">
        <v>102.89578127296781</v>
      </c>
      <c r="AW74" s="98">
        <v>705.5710715860649</v>
      </c>
      <c r="AX74" s="98">
        <v>205.79156254593562</v>
      </c>
      <c r="AY74" s="98">
        <v>1058.3566073790976</v>
      </c>
      <c r="AZ74" s="98">
        <v>1043.6572100543879</v>
      </c>
      <c r="BA74" s="100" t="s">
        <v>663</v>
      </c>
      <c r="BB74" s="100" t="s">
        <v>663</v>
      </c>
      <c r="BC74" s="100" t="s">
        <v>663</v>
      </c>
      <c r="BD74" s="158">
        <v>0.5835567474</v>
      </c>
      <c r="BE74" s="158">
        <v>0.8470342255</v>
      </c>
      <c r="BF74" s="162">
        <v>1075</v>
      </c>
      <c r="BG74" s="162">
        <v>1052</v>
      </c>
      <c r="BH74" s="162">
        <v>1617</v>
      </c>
      <c r="BI74" s="162">
        <v>1017</v>
      </c>
      <c r="BJ74" s="162">
        <v>643</v>
      </c>
      <c r="BK74" s="97"/>
      <c r="BL74" s="97"/>
      <c r="BM74" s="97"/>
      <c r="BN74" s="97"/>
    </row>
    <row r="75" spans="1:66" ht="12.75">
      <c r="A75" s="79" t="s">
        <v>600</v>
      </c>
      <c r="B75" s="79" t="s">
        <v>320</v>
      </c>
      <c r="C75" s="79" t="s">
        <v>234</v>
      </c>
      <c r="D75" s="99">
        <v>12866</v>
      </c>
      <c r="E75" s="99">
        <v>2802</v>
      </c>
      <c r="F75" s="99" t="s">
        <v>397</v>
      </c>
      <c r="G75" s="99">
        <v>64</v>
      </c>
      <c r="H75" s="99">
        <v>35</v>
      </c>
      <c r="I75" s="99">
        <v>241</v>
      </c>
      <c r="J75" s="99">
        <v>1596</v>
      </c>
      <c r="K75" s="99">
        <v>1566</v>
      </c>
      <c r="L75" s="99">
        <v>2428</v>
      </c>
      <c r="M75" s="99">
        <v>1210</v>
      </c>
      <c r="N75" s="99">
        <v>713</v>
      </c>
      <c r="O75" s="99">
        <v>279</v>
      </c>
      <c r="P75" s="159">
        <v>279</v>
      </c>
      <c r="Q75" s="99">
        <v>20</v>
      </c>
      <c r="R75" s="99">
        <v>65</v>
      </c>
      <c r="S75" s="99">
        <v>71</v>
      </c>
      <c r="T75" s="99">
        <v>44</v>
      </c>
      <c r="U75" s="99">
        <v>6</v>
      </c>
      <c r="V75" s="99">
        <v>48</v>
      </c>
      <c r="W75" s="99">
        <v>82</v>
      </c>
      <c r="X75" s="99">
        <v>80</v>
      </c>
      <c r="Y75" s="99">
        <v>168</v>
      </c>
      <c r="Z75" s="99">
        <v>74</v>
      </c>
      <c r="AA75" s="99" t="s">
        <v>663</v>
      </c>
      <c r="AB75" s="99" t="s">
        <v>663</v>
      </c>
      <c r="AC75" s="99" t="s">
        <v>663</v>
      </c>
      <c r="AD75" s="98" t="s">
        <v>376</v>
      </c>
      <c r="AE75" s="100">
        <v>0.21778330483444738</v>
      </c>
      <c r="AF75" s="100">
        <v>0.1</v>
      </c>
      <c r="AG75" s="98">
        <v>497.4351002642624</v>
      </c>
      <c r="AH75" s="98">
        <v>272.0348204570185</v>
      </c>
      <c r="AI75" s="100">
        <v>0.019</v>
      </c>
      <c r="AJ75" s="100">
        <v>0.80892</v>
      </c>
      <c r="AK75" s="100">
        <v>0.807633</v>
      </c>
      <c r="AL75" s="100">
        <v>0.794503</v>
      </c>
      <c r="AM75" s="100">
        <v>0.619243</v>
      </c>
      <c r="AN75" s="100">
        <v>0.627641</v>
      </c>
      <c r="AO75" s="98">
        <v>2168.506140214519</v>
      </c>
      <c r="AP75" s="158">
        <v>1.0171000669999999</v>
      </c>
      <c r="AQ75" s="100">
        <v>0.07168458781362007</v>
      </c>
      <c r="AR75" s="100">
        <v>0.3076923076923077</v>
      </c>
      <c r="AS75" s="98">
        <v>551.8420643556661</v>
      </c>
      <c r="AT75" s="98">
        <v>341.9866314316804</v>
      </c>
      <c r="AU75" s="98">
        <v>46.6345406497746</v>
      </c>
      <c r="AV75" s="98">
        <v>373.0763251981968</v>
      </c>
      <c r="AW75" s="98">
        <v>637.3387222135862</v>
      </c>
      <c r="AX75" s="98">
        <v>621.793875330328</v>
      </c>
      <c r="AY75" s="98">
        <v>1305.7671381936889</v>
      </c>
      <c r="AZ75" s="98">
        <v>575.1593346805533</v>
      </c>
      <c r="BA75" s="101" t="s">
        <v>663</v>
      </c>
      <c r="BB75" s="101" t="s">
        <v>663</v>
      </c>
      <c r="BC75" s="101" t="s">
        <v>663</v>
      </c>
      <c r="BD75" s="158">
        <v>0.9012430573</v>
      </c>
      <c r="BE75" s="158">
        <v>1.143720322</v>
      </c>
      <c r="BF75" s="162">
        <v>1973</v>
      </c>
      <c r="BG75" s="162">
        <v>1939</v>
      </c>
      <c r="BH75" s="162">
        <v>3056</v>
      </c>
      <c r="BI75" s="162">
        <v>1954</v>
      </c>
      <c r="BJ75" s="162">
        <v>1136</v>
      </c>
      <c r="BK75" s="97"/>
      <c r="BL75" s="97"/>
      <c r="BM75" s="97"/>
      <c r="BN75" s="97"/>
    </row>
    <row r="76" spans="1:66" ht="12.75">
      <c r="A76" s="79" t="s">
        <v>654</v>
      </c>
      <c r="B76" s="79" t="s">
        <v>375</v>
      </c>
      <c r="C76" s="79" t="s">
        <v>234</v>
      </c>
      <c r="D76" s="99">
        <v>10577</v>
      </c>
      <c r="E76" s="99">
        <v>1942</v>
      </c>
      <c r="F76" s="99" t="s">
        <v>397</v>
      </c>
      <c r="G76" s="99">
        <v>58</v>
      </c>
      <c r="H76" s="99">
        <v>29</v>
      </c>
      <c r="I76" s="99">
        <v>231</v>
      </c>
      <c r="J76" s="99">
        <v>1068</v>
      </c>
      <c r="K76" s="99">
        <v>1049</v>
      </c>
      <c r="L76" s="99">
        <v>1862</v>
      </c>
      <c r="M76" s="99">
        <v>763</v>
      </c>
      <c r="N76" s="99">
        <v>514</v>
      </c>
      <c r="O76" s="99">
        <v>305</v>
      </c>
      <c r="P76" s="159">
        <v>305</v>
      </c>
      <c r="Q76" s="99">
        <v>22</v>
      </c>
      <c r="R76" s="99">
        <v>48</v>
      </c>
      <c r="S76" s="99">
        <v>67</v>
      </c>
      <c r="T76" s="99">
        <v>27</v>
      </c>
      <c r="U76" s="99">
        <v>11</v>
      </c>
      <c r="V76" s="99">
        <v>65</v>
      </c>
      <c r="W76" s="99">
        <v>84</v>
      </c>
      <c r="X76" s="99">
        <v>51</v>
      </c>
      <c r="Y76" s="99">
        <v>171</v>
      </c>
      <c r="Z76" s="99">
        <v>66</v>
      </c>
      <c r="AA76" s="99" t="s">
        <v>663</v>
      </c>
      <c r="AB76" s="99" t="s">
        <v>663</v>
      </c>
      <c r="AC76" s="99" t="s">
        <v>663</v>
      </c>
      <c r="AD76" s="98" t="s">
        <v>376</v>
      </c>
      <c r="AE76" s="100">
        <v>0.18360593741136427</v>
      </c>
      <c r="AF76" s="100">
        <v>0.12</v>
      </c>
      <c r="AG76" s="98">
        <v>548.359648293467</v>
      </c>
      <c r="AH76" s="98">
        <v>274.1798241467335</v>
      </c>
      <c r="AI76" s="100">
        <v>0.022000000000000002</v>
      </c>
      <c r="AJ76" s="100">
        <v>0.74581</v>
      </c>
      <c r="AK76" s="100">
        <v>0.739774</v>
      </c>
      <c r="AL76" s="100">
        <v>0.750806</v>
      </c>
      <c r="AM76" s="100">
        <v>0.555313</v>
      </c>
      <c r="AN76" s="100">
        <v>0.59837</v>
      </c>
      <c r="AO76" s="98">
        <v>2883.615391888059</v>
      </c>
      <c r="AP76" s="158">
        <v>1.4708279419999999</v>
      </c>
      <c r="AQ76" s="100">
        <v>0.07213114754098361</v>
      </c>
      <c r="AR76" s="100">
        <v>0.4583333333333333</v>
      </c>
      <c r="AS76" s="98">
        <v>633.4499385459014</v>
      </c>
      <c r="AT76" s="98">
        <v>255.27087075730358</v>
      </c>
      <c r="AU76" s="98">
        <v>103.99924364186442</v>
      </c>
      <c r="AV76" s="98">
        <v>614.5409851564716</v>
      </c>
      <c r="AW76" s="98">
        <v>794.1760423560556</v>
      </c>
      <c r="AX76" s="98">
        <v>482.1783114304623</v>
      </c>
      <c r="AY76" s="98">
        <v>1616.715514796256</v>
      </c>
      <c r="AZ76" s="98">
        <v>623.9954618511865</v>
      </c>
      <c r="BA76" s="101" t="s">
        <v>663</v>
      </c>
      <c r="BB76" s="101" t="s">
        <v>663</v>
      </c>
      <c r="BC76" s="101" t="s">
        <v>663</v>
      </c>
      <c r="BD76" s="158">
        <v>1.310374908</v>
      </c>
      <c r="BE76" s="158">
        <v>1.645506744</v>
      </c>
      <c r="BF76" s="162">
        <v>1432</v>
      </c>
      <c r="BG76" s="162">
        <v>1418</v>
      </c>
      <c r="BH76" s="162">
        <v>2480</v>
      </c>
      <c r="BI76" s="162">
        <v>1374</v>
      </c>
      <c r="BJ76" s="162">
        <v>859</v>
      </c>
      <c r="BK76" s="97"/>
      <c r="BL76" s="97"/>
      <c r="BM76" s="97"/>
      <c r="BN76" s="97"/>
    </row>
    <row r="77" spans="1:66" ht="12.75">
      <c r="A77" s="79" t="s">
        <v>639</v>
      </c>
      <c r="B77" s="79" t="s">
        <v>359</v>
      </c>
      <c r="C77" s="79" t="s">
        <v>234</v>
      </c>
      <c r="D77" s="99">
        <v>3121</v>
      </c>
      <c r="E77" s="99">
        <v>625</v>
      </c>
      <c r="F77" s="99" t="s">
        <v>397</v>
      </c>
      <c r="G77" s="99">
        <v>14</v>
      </c>
      <c r="H77" s="99">
        <v>8</v>
      </c>
      <c r="I77" s="99">
        <v>39</v>
      </c>
      <c r="J77" s="99">
        <v>283</v>
      </c>
      <c r="K77" s="99" t="s">
        <v>663</v>
      </c>
      <c r="L77" s="99">
        <v>570</v>
      </c>
      <c r="M77" s="99">
        <v>215</v>
      </c>
      <c r="N77" s="99">
        <v>126</v>
      </c>
      <c r="O77" s="99">
        <v>55</v>
      </c>
      <c r="P77" s="159">
        <v>55</v>
      </c>
      <c r="Q77" s="99">
        <v>6</v>
      </c>
      <c r="R77" s="99">
        <v>13</v>
      </c>
      <c r="S77" s="99">
        <v>17</v>
      </c>
      <c r="T77" s="99" t="s">
        <v>663</v>
      </c>
      <c r="U77" s="99">
        <v>7</v>
      </c>
      <c r="V77" s="99">
        <v>7</v>
      </c>
      <c r="W77" s="99">
        <v>16</v>
      </c>
      <c r="X77" s="99">
        <v>20</v>
      </c>
      <c r="Y77" s="99">
        <v>32</v>
      </c>
      <c r="Z77" s="99">
        <v>7</v>
      </c>
      <c r="AA77" s="99" t="s">
        <v>663</v>
      </c>
      <c r="AB77" s="99" t="s">
        <v>663</v>
      </c>
      <c r="AC77" s="99" t="s">
        <v>663</v>
      </c>
      <c r="AD77" s="98" t="s">
        <v>376</v>
      </c>
      <c r="AE77" s="100">
        <v>0.20025632809996796</v>
      </c>
      <c r="AF77" s="100">
        <v>0.12</v>
      </c>
      <c r="AG77" s="98">
        <v>448.57417494392826</v>
      </c>
      <c r="AH77" s="98">
        <v>256.32809996795896</v>
      </c>
      <c r="AI77" s="100">
        <v>0.012</v>
      </c>
      <c r="AJ77" s="100">
        <v>0.769022</v>
      </c>
      <c r="AK77" s="100" t="s">
        <v>663</v>
      </c>
      <c r="AL77" s="100">
        <v>0.749014</v>
      </c>
      <c r="AM77" s="100">
        <v>0.576408</v>
      </c>
      <c r="AN77" s="100">
        <v>0.597156</v>
      </c>
      <c r="AO77" s="98">
        <v>1762.2556872797181</v>
      </c>
      <c r="AP77" s="158">
        <v>0.8814635468</v>
      </c>
      <c r="AQ77" s="100">
        <v>0.10909090909090909</v>
      </c>
      <c r="AR77" s="100">
        <v>0.46153846153846156</v>
      </c>
      <c r="AS77" s="98">
        <v>544.6972124319128</v>
      </c>
      <c r="AT77" s="98" t="s">
        <v>663</v>
      </c>
      <c r="AU77" s="98">
        <v>224.28708747196413</v>
      </c>
      <c r="AV77" s="98">
        <v>224.28708747196413</v>
      </c>
      <c r="AW77" s="98">
        <v>512.6561999359179</v>
      </c>
      <c r="AX77" s="98">
        <v>640.8202499198975</v>
      </c>
      <c r="AY77" s="98">
        <v>1025.3123998718359</v>
      </c>
      <c r="AZ77" s="98">
        <v>224.28708747196413</v>
      </c>
      <c r="BA77" s="101" t="s">
        <v>663</v>
      </c>
      <c r="BB77" s="101" t="s">
        <v>663</v>
      </c>
      <c r="BC77" s="101" t="s">
        <v>663</v>
      </c>
      <c r="BD77" s="158">
        <v>0.6640390015</v>
      </c>
      <c r="BE77" s="158">
        <v>1.147345963</v>
      </c>
      <c r="BF77" s="162">
        <v>368</v>
      </c>
      <c r="BG77" s="162" t="s">
        <v>663</v>
      </c>
      <c r="BH77" s="162">
        <v>761</v>
      </c>
      <c r="BI77" s="162">
        <v>373</v>
      </c>
      <c r="BJ77" s="162">
        <v>211</v>
      </c>
      <c r="BK77" s="97"/>
      <c r="BL77" s="97"/>
      <c r="BM77" s="97"/>
      <c r="BN77" s="97"/>
    </row>
    <row r="78" spans="1:66" ht="12.75">
      <c r="A78" s="79" t="s">
        <v>619</v>
      </c>
      <c r="B78" s="79" t="s">
        <v>339</v>
      </c>
      <c r="C78" s="79" t="s">
        <v>234</v>
      </c>
      <c r="D78" s="99">
        <v>2246</v>
      </c>
      <c r="E78" s="99">
        <v>624</v>
      </c>
      <c r="F78" s="99" t="s">
        <v>398</v>
      </c>
      <c r="G78" s="99">
        <v>24</v>
      </c>
      <c r="H78" s="99" t="s">
        <v>663</v>
      </c>
      <c r="I78" s="99">
        <v>57</v>
      </c>
      <c r="J78" s="99">
        <v>232</v>
      </c>
      <c r="K78" s="99" t="s">
        <v>663</v>
      </c>
      <c r="L78" s="99">
        <v>356</v>
      </c>
      <c r="M78" s="99">
        <v>210</v>
      </c>
      <c r="N78" s="99">
        <v>113</v>
      </c>
      <c r="O78" s="99">
        <v>12</v>
      </c>
      <c r="P78" s="159">
        <v>12</v>
      </c>
      <c r="Q78" s="99" t="s">
        <v>663</v>
      </c>
      <c r="R78" s="99">
        <v>13</v>
      </c>
      <c r="S78" s="99">
        <v>6</v>
      </c>
      <c r="T78" s="99" t="s">
        <v>663</v>
      </c>
      <c r="U78" s="99" t="s">
        <v>663</v>
      </c>
      <c r="V78" s="99" t="s">
        <v>663</v>
      </c>
      <c r="W78" s="99">
        <v>16</v>
      </c>
      <c r="X78" s="99">
        <v>9</v>
      </c>
      <c r="Y78" s="99">
        <v>19</v>
      </c>
      <c r="Z78" s="99">
        <v>13</v>
      </c>
      <c r="AA78" s="99" t="s">
        <v>663</v>
      </c>
      <c r="AB78" s="99" t="s">
        <v>663</v>
      </c>
      <c r="AC78" s="99" t="s">
        <v>663</v>
      </c>
      <c r="AD78" s="98" t="s">
        <v>376</v>
      </c>
      <c r="AE78" s="100">
        <v>0.2778272484416741</v>
      </c>
      <c r="AF78" s="100">
        <v>0.14</v>
      </c>
      <c r="AG78" s="98">
        <v>1068.5663401602849</v>
      </c>
      <c r="AH78" s="98" t="s">
        <v>663</v>
      </c>
      <c r="AI78" s="100">
        <v>0.025</v>
      </c>
      <c r="AJ78" s="100">
        <v>0.734177</v>
      </c>
      <c r="AK78" s="100" t="s">
        <v>663</v>
      </c>
      <c r="AL78" s="100">
        <v>0.754237</v>
      </c>
      <c r="AM78" s="100">
        <v>0.652174</v>
      </c>
      <c r="AN78" s="100">
        <v>0.684848</v>
      </c>
      <c r="AO78" s="98">
        <v>534.2831700801424</v>
      </c>
      <c r="AP78" s="158">
        <v>0.2208364105</v>
      </c>
      <c r="AQ78" s="100" t="s">
        <v>663</v>
      </c>
      <c r="AR78" s="100" t="s">
        <v>663</v>
      </c>
      <c r="AS78" s="98">
        <v>267.1415850400712</v>
      </c>
      <c r="AT78" s="98" t="s">
        <v>663</v>
      </c>
      <c r="AU78" s="98" t="s">
        <v>663</v>
      </c>
      <c r="AV78" s="98" t="s">
        <v>663</v>
      </c>
      <c r="AW78" s="98">
        <v>712.3775601068567</v>
      </c>
      <c r="AX78" s="98">
        <v>400.71237756010686</v>
      </c>
      <c r="AY78" s="98">
        <v>845.9483526268923</v>
      </c>
      <c r="AZ78" s="98">
        <v>578.806767586821</v>
      </c>
      <c r="BA78" s="100" t="s">
        <v>663</v>
      </c>
      <c r="BB78" s="100" t="s">
        <v>663</v>
      </c>
      <c r="BC78" s="100" t="s">
        <v>663</v>
      </c>
      <c r="BD78" s="158">
        <v>0.1141094017</v>
      </c>
      <c r="BE78" s="158">
        <v>0.3857567596</v>
      </c>
      <c r="BF78" s="162">
        <v>316</v>
      </c>
      <c r="BG78" s="162" t="s">
        <v>663</v>
      </c>
      <c r="BH78" s="162">
        <v>472</v>
      </c>
      <c r="BI78" s="162">
        <v>322</v>
      </c>
      <c r="BJ78" s="162">
        <v>165</v>
      </c>
      <c r="BK78" s="97"/>
      <c r="BL78" s="97"/>
      <c r="BM78" s="97"/>
      <c r="BN78" s="97"/>
    </row>
    <row r="79" spans="1:66" ht="12.75">
      <c r="A79" s="79" t="s">
        <v>601</v>
      </c>
      <c r="B79" s="79" t="s">
        <v>321</v>
      </c>
      <c r="C79" s="79" t="s">
        <v>234</v>
      </c>
      <c r="D79" s="99">
        <v>9864</v>
      </c>
      <c r="E79" s="99">
        <v>1747</v>
      </c>
      <c r="F79" s="99" t="s">
        <v>398</v>
      </c>
      <c r="G79" s="99">
        <v>66</v>
      </c>
      <c r="H79" s="99">
        <v>24</v>
      </c>
      <c r="I79" s="99">
        <v>235</v>
      </c>
      <c r="J79" s="99">
        <v>940</v>
      </c>
      <c r="K79" s="99">
        <v>105</v>
      </c>
      <c r="L79" s="99">
        <v>1854</v>
      </c>
      <c r="M79" s="99">
        <v>481</v>
      </c>
      <c r="N79" s="99">
        <v>403</v>
      </c>
      <c r="O79" s="99">
        <v>196</v>
      </c>
      <c r="P79" s="159">
        <v>196</v>
      </c>
      <c r="Q79" s="99">
        <v>22</v>
      </c>
      <c r="R79" s="99">
        <v>45</v>
      </c>
      <c r="S79" s="99">
        <v>27</v>
      </c>
      <c r="T79" s="99">
        <v>43</v>
      </c>
      <c r="U79" s="99">
        <v>16</v>
      </c>
      <c r="V79" s="99">
        <v>25</v>
      </c>
      <c r="W79" s="99">
        <v>52</v>
      </c>
      <c r="X79" s="99">
        <v>76</v>
      </c>
      <c r="Y79" s="99">
        <v>103</v>
      </c>
      <c r="Z79" s="99">
        <v>76</v>
      </c>
      <c r="AA79" s="99" t="s">
        <v>663</v>
      </c>
      <c r="AB79" s="99" t="s">
        <v>663</v>
      </c>
      <c r="AC79" s="99" t="s">
        <v>663</v>
      </c>
      <c r="AD79" s="98" t="s">
        <v>376</v>
      </c>
      <c r="AE79" s="100">
        <v>0.1771086780210868</v>
      </c>
      <c r="AF79" s="100">
        <v>0.14</v>
      </c>
      <c r="AG79" s="98">
        <v>669.0997566909975</v>
      </c>
      <c r="AH79" s="98">
        <v>243.30900243309003</v>
      </c>
      <c r="AI79" s="100">
        <v>0.024</v>
      </c>
      <c r="AJ79" s="100">
        <v>0.71701</v>
      </c>
      <c r="AK79" s="100">
        <v>0.714286</v>
      </c>
      <c r="AL79" s="100">
        <v>0.801903</v>
      </c>
      <c r="AM79" s="100">
        <v>0.377255</v>
      </c>
      <c r="AN79" s="100">
        <v>0.526797</v>
      </c>
      <c r="AO79" s="98">
        <v>1987.0235198702353</v>
      </c>
      <c r="AP79" s="158">
        <v>1.021400299</v>
      </c>
      <c r="AQ79" s="100">
        <v>0.11224489795918367</v>
      </c>
      <c r="AR79" s="100">
        <v>0.4888888888888889</v>
      </c>
      <c r="AS79" s="98">
        <v>273.7226277372263</v>
      </c>
      <c r="AT79" s="98">
        <v>435.9286293592863</v>
      </c>
      <c r="AU79" s="98">
        <v>162.20600162206003</v>
      </c>
      <c r="AV79" s="98">
        <v>253.44687753446877</v>
      </c>
      <c r="AW79" s="98">
        <v>527.169505271695</v>
      </c>
      <c r="AX79" s="98">
        <v>770.4785077047851</v>
      </c>
      <c r="AY79" s="98">
        <v>1044.2011354420113</v>
      </c>
      <c r="AZ79" s="98">
        <v>770.4785077047851</v>
      </c>
      <c r="BA79" s="100" t="s">
        <v>663</v>
      </c>
      <c r="BB79" s="100" t="s">
        <v>663</v>
      </c>
      <c r="BC79" s="100" t="s">
        <v>663</v>
      </c>
      <c r="BD79" s="158">
        <v>0.8834048461999999</v>
      </c>
      <c r="BE79" s="158">
        <v>1.174839478</v>
      </c>
      <c r="BF79" s="162">
        <v>1311</v>
      </c>
      <c r="BG79" s="162">
        <v>147</v>
      </c>
      <c r="BH79" s="162">
        <v>2312</v>
      </c>
      <c r="BI79" s="162">
        <v>1275</v>
      </c>
      <c r="BJ79" s="162">
        <v>765</v>
      </c>
      <c r="BK79" s="97"/>
      <c r="BL79" s="97"/>
      <c r="BM79" s="97"/>
      <c r="BN79" s="97"/>
    </row>
    <row r="80" spans="1:66" ht="12.75">
      <c r="A80" s="79" t="s">
        <v>634</v>
      </c>
      <c r="B80" s="79" t="s">
        <v>354</v>
      </c>
      <c r="C80" s="79" t="s">
        <v>234</v>
      </c>
      <c r="D80" s="99">
        <v>3120</v>
      </c>
      <c r="E80" s="99">
        <v>324</v>
      </c>
      <c r="F80" s="99" t="s">
        <v>397</v>
      </c>
      <c r="G80" s="99" t="s">
        <v>663</v>
      </c>
      <c r="H80" s="99">
        <v>8</v>
      </c>
      <c r="I80" s="99">
        <v>53</v>
      </c>
      <c r="J80" s="99">
        <v>297</v>
      </c>
      <c r="K80" s="99">
        <v>280</v>
      </c>
      <c r="L80" s="99">
        <v>735</v>
      </c>
      <c r="M80" s="99">
        <v>147</v>
      </c>
      <c r="N80" s="99">
        <v>92</v>
      </c>
      <c r="O80" s="99">
        <v>55</v>
      </c>
      <c r="P80" s="159">
        <v>55</v>
      </c>
      <c r="Q80" s="99">
        <v>7</v>
      </c>
      <c r="R80" s="99">
        <v>16</v>
      </c>
      <c r="S80" s="99">
        <v>13</v>
      </c>
      <c r="T80" s="99">
        <v>9</v>
      </c>
      <c r="U80" s="99" t="s">
        <v>663</v>
      </c>
      <c r="V80" s="99">
        <v>9</v>
      </c>
      <c r="W80" s="99">
        <v>17</v>
      </c>
      <c r="X80" s="99">
        <v>8</v>
      </c>
      <c r="Y80" s="99">
        <v>22</v>
      </c>
      <c r="Z80" s="99">
        <v>12</v>
      </c>
      <c r="AA80" s="99" t="s">
        <v>663</v>
      </c>
      <c r="AB80" s="99" t="s">
        <v>663</v>
      </c>
      <c r="AC80" s="99" t="s">
        <v>663</v>
      </c>
      <c r="AD80" s="98" t="s">
        <v>376</v>
      </c>
      <c r="AE80" s="100">
        <v>0.10384615384615385</v>
      </c>
      <c r="AF80" s="100">
        <v>0.09</v>
      </c>
      <c r="AG80" s="98" t="s">
        <v>663</v>
      </c>
      <c r="AH80" s="98">
        <v>256.4102564102564</v>
      </c>
      <c r="AI80" s="100">
        <v>0.017</v>
      </c>
      <c r="AJ80" s="100">
        <v>0.759591</v>
      </c>
      <c r="AK80" s="100">
        <v>0.782123</v>
      </c>
      <c r="AL80" s="100">
        <v>0.854651</v>
      </c>
      <c r="AM80" s="100">
        <v>0.534545</v>
      </c>
      <c r="AN80" s="100">
        <v>0.486772</v>
      </c>
      <c r="AO80" s="98">
        <v>1762.820512820513</v>
      </c>
      <c r="AP80" s="158">
        <v>1.038682709</v>
      </c>
      <c r="AQ80" s="100">
        <v>0.12727272727272726</v>
      </c>
      <c r="AR80" s="100">
        <v>0.4375</v>
      </c>
      <c r="AS80" s="98">
        <v>416.6666666666667</v>
      </c>
      <c r="AT80" s="98">
        <v>288.46153846153845</v>
      </c>
      <c r="AU80" s="98" t="s">
        <v>663</v>
      </c>
      <c r="AV80" s="98">
        <v>288.46153846153845</v>
      </c>
      <c r="AW80" s="98">
        <v>544.8717948717949</v>
      </c>
      <c r="AX80" s="98">
        <v>256.4102564102564</v>
      </c>
      <c r="AY80" s="98">
        <v>705.1282051282051</v>
      </c>
      <c r="AZ80" s="98">
        <v>384.61538461538464</v>
      </c>
      <c r="BA80" s="100" t="s">
        <v>663</v>
      </c>
      <c r="BB80" s="100" t="s">
        <v>663</v>
      </c>
      <c r="BC80" s="100" t="s">
        <v>663</v>
      </c>
      <c r="BD80" s="158">
        <v>0.7824779510000001</v>
      </c>
      <c r="BE80" s="158">
        <v>1.35198822</v>
      </c>
      <c r="BF80" s="162">
        <v>391</v>
      </c>
      <c r="BG80" s="162">
        <v>358</v>
      </c>
      <c r="BH80" s="162">
        <v>860</v>
      </c>
      <c r="BI80" s="162">
        <v>275</v>
      </c>
      <c r="BJ80" s="162">
        <v>189</v>
      </c>
      <c r="BK80" s="97"/>
      <c r="BL80" s="97"/>
      <c r="BM80" s="97"/>
      <c r="BN80" s="97"/>
    </row>
    <row r="81" spans="1:66" ht="12.75">
      <c r="A81" s="79" t="s">
        <v>577</v>
      </c>
      <c r="B81" s="79" t="s">
        <v>297</v>
      </c>
      <c r="C81" s="79" t="s">
        <v>234</v>
      </c>
      <c r="D81" s="99">
        <v>13024</v>
      </c>
      <c r="E81" s="99">
        <v>2290</v>
      </c>
      <c r="F81" s="99" t="s">
        <v>398</v>
      </c>
      <c r="G81" s="99">
        <v>58</v>
      </c>
      <c r="H81" s="99">
        <v>28</v>
      </c>
      <c r="I81" s="99">
        <v>265</v>
      </c>
      <c r="J81" s="99">
        <v>1333</v>
      </c>
      <c r="K81" s="99">
        <v>1265</v>
      </c>
      <c r="L81" s="99">
        <v>2601</v>
      </c>
      <c r="M81" s="99">
        <v>980</v>
      </c>
      <c r="N81" s="99">
        <v>569</v>
      </c>
      <c r="O81" s="99">
        <v>259</v>
      </c>
      <c r="P81" s="159">
        <v>259</v>
      </c>
      <c r="Q81" s="99">
        <v>28</v>
      </c>
      <c r="R81" s="99">
        <v>52</v>
      </c>
      <c r="S81" s="99">
        <v>63</v>
      </c>
      <c r="T81" s="99">
        <v>33</v>
      </c>
      <c r="U81" s="99">
        <v>8</v>
      </c>
      <c r="V81" s="99">
        <v>36</v>
      </c>
      <c r="W81" s="99">
        <v>75</v>
      </c>
      <c r="X81" s="99">
        <v>61</v>
      </c>
      <c r="Y81" s="99">
        <v>156</v>
      </c>
      <c r="Z81" s="99">
        <v>64</v>
      </c>
      <c r="AA81" s="99" t="s">
        <v>663</v>
      </c>
      <c r="AB81" s="99" t="s">
        <v>663</v>
      </c>
      <c r="AC81" s="99" t="s">
        <v>663</v>
      </c>
      <c r="AD81" s="98" t="s">
        <v>376</v>
      </c>
      <c r="AE81" s="100">
        <v>0.17582923832923833</v>
      </c>
      <c r="AF81" s="100">
        <v>0.13</v>
      </c>
      <c r="AG81" s="98">
        <v>445.33169533169536</v>
      </c>
      <c r="AH81" s="98">
        <v>214.98771498771498</v>
      </c>
      <c r="AI81" s="100">
        <v>0.02</v>
      </c>
      <c r="AJ81" s="100">
        <v>0.791568</v>
      </c>
      <c r="AK81" s="100">
        <v>0.789638</v>
      </c>
      <c r="AL81" s="100">
        <v>0.803026</v>
      </c>
      <c r="AM81" s="100">
        <v>0.622618</v>
      </c>
      <c r="AN81" s="100">
        <v>0.627343</v>
      </c>
      <c r="AO81" s="98">
        <v>1988.6363636363637</v>
      </c>
      <c r="AP81" s="158">
        <v>1.035421829</v>
      </c>
      <c r="AQ81" s="100">
        <v>0.10810810810810811</v>
      </c>
      <c r="AR81" s="100">
        <v>0.5384615384615384</v>
      </c>
      <c r="AS81" s="98">
        <v>483.7223587223587</v>
      </c>
      <c r="AT81" s="98">
        <v>253.3783783783784</v>
      </c>
      <c r="AU81" s="98">
        <v>61.42506142506142</v>
      </c>
      <c r="AV81" s="98">
        <v>276.4127764127764</v>
      </c>
      <c r="AW81" s="98">
        <v>575.8599508599509</v>
      </c>
      <c r="AX81" s="98">
        <v>468.36609336609337</v>
      </c>
      <c r="AY81" s="98">
        <v>1197.7886977886978</v>
      </c>
      <c r="AZ81" s="98">
        <v>491.4004914004914</v>
      </c>
      <c r="BA81" s="100" t="s">
        <v>663</v>
      </c>
      <c r="BB81" s="100" t="s">
        <v>663</v>
      </c>
      <c r="BC81" s="100" t="s">
        <v>663</v>
      </c>
      <c r="BD81" s="158">
        <v>0.9131498718000001</v>
      </c>
      <c r="BE81" s="158">
        <v>1.169505844</v>
      </c>
      <c r="BF81" s="162">
        <v>1684</v>
      </c>
      <c r="BG81" s="162">
        <v>1602</v>
      </c>
      <c r="BH81" s="162">
        <v>3239</v>
      </c>
      <c r="BI81" s="162">
        <v>1574</v>
      </c>
      <c r="BJ81" s="162">
        <v>907</v>
      </c>
      <c r="BK81" s="97"/>
      <c r="BL81" s="97"/>
      <c r="BM81" s="97"/>
      <c r="BN81" s="97"/>
    </row>
    <row r="82" spans="1:66" ht="12.75">
      <c r="A82" s="79" t="s">
        <v>630</v>
      </c>
      <c r="B82" s="79" t="s">
        <v>350</v>
      </c>
      <c r="C82" s="79" t="s">
        <v>234</v>
      </c>
      <c r="D82" s="99">
        <v>12818</v>
      </c>
      <c r="E82" s="99">
        <v>1868</v>
      </c>
      <c r="F82" s="99" t="s">
        <v>398</v>
      </c>
      <c r="G82" s="99">
        <v>47</v>
      </c>
      <c r="H82" s="99">
        <v>23</v>
      </c>
      <c r="I82" s="99">
        <v>288</v>
      </c>
      <c r="J82" s="99">
        <v>1114</v>
      </c>
      <c r="K82" s="99" t="s">
        <v>663</v>
      </c>
      <c r="L82" s="99">
        <v>2685</v>
      </c>
      <c r="M82" s="99">
        <v>779</v>
      </c>
      <c r="N82" s="99">
        <v>432</v>
      </c>
      <c r="O82" s="99">
        <v>293</v>
      </c>
      <c r="P82" s="159">
        <v>293</v>
      </c>
      <c r="Q82" s="99">
        <v>32</v>
      </c>
      <c r="R82" s="99">
        <v>66</v>
      </c>
      <c r="S82" s="99">
        <v>76</v>
      </c>
      <c r="T82" s="99">
        <v>28</v>
      </c>
      <c r="U82" s="99">
        <v>9</v>
      </c>
      <c r="V82" s="99">
        <v>55</v>
      </c>
      <c r="W82" s="99">
        <v>97</v>
      </c>
      <c r="X82" s="99">
        <v>30</v>
      </c>
      <c r="Y82" s="99">
        <v>143</v>
      </c>
      <c r="Z82" s="99">
        <v>68</v>
      </c>
      <c r="AA82" s="99" t="s">
        <v>663</v>
      </c>
      <c r="AB82" s="99" t="s">
        <v>663</v>
      </c>
      <c r="AC82" s="99" t="s">
        <v>663</v>
      </c>
      <c r="AD82" s="98" t="s">
        <v>376</v>
      </c>
      <c r="AE82" s="100">
        <v>0.14573256358246217</v>
      </c>
      <c r="AF82" s="100">
        <v>0.15</v>
      </c>
      <c r="AG82" s="98">
        <v>366.6718676860665</v>
      </c>
      <c r="AH82" s="98">
        <v>179.43516929318147</v>
      </c>
      <c r="AI82" s="100">
        <v>0.022000000000000002</v>
      </c>
      <c r="AJ82" s="100">
        <v>0.667866</v>
      </c>
      <c r="AK82" s="100" t="s">
        <v>663</v>
      </c>
      <c r="AL82" s="100">
        <v>0.783484</v>
      </c>
      <c r="AM82" s="100">
        <v>0.560835</v>
      </c>
      <c r="AN82" s="100">
        <v>0.581427</v>
      </c>
      <c r="AO82" s="98">
        <v>2285.848026213138</v>
      </c>
      <c r="AP82" s="158">
        <v>1.249990387</v>
      </c>
      <c r="AQ82" s="100">
        <v>0.10921501706484642</v>
      </c>
      <c r="AR82" s="100">
        <v>0.48484848484848486</v>
      </c>
      <c r="AS82" s="98">
        <v>592.9162115774692</v>
      </c>
      <c r="AT82" s="98">
        <v>218.44281479169916</v>
      </c>
      <c r="AU82" s="98">
        <v>70.21376189733188</v>
      </c>
      <c r="AV82" s="98">
        <v>429.0841004836948</v>
      </c>
      <c r="AW82" s="98">
        <v>756.7483226712436</v>
      </c>
      <c r="AX82" s="98">
        <v>234.04587299110625</v>
      </c>
      <c r="AY82" s="98">
        <v>1115.6186612576064</v>
      </c>
      <c r="AZ82" s="98">
        <v>530.5039787798408</v>
      </c>
      <c r="BA82" s="100" t="s">
        <v>663</v>
      </c>
      <c r="BB82" s="100" t="s">
        <v>663</v>
      </c>
      <c r="BC82" s="100" t="s">
        <v>663</v>
      </c>
      <c r="BD82" s="158">
        <v>1.110946121</v>
      </c>
      <c r="BE82" s="158">
        <v>1.4016244510000002</v>
      </c>
      <c r="BF82" s="162">
        <v>1668</v>
      </c>
      <c r="BG82" s="162" t="s">
        <v>663</v>
      </c>
      <c r="BH82" s="162">
        <v>3427</v>
      </c>
      <c r="BI82" s="162">
        <v>1389</v>
      </c>
      <c r="BJ82" s="162">
        <v>743</v>
      </c>
      <c r="BK82" s="97"/>
      <c r="BL82" s="97"/>
      <c r="BM82" s="97"/>
      <c r="BN82" s="97"/>
    </row>
    <row r="83" spans="1:66" ht="12.75">
      <c r="A83" s="79" t="s">
        <v>575</v>
      </c>
      <c r="B83" s="79" t="s">
        <v>295</v>
      </c>
      <c r="C83" s="79" t="s">
        <v>234</v>
      </c>
      <c r="D83" s="99">
        <v>10555</v>
      </c>
      <c r="E83" s="99">
        <v>1789</v>
      </c>
      <c r="F83" s="99" t="s">
        <v>397</v>
      </c>
      <c r="G83" s="99">
        <v>30</v>
      </c>
      <c r="H83" s="99">
        <v>15</v>
      </c>
      <c r="I83" s="99">
        <v>193</v>
      </c>
      <c r="J83" s="99">
        <v>1090</v>
      </c>
      <c r="K83" s="99">
        <v>24</v>
      </c>
      <c r="L83" s="99">
        <v>2233</v>
      </c>
      <c r="M83" s="99">
        <v>847</v>
      </c>
      <c r="N83" s="99">
        <v>511</v>
      </c>
      <c r="O83" s="99">
        <v>217</v>
      </c>
      <c r="P83" s="159">
        <v>217</v>
      </c>
      <c r="Q83" s="99">
        <v>21</v>
      </c>
      <c r="R83" s="99">
        <v>37</v>
      </c>
      <c r="S83" s="99">
        <v>44</v>
      </c>
      <c r="T83" s="99">
        <v>34</v>
      </c>
      <c r="U83" s="99">
        <v>8</v>
      </c>
      <c r="V83" s="99">
        <v>42</v>
      </c>
      <c r="W83" s="99">
        <v>61</v>
      </c>
      <c r="X83" s="99">
        <v>49</v>
      </c>
      <c r="Y83" s="99">
        <v>135</v>
      </c>
      <c r="Z83" s="99">
        <v>18</v>
      </c>
      <c r="AA83" s="99" t="s">
        <v>663</v>
      </c>
      <c r="AB83" s="99" t="s">
        <v>663</v>
      </c>
      <c r="AC83" s="99" t="s">
        <v>663</v>
      </c>
      <c r="AD83" s="98" t="s">
        <v>376</v>
      </c>
      <c r="AE83" s="100">
        <v>0.1694931312174325</v>
      </c>
      <c r="AF83" s="100">
        <v>0.11</v>
      </c>
      <c r="AG83" s="98">
        <v>284.22548555187115</v>
      </c>
      <c r="AH83" s="98">
        <v>142.11274277593557</v>
      </c>
      <c r="AI83" s="100">
        <v>0.018000000000000002</v>
      </c>
      <c r="AJ83" s="100">
        <v>0.752762</v>
      </c>
      <c r="AK83" s="100">
        <v>0.631579</v>
      </c>
      <c r="AL83" s="100">
        <v>0.807887</v>
      </c>
      <c r="AM83" s="100">
        <v>0.653045</v>
      </c>
      <c r="AN83" s="100">
        <v>0.681333</v>
      </c>
      <c r="AO83" s="98">
        <v>2055.897678825201</v>
      </c>
      <c r="AP83" s="158">
        <v>1.087149582</v>
      </c>
      <c r="AQ83" s="100">
        <v>0.0967741935483871</v>
      </c>
      <c r="AR83" s="100">
        <v>0.5675675675675675</v>
      </c>
      <c r="AS83" s="98">
        <v>416.8640454760777</v>
      </c>
      <c r="AT83" s="98">
        <v>322.1222169587873</v>
      </c>
      <c r="AU83" s="98">
        <v>75.7934628138323</v>
      </c>
      <c r="AV83" s="98">
        <v>397.9156797726196</v>
      </c>
      <c r="AW83" s="98">
        <v>577.9251539554714</v>
      </c>
      <c r="AX83" s="98">
        <v>464.2349597347229</v>
      </c>
      <c r="AY83" s="98">
        <v>1279.0146849834202</v>
      </c>
      <c r="AZ83" s="98">
        <v>170.5352913311227</v>
      </c>
      <c r="BA83" s="101" t="s">
        <v>663</v>
      </c>
      <c r="BB83" s="101" t="s">
        <v>663</v>
      </c>
      <c r="BC83" s="101" t="s">
        <v>663</v>
      </c>
      <c r="BD83" s="158">
        <v>0.9473052216000001</v>
      </c>
      <c r="BE83" s="158">
        <v>1.241824036</v>
      </c>
      <c r="BF83" s="162">
        <v>1448</v>
      </c>
      <c r="BG83" s="162">
        <v>38</v>
      </c>
      <c r="BH83" s="162">
        <v>2764</v>
      </c>
      <c r="BI83" s="162">
        <v>1297</v>
      </c>
      <c r="BJ83" s="162">
        <v>750</v>
      </c>
      <c r="BK83" s="97"/>
      <c r="BL83" s="97"/>
      <c r="BM83" s="97"/>
      <c r="BN83" s="97"/>
    </row>
    <row r="84" spans="1:66" ht="12.75">
      <c r="A84" s="79" t="s">
        <v>651</v>
      </c>
      <c r="B84" s="79" t="s">
        <v>371</v>
      </c>
      <c r="C84" s="79" t="s">
        <v>234</v>
      </c>
      <c r="D84" s="99">
        <v>1925</v>
      </c>
      <c r="E84" s="99">
        <v>398</v>
      </c>
      <c r="F84" s="99" t="s">
        <v>397</v>
      </c>
      <c r="G84" s="99">
        <v>14</v>
      </c>
      <c r="H84" s="99" t="s">
        <v>663</v>
      </c>
      <c r="I84" s="99">
        <v>52</v>
      </c>
      <c r="J84" s="99">
        <v>168</v>
      </c>
      <c r="K84" s="99" t="s">
        <v>663</v>
      </c>
      <c r="L84" s="99">
        <v>319</v>
      </c>
      <c r="M84" s="99">
        <v>177</v>
      </c>
      <c r="N84" s="99">
        <v>105</v>
      </c>
      <c r="O84" s="99">
        <v>54</v>
      </c>
      <c r="P84" s="159">
        <v>54</v>
      </c>
      <c r="Q84" s="99" t="s">
        <v>663</v>
      </c>
      <c r="R84" s="99">
        <v>7</v>
      </c>
      <c r="S84" s="99">
        <v>12</v>
      </c>
      <c r="T84" s="99">
        <v>8</v>
      </c>
      <c r="U84" s="99" t="s">
        <v>663</v>
      </c>
      <c r="V84" s="99">
        <v>13</v>
      </c>
      <c r="W84" s="99">
        <v>12</v>
      </c>
      <c r="X84" s="99">
        <v>22</v>
      </c>
      <c r="Y84" s="99">
        <v>19</v>
      </c>
      <c r="Z84" s="99">
        <v>14</v>
      </c>
      <c r="AA84" s="99" t="s">
        <v>663</v>
      </c>
      <c r="AB84" s="99" t="s">
        <v>663</v>
      </c>
      <c r="AC84" s="99" t="s">
        <v>663</v>
      </c>
      <c r="AD84" s="98" t="s">
        <v>376</v>
      </c>
      <c r="AE84" s="100">
        <v>0.20675324675324674</v>
      </c>
      <c r="AF84" s="100">
        <v>0.1</v>
      </c>
      <c r="AG84" s="98">
        <v>727.2727272727273</v>
      </c>
      <c r="AH84" s="98" t="s">
        <v>663</v>
      </c>
      <c r="AI84" s="100">
        <v>0.027000000000000003</v>
      </c>
      <c r="AJ84" s="100">
        <v>0.708861</v>
      </c>
      <c r="AK84" s="100" t="s">
        <v>663</v>
      </c>
      <c r="AL84" s="100">
        <v>0.764988</v>
      </c>
      <c r="AM84" s="100">
        <v>0.6</v>
      </c>
      <c r="AN84" s="100">
        <v>0.614035</v>
      </c>
      <c r="AO84" s="98">
        <v>2805.194805194805</v>
      </c>
      <c r="AP84" s="158">
        <v>1.353487854</v>
      </c>
      <c r="AQ84" s="100" t="s">
        <v>663</v>
      </c>
      <c r="AR84" s="100" t="s">
        <v>663</v>
      </c>
      <c r="AS84" s="98">
        <v>623.3766233766233</v>
      </c>
      <c r="AT84" s="98">
        <v>415.5844155844156</v>
      </c>
      <c r="AU84" s="98" t="s">
        <v>663</v>
      </c>
      <c r="AV84" s="98">
        <v>675.3246753246754</v>
      </c>
      <c r="AW84" s="98">
        <v>623.3766233766233</v>
      </c>
      <c r="AX84" s="98">
        <v>1142.857142857143</v>
      </c>
      <c r="AY84" s="98">
        <v>987.012987012987</v>
      </c>
      <c r="AZ84" s="98">
        <v>727.2727272727273</v>
      </c>
      <c r="BA84" s="100" t="s">
        <v>663</v>
      </c>
      <c r="BB84" s="100" t="s">
        <v>663</v>
      </c>
      <c r="BC84" s="100" t="s">
        <v>663</v>
      </c>
      <c r="BD84" s="158">
        <v>1.016781769</v>
      </c>
      <c r="BE84" s="158">
        <v>1.766007996</v>
      </c>
      <c r="BF84" s="162">
        <v>237</v>
      </c>
      <c r="BG84" s="162" t="s">
        <v>663</v>
      </c>
      <c r="BH84" s="162">
        <v>417</v>
      </c>
      <c r="BI84" s="162">
        <v>295</v>
      </c>
      <c r="BJ84" s="162">
        <v>171</v>
      </c>
      <c r="BK84" s="97"/>
      <c r="BL84" s="97"/>
      <c r="BM84" s="97"/>
      <c r="BN84" s="97"/>
    </row>
    <row r="85" spans="1:66" ht="12.75">
      <c r="A85" s="79" t="s">
        <v>587</v>
      </c>
      <c r="B85" s="79" t="s">
        <v>307</v>
      </c>
      <c r="C85" s="79" t="s">
        <v>234</v>
      </c>
      <c r="D85" s="99">
        <v>5302</v>
      </c>
      <c r="E85" s="99">
        <v>925</v>
      </c>
      <c r="F85" s="99" t="s">
        <v>397</v>
      </c>
      <c r="G85" s="99">
        <v>36</v>
      </c>
      <c r="H85" s="99">
        <v>7</v>
      </c>
      <c r="I85" s="99">
        <v>106</v>
      </c>
      <c r="J85" s="99">
        <v>578</v>
      </c>
      <c r="K85" s="99">
        <v>482</v>
      </c>
      <c r="L85" s="99">
        <v>1100</v>
      </c>
      <c r="M85" s="99">
        <v>468</v>
      </c>
      <c r="N85" s="99">
        <v>249</v>
      </c>
      <c r="O85" s="99">
        <v>107</v>
      </c>
      <c r="P85" s="159">
        <v>107</v>
      </c>
      <c r="Q85" s="99">
        <v>11</v>
      </c>
      <c r="R85" s="99">
        <v>31</v>
      </c>
      <c r="S85" s="99">
        <v>40</v>
      </c>
      <c r="T85" s="99">
        <v>7</v>
      </c>
      <c r="U85" s="99" t="s">
        <v>663</v>
      </c>
      <c r="V85" s="99">
        <v>19</v>
      </c>
      <c r="W85" s="99">
        <v>52</v>
      </c>
      <c r="X85" s="99">
        <v>20</v>
      </c>
      <c r="Y85" s="99">
        <v>60</v>
      </c>
      <c r="Z85" s="99">
        <v>39</v>
      </c>
      <c r="AA85" s="99" t="s">
        <v>663</v>
      </c>
      <c r="AB85" s="99" t="s">
        <v>663</v>
      </c>
      <c r="AC85" s="99" t="s">
        <v>663</v>
      </c>
      <c r="AD85" s="98" t="s">
        <v>376</v>
      </c>
      <c r="AE85" s="100">
        <v>0.17446246699358733</v>
      </c>
      <c r="AF85" s="100">
        <v>0.11</v>
      </c>
      <c r="AG85" s="98">
        <v>678.9890607317993</v>
      </c>
      <c r="AH85" s="98">
        <v>132.02565069784987</v>
      </c>
      <c r="AI85" s="100">
        <v>0.02</v>
      </c>
      <c r="AJ85" s="100">
        <v>0.790698</v>
      </c>
      <c r="AK85" s="100">
        <v>0.866906</v>
      </c>
      <c r="AL85" s="100">
        <v>0.833333</v>
      </c>
      <c r="AM85" s="100">
        <v>0.625668</v>
      </c>
      <c r="AN85" s="100">
        <v>0.643411</v>
      </c>
      <c r="AO85" s="98">
        <v>2018.106374952848</v>
      </c>
      <c r="AP85" s="158">
        <v>1.03369812</v>
      </c>
      <c r="AQ85" s="100">
        <v>0.102803738317757</v>
      </c>
      <c r="AR85" s="100">
        <v>0.3548387096774194</v>
      </c>
      <c r="AS85" s="98">
        <v>754.4322897019993</v>
      </c>
      <c r="AT85" s="98">
        <v>132.02565069784987</v>
      </c>
      <c r="AU85" s="98" t="s">
        <v>663</v>
      </c>
      <c r="AV85" s="98">
        <v>358.35533760844964</v>
      </c>
      <c r="AW85" s="98">
        <v>980.761976612599</v>
      </c>
      <c r="AX85" s="98">
        <v>377.2161448509996</v>
      </c>
      <c r="AY85" s="98">
        <v>1131.6484345529989</v>
      </c>
      <c r="AZ85" s="98">
        <v>735.5714824594493</v>
      </c>
      <c r="BA85" s="100" t="s">
        <v>663</v>
      </c>
      <c r="BB85" s="100" t="s">
        <v>663</v>
      </c>
      <c r="BC85" s="100" t="s">
        <v>663</v>
      </c>
      <c r="BD85" s="158">
        <v>0.8471405792</v>
      </c>
      <c r="BE85" s="158">
        <v>1.249118347</v>
      </c>
      <c r="BF85" s="162">
        <v>731</v>
      </c>
      <c r="BG85" s="162">
        <v>556</v>
      </c>
      <c r="BH85" s="162">
        <v>1320</v>
      </c>
      <c r="BI85" s="162">
        <v>748</v>
      </c>
      <c r="BJ85" s="162">
        <v>387</v>
      </c>
      <c r="BK85" s="97"/>
      <c r="BL85" s="97"/>
      <c r="BM85" s="97"/>
      <c r="BN85" s="97"/>
    </row>
    <row r="86" spans="1:66" ht="12.75">
      <c r="A86" s="79" t="s">
        <v>623</v>
      </c>
      <c r="B86" s="79" t="s">
        <v>343</v>
      </c>
      <c r="C86" s="79" t="s">
        <v>234</v>
      </c>
      <c r="D86" s="99">
        <v>12786</v>
      </c>
      <c r="E86" s="99">
        <v>1652</v>
      </c>
      <c r="F86" s="99" t="s">
        <v>398</v>
      </c>
      <c r="G86" s="99">
        <v>39</v>
      </c>
      <c r="H86" s="99">
        <v>27</v>
      </c>
      <c r="I86" s="99">
        <v>197</v>
      </c>
      <c r="J86" s="99">
        <v>1117</v>
      </c>
      <c r="K86" s="99">
        <v>1064</v>
      </c>
      <c r="L86" s="99">
        <v>2721</v>
      </c>
      <c r="M86" s="99">
        <v>706</v>
      </c>
      <c r="N86" s="99">
        <v>428</v>
      </c>
      <c r="O86" s="99">
        <v>192</v>
      </c>
      <c r="P86" s="159">
        <v>192</v>
      </c>
      <c r="Q86" s="99">
        <v>22</v>
      </c>
      <c r="R86" s="99">
        <v>44</v>
      </c>
      <c r="S86" s="99">
        <v>43</v>
      </c>
      <c r="T86" s="99">
        <v>28</v>
      </c>
      <c r="U86" s="99">
        <v>10</v>
      </c>
      <c r="V86" s="99">
        <v>28</v>
      </c>
      <c r="W86" s="99">
        <v>70</v>
      </c>
      <c r="X86" s="99">
        <v>51</v>
      </c>
      <c r="Y86" s="99">
        <v>158</v>
      </c>
      <c r="Z86" s="99">
        <v>64</v>
      </c>
      <c r="AA86" s="99" t="s">
        <v>663</v>
      </c>
      <c r="AB86" s="99" t="s">
        <v>663</v>
      </c>
      <c r="AC86" s="99" t="s">
        <v>663</v>
      </c>
      <c r="AD86" s="98" t="s">
        <v>376</v>
      </c>
      <c r="AE86" s="100">
        <v>0.12920381667448771</v>
      </c>
      <c r="AF86" s="100">
        <v>0.14</v>
      </c>
      <c r="AG86" s="98">
        <v>305.0211168465509</v>
      </c>
      <c r="AH86" s="98">
        <v>211.16846550915062</v>
      </c>
      <c r="AI86" s="100">
        <v>0.015</v>
      </c>
      <c r="AJ86" s="100">
        <v>0.789399</v>
      </c>
      <c r="AK86" s="100">
        <v>0.793438</v>
      </c>
      <c r="AL86" s="100">
        <v>0.829826</v>
      </c>
      <c r="AM86" s="100">
        <v>0.598813</v>
      </c>
      <c r="AN86" s="100">
        <v>0.614943</v>
      </c>
      <c r="AO86" s="98">
        <v>1501.6424213984044</v>
      </c>
      <c r="AP86" s="158">
        <v>0.9108169556</v>
      </c>
      <c r="AQ86" s="100">
        <v>0.11458333333333333</v>
      </c>
      <c r="AR86" s="100">
        <v>0.5</v>
      </c>
      <c r="AS86" s="98">
        <v>336.3053339590177</v>
      </c>
      <c r="AT86" s="98">
        <v>218.9895197872673</v>
      </c>
      <c r="AU86" s="98">
        <v>78.21054278116691</v>
      </c>
      <c r="AV86" s="98">
        <v>218.9895197872673</v>
      </c>
      <c r="AW86" s="98">
        <v>547.4737994681683</v>
      </c>
      <c r="AX86" s="98">
        <v>398.8737681839512</v>
      </c>
      <c r="AY86" s="98">
        <v>1235.726575942437</v>
      </c>
      <c r="AZ86" s="98">
        <v>500.54747379946815</v>
      </c>
      <c r="BA86" s="100" t="s">
        <v>663</v>
      </c>
      <c r="BB86" s="100" t="s">
        <v>663</v>
      </c>
      <c r="BC86" s="100" t="s">
        <v>663</v>
      </c>
      <c r="BD86" s="158">
        <v>0.7865338135000001</v>
      </c>
      <c r="BE86" s="158">
        <v>1.04916214</v>
      </c>
      <c r="BF86" s="162">
        <v>1415</v>
      </c>
      <c r="BG86" s="162">
        <v>1341</v>
      </c>
      <c r="BH86" s="162">
        <v>3279</v>
      </c>
      <c r="BI86" s="162">
        <v>1179</v>
      </c>
      <c r="BJ86" s="162">
        <v>696</v>
      </c>
      <c r="BK86" s="97"/>
      <c r="BL86" s="97"/>
      <c r="BM86" s="97"/>
      <c r="BN86" s="97"/>
    </row>
    <row r="87" spans="1:66" ht="12.75">
      <c r="A87" s="79" t="s">
        <v>628</v>
      </c>
      <c r="B87" s="79" t="s">
        <v>348</v>
      </c>
      <c r="C87" s="79" t="s">
        <v>234</v>
      </c>
      <c r="D87" s="99">
        <v>9640</v>
      </c>
      <c r="E87" s="99">
        <v>1771</v>
      </c>
      <c r="F87" s="99" t="s">
        <v>397</v>
      </c>
      <c r="G87" s="99">
        <v>45</v>
      </c>
      <c r="H87" s="99">
        <v>15</v>
      </c>
      <c r="I87" s="99">
        <v>147</v>
      </c>
      <c r="J87" s="99">
        <v>973</v>
      </c>
      <c r="K87" s="99">
        <v>9</v>
      </c>
      <c r="L87" s="99">
        <v>1802</v>
      </c>
      <c r="M87" s="99">
        <v>834</v>
      </c>
      <c r="N87" s="99">
        <v>489</v>
      </c>
      <c r="O87" s="99">
        <v>141</v>
      </c>
      <c r="P87" s="159">
        <v>141</v>
      </c>
      <c r="Q87" s="99">
        <v>20</v>
      </c>
      <c r="R87" s="99">
        <v>33</v>
      </c>
      <c r="S87" s="99">
        <v>41</v>
      </c>
      <c r="T87" s="99">
        <v>20</v>
      </c>
      <c r="U87" s="99">
        <v>9</v>
      </c>
      <c r="V87" s="99">
        <v>25</v>
      </c>
      <c r="W87" s="99">
        <v>51</v>
      </c>
      <c r="X87" s="99">
        <v>40</v>
      </c>
      <c r="Y87" s="99">
        <v>116</v>
      </c>
      <c r="Z87" s="99">
        <v>51</v>
      </c>
      <c r="AA87" s="99" t="s">
        <v>663</v>
      </c>
      <c r="AB87" s="99" t="s">
        <v>663</v>
      </c>
      <c r="AC87" s="99" t="s">
        <v>663</v>
      </c>
      <c r="AD87" s="98" t="s">
        <v>376</v>
      </c>
      <c r="AE87" s="100">
        <v>0.1837136929460581</v>
      </c>
      <c r="AF87" s="100">
        <v>0.11</v>
      </c>
      <c r="AG87" s="98">
        <v>466.80497925311204</v>
      </c>
      <c r="AH87" s="98">
        <v>155.60165975103735</v>
      </c>
      <c r="AI87" s="100">
        <v>0.015</v>
      </c>
      <c r="AJ87" s="100">
        <v>0.757198</v>
      </c>
      <c r="AK87" s="100">
        <v>0.529412</v>
      </c>
      <c r="AL87" s="100">
        <v>0.776389</v>
      </c>
      <c r="AM87" s="100">
        <v>0.619614</v>
      </c>
      <c r="AN87" s="100">
        <v>0.630968</v>
      </c>
      <c r="AO87" s="98">
        <v>1462.655601659751</v>
      </c>
      <c r="AP87" s="158">
        <v>0.7590594482</v>
      </c>
      <c r="AQ87" s="100">
        <v>0.14184397163120568</v>
      </c>
      <c r="AR87" s="100">
        <v>0.6060606060606061</v>
      </c>
      <c r="AS87" s="98">
        <v>425.31120331950206</v>
      </c>
      <c r="AT87" s="98">
        <v>207.4688796680498</v>
      </c>
      <c r="AU87" s="98">
        <v>93.3609958506224</v>
      </c>
      <c r="AV87" s="98">
        <v>259.33609958506224</v>
      </c>
      <c r="AW87" s="98">
        <v>529.045643153527</v>
      </c>
      <c r="AX87" s="98">
        <v>414.9377593360996</v>
      </c>
      <c r="AY87" s="98">
        <v>1203.319502074689</v>
      </c>
      <c r="AZ87" s="98">
        <v>529.045643153527</v>
      </c>
      <c r="BA87" s="100" t="s">
        <v>663</v>
      </c>
      <c r="BB87" s="100" t="s">
        <v>663</v>
      </c>
      <c r="BC87" s="100" t="s">
        <v>663</v>
      </c>
      <c r="BD87" s="158">
        <v>0.6389442062</v>
      </c>
      <c r="BE87" s="158">
        <v>0.8951944733</v>
      </c>
      <c r="BF87" s="162">
        <v>1285</v>
      </c>
      <c r="BG87" s="162">
        <v>17</v>
      </c>
      <c r="BH87" s="162">
        <v>2321</v>
      </c>
      <c r="BI87" s="162">
        <v>1346</v>
      </c>
      <c r="BJ87" s="162">
        <v>775</v>
      </c>
      <c r="BK87" s="97"/>
      <c r="BL87" s="97"/>
      <c r="BM87" s="97"/>
      <c r="BN87" s="97"/>
    </row>
    <row r="88" spans="1:66" ht="12.75">
      <c r="A88" s="79" t="s">
        <v>564</v>
      </c>
      <c r="B88" s="79" t="s">
        <v>284</v>
      </c>
      <c r="C88" s="79" t="s">
        <v>234</v>
      </c>
      <c r="D88" s="99">
        <v>17847</v>
      </c>
      <c r="E88" s="99">
        <v>3480</v>
      </c>
      <c r="F88" s="99" t="s">
        <v>397</v>
      </c>
      <c r="G88" s="99">
        <v>90</v>
      </c>
      <c r="H88" s="99">
        <v>43</v>
      </c>
      <c r="I88" s="99">
        <v>328</v>
      </c>
      <c r="J88" s="99">
        <v>1751</v>
      </c>
      <c r="K88" s="99">
        <v>34</v>
      </c>
      <c r="L88" s="99">
        <v>3588</v>
      </c>
      <c r="M88" s="99">
        <v>1402</v>
      </c>
      <c r="N88" s="99">
        <v>827</v>
      </c>
      <c r="O88" s="99">
        <v>320</v>
      </c>
      <c r="P88" s="159">
        <v>320</v>
      </c>
      <c r="Q88" s="99">
        <v>53</v>
      </c>
      <c r="R88" s="99">
        <v>97</v>
      </c>
      <c r="S88" s="99">
        <v>56</v>
      </c>
      <c r="T88" s="99">
        <v>78</v>
      </c>
      <c r="U88" s="99">
        <v>13</v>
      </c>
      <c r="V88" s="99">
        <v>36</v>
      </c>
      <c r="W88" s="99">
        <v>107</v>
      </c>
      <c r="X88" s="99">
        <v>105</v>
      </c>
      <c r="Y88" s="99">
        <v>215</v>
      </c>
      <c r="Z88" s="99">
        <v>113</v>
      </c>
      <c r="AA88" s="99" t="s">
        <v>663</v>
      </c>
      <c r="AB88" s="99" t="s">
        <v>663</v>
      </c>
      <c r="AC88" s="99" t="s">
        <v>663</v>
      </c>
      <c r="AD88" s="98" t="s">
        <v>376</v>
      </c>
      <c r="AE88" s="100">
        <v>0.19499075474869726</v>
      </c>
      <c r="AF88" s="100">
        <v>0.09</v>
      </c>
      <c r="AG88" s="98">
        <v>504.2864346949067</v>
      </c>
      <c r="AH88" s="98">
        <v>240.93685213201098</v>
      </c>
      <c r="AI88" s="100">
        <v>0.018000000000000002</v>
      </c>
      <c r="AJ88" s="100">
        <v>0.723554</v>
      </c>
      <c r="AK88" s="100">
        <v>0.68</v>
      </c>
      <c r="AL88" s="100">
        <v>0.801609</v>
      </c>
      <c r="AM88" s="100">
        <v>0.6287</v>
      </c>
      <c r="AN88" s="100">
        <v>0.640589</v>
      </c>
      <c r="AO88" s="98">
        <v>1793.0184344707793</v>
      </c>
      <c r="AP88" s="158">
        <v>0.8822856903</v>
      </c>
      <c r="AQ88" s="100">
        <v>0.165625</v>
      </c>
      <c r="AR88" s="100">
        <v>0.5463917525773195</v>
      </c>
      <c r="AS88" s="98">
        <v>313.7782260323864</v>
      </c>
      <c r="AT88" s="98">
        <v>437.04824340225247</v>
      </c>
      <c r="AU88" s="98">
        <v>72.84137390037542</v>
      </c>
      <c r="AV88" s="98">
        <v>201.7145738779627</v>
      </c>
      <c r="AW88" s="98">
        <v>599.5405390261668</v>
      </c>
      <c r="AX88" s="98">
        <v>588.3341738107245</v>
      </c>
      <c r="AY88" s="98">
        <v>1204.6842606600549</v>
      </c>
      <c r="AZ88" s="98">
        <v>633.159634672494</v>
      </c>
      <c r="BA88" s="100" t="s">
        <v>663</v>
      </c>
      <c r="BB88" s="100" t="s">
        <v>663</v>
      </c>
      <c r="BC88" s="100" t="s">
        <v>663</v>
      </c>
      <c r="BD88" s="158">
        <v>0.7882551575</v>
      </c>
      <c r="BE88" s="158">
        <v>0.984446106</v>
      </c>
      <c r="BF88" s="162">
        <v>2420</v>
      </c>
      <c r="BG88" s="162">
        <v>50</v>
      </c>
      <c r="BH88" s="162">
        <v>4476</v>
      </c>
      <c r="BI88" s="162">
        <v>2230</v>
      </c>
      <c r="BJ88" s="162">
        <v>1291</v>
      </c>
      <c r="BK88" s="97"/>
      <c r="BL88" s="97"/>
      <c r="BM88" s="97"/>
      <c r="BN88" s="97"/>
    </row>
    <row r="89" spans="1:66" ht="12.75">
      <c r="A89" s="79" t="s">
        <v>574</v>
      </c>
      <c r="B89" s="79" t="s">
        <v>294</v>
      </c>
      <c r="C89" s="79" t="s">
        <v>234</v>
      </c>
      <c r="D89" s="99">
        <v>11231</v>
      </c>
      <c r="E89" s="99">
        <v>1585</v>
      </c>
      <c r="F89" s="99" t="s">
        <v>397</v>
      </c>
      <c r="G89" s="99">
        <v>47</v>
      </c>
      <c r="H89" s="99">
        <v>27</v>
      </c>
      <c r="I89" s="99">
        <v>203</v>
      </c>
      <c r="J89" s="99">
        <v>987</v>
      </c>
      <c r="K89" s="99">
        <v>21</v>
      </c>
      <c r="L89" s="99">
        <v>2395</v>
      </c>
      <c r="M89" s="99">
        <v>452</v>
      </c>
      <c r="N89" s="99">
        <v>361</v>
      </c>
      <c r="O89" s="99">
        <v>225</v>
      </c>
      <c r="P89" s="159">
        <v>225</v>
      </c>
      <c r="Q89" s="99">
        <v>17</v>
      </c>
      <c r="R89" s="99">
        <v>38</v>
      </c>
      <c r="S89" s="99">
        <v>43</v>
      </c>
      <c r="T89" s="99">
        <v>38</v>
      </c>
      <c r="U89" s="99" t="s">
        <v>663</v>
      </c>
      <c r="V89" s="99">
        <v>22</v>
      </c>
      <c r="W89" s="99">
        <v>62</v>
      </c>
      <c r="X89" s="99">
        <v>72</v>
      </c>
      <c r="Y89" s="99">
        <v>133</v>
      </c>
      <c r="Z89" s="99">
        <v>102</v>
      </c>
      <c r="AA89" s="99" t="s">
        <v>663</v>
      </c>
      <c r="AB89" s="99" t="s">
        <v>663</v>
      </c>
      <c r="AC89" s="99" t="s">
        <v>663</v>
      </c>
      <c r="AD89" s="98" t="s">
        <v>376</v>
      </c>
      <c r="AE89" s="100">
        <v>0.1411272371115662</v>
      </c>
      <c r="AF89" s="100">
        <v>0.1</v>
      </c>
      <c r="AG89" s="98">
        <v>418.4845516872941</v>
      </c>
      <c r="AH89" s="98">
        <v>240.406019054403</v>
      </c>
      <c r="AI89" s="100">
        <v>0.018000000000000002</v>
      </c>
      <c r="AJ89" s="100">
        <v>0.760987</v>
      </c>
      <c r="AK89" s="100">
        <v>0.677419</v>
      </c>
      <c r="AL89" s="100">
        <v>0.795417</v>
      </c>
      <c r="AM89" s="100">
        <v>0.415823</v>
      </c>
      <c r="AN89" s="100">
        <v>0.573016</v>
      </c>
      <c r="AO89" s="98">
        <v>2003.383492120025</v>
      </c>
      <c r="AP89" s="158">
        <v>1.131201401</v>
      </c>
      <c r="AQ89" s="100">
        <v>0.07555555555555556</v>
      </c>
      <c r="AR89" s="100">
        <v>0.4473684210526316</v>
      </c>
      <c r="AS89" s="98">
        <v>382.86884516071586</v>
      </c>
      <c r="AT89" s="98">
        <v>338.3492120024931</v>
      </c>
      <c r="AU89" s="98" t="s">
        <v>663</v>
      </c>
      <c r="AV89" s="98">
        <v>195.88638589618023</v>
      </c>
      <c r="AW89" s="98">
        <v>552.0434511619625</v>
      </c>
      <c r="AX89" s="98">
        <v>641.082717478408</v>
      </c>
      <c r="AY89" s="98">
        <v>1184.2222420087257</v>
      </c>
      <c r="AZ89" s="98">
        <v>908.2005164277447</v>
      </c>
      <c r="BA89" s="101" t="s">
        <v>663</v>
      </c>
      <c r="BB89" s="101" t="s">
        <v>663</v>
      </c>
      <c r="BC89" s="101" t="s">
        <v>663</v>
      </c>
      <c r="BD89" s="158">
        <v>0.9882117462</v>
      </c>
      <c r="BE89" s="158">
        <v>1.289067535</v>
      </c>
      <c r="BF89" s="162">
        <v>1297</v>
      </c>
      <c r="BG89" s="162">
        <v>31</v>
      </c>
      <c r="BH89" s="162">
        <v>3011</v>
      </c>
      <c r="BI89" s="162">
        <v>1087</v>
      </c>
      <c r="BJ89" s="162">
        <v>630</v>
      </c>
      <c r="BK89" s="97"/>
      <c r="BL89" s="97"/>
      <c r="BM89" s="97"/>
      <c r="BN89" s="97"/>
    </row>
    <row r="90" spans="1:66" ht="12.75">
      <c r="A90" s="79" t="s">
        <v>638</v>
      </c>
      <c r="B90" s="79" t="s">
        <v>358</v>
      </c>
      <c r="C90" s="79" t="s">
        <v>234</v>
      </c>
      <c r="D90" s="99">
        <v>5660</v>
      </c>
      <c r="E90" s="99">
        <v>368</v>
      </c>
      <c r="F90" s="99" t="s">
        <v>398</v>
      </c>
      <c r="G90" s="99">
        <v>10</v>
      </c>
      <c r="H90" s="99">
        <v>8</v>
      </c>
      <c r="I90" s="99">
        <v>50</v>
      </c>
      <c r="J90" s="99">
        <v>344</v>
      </c>
      <c r="K90" s="99">
        <v>319</v>
      </c>
      <c r="L90" s="99">
        <v>1135</v>
      </c>
      <c r="M90" s="99">
        <v>178</v>
      </c>
      <c r="N90" s="99">
        <v>98</v>
      </c>
      <c r="O90" s="99">
        <v>64</v>
      </c>
      <c r="P90" s="159">
        <v>64</v>
      </c>
      <c r="Q90" s="99">
        <v>11</v>
      </c>
      <c r="R90" s="99">
        <v>18</v>
      </c>
      <c r="S90" s="99">
        <v>16</v>
      </c>
      <c r="T90" s="99">
        <v>13</v>
      </c>
      <c r="U90" s="99" t="s">
        <v>663</v>
      </c>
      <c r="V90" s="99">
        <v>6</v>
      </c>
      <c r="W90" s="99">
        <v>33</v>
      </c>
      <c r="X90" s="99">
        <v>19</v>
      </c>
      <c r="Y90" s="99">
        <v>39</v>
      </c>
      <c r="Z90" s="99">
        <v>16</v>
      </c>
      <c r="AA90" s="99" t="s">
        <v>663</v>
      </c>
      <c r="AB90" s="99" t="s">
        <v>663</v>
      </c>
      <c r="AC90" s="99" t="s">
        <v>663</v>
      </c>
      <c r="AD90" s="98" t="s">
        <v>376</v>
      </c>
      <c r="AE90" s="100">
        <v>0.06501766784452297</v>
      </c>
      <c r="AF90" s="100">
        <v>0.14</v>
      </c>
      <c r="AG90" s="98">
        <v>176.67844522968198</v>
      </c>
      <c r="AH90" s="98">
        <v>141.3427561837456</v>
      </c>
      <c r="AI90" s="100">
        <v>0.009000000000000001</v>
      </c>
      <c r="AJ90" s="100">
        <v>0.707819</v>
      </c>
      <c r="AK90" s="100">
        <v>0.699561</v>
      </c>
      <c r="AL90" s="100">
        <v>0.772634</v>
      </c>
      <c r="AM90" s="100">
        <v>0.472149</v>
      </c>
      <c r="AN90" s="100">
        <v>0.453704</v>
      </c>
      <c r="AO90" s="98">
        <v>1130.7420494699647</v>
      </c>
      <c r="AP90" s="158">
        <v>0.8519127655</v>
      </c>
      <c r="AQ90" s="100">
        <v>0.171875</v>
      </c>
      <c r="AR90" s="100">
        <v>0.6111111111111112</v>
      </c>
      <c r="AS90" s="98">
        <v>282.6855123674912</v>
      </c>
      <c r="AT90" s="98">
        <v>229.68197879858658</v>
      </c>
      <c r="AU90" s="98" t="s">
        <v>663</v>
      </c>
      <c r="AV90" s="98">
        <v>106.00706713780919</v>
      </c>
      <c r="AW90" s="98">
        <v>583.0388692579505</v>
      </c>
      <c r="AX90" s="98">
        <v>335.68904593639576</v>
      </c>
      <c r="AY90" s="98">
        <v>689.0459363957597</v>
      </c>
      <c r="AZ90" s="98">
        <v>282.6855123674912</v>
      </c>
      <c r="BA90" s="100" t="s">
        <v>663</v>
      </c>
      <c r="BB90" s="100" t="s">
        <v>663</v>
      </c>
      <c r="BC90" s="100" t="s">
        <v>663</v>
      </c>
      <c r="BD90" s="158">
        <v>0.6560766602</v>
      </c>
      <c r="BE90" s="158">
        <v>1.087873535</v>
      </c>
      <c r="BF90" s="162">
        <v>486</v>
      </c>
      <c r="BG90" s="162">
        <v>456</v>
      </c>
      <c r="BH90" s="162">
        <v>1469</v>
      </c>
      <c r="BI90" s="162">
        <v>377</v>
      </c>
      <c r="BJ90" s="162">
        <v>216</v>
      </c>
      <c r="BK90" s="97"/>
      <c r="BL90" s="97"/>
      <c r="BM90" s="97"/>
      <c r="BN90" s="97"/>
    </row>
    <row r="91" spans="1:66" ht="12.75">
      <c r="A91" s="79" t="s">
        <v>581</v>
      </c>
      <c r="B91" s="79" t="s">
        <v>301</v>
      </c>
      <c r="C91" s="79" t="s">
        <v>234</v>
      </c>
      <c r="D91" s="99">
        <v>6739</v>
      </c>
      <c r="E91" s="99">
        <v>1292</v>
      </c>
      <c r="F91" s="99" t="s">
        <v>399</v>
      </c>
      <c r="G91" s="99">
        <v>24</v>
      </c>
      <c r="H91" s="99">
        <v>16</v>
      </c>
      <c r="I91" s="99">
        <v>146</v>
      </c>
      <c r="J91" s="99">
        <v>724</v>
      </c>
      <c r="K91" s="99">
        <v>560</v>
      </c>
      <c r="L91" s="99">
        <v>1389</v>
      </c>
      <c r="M91" s="99">
        <v>369</v>
      </c>
      <c r="N91" s="99">
        <v>274</v>
      </c>
      <c r="O91" s="99">
        <v>164</v>
      </c>
      <c r="P91" s="159">
        <v>164</v>
      </c>
      <c r="Q91" s="99">
        <v>22</v>
      </c>
      <c r="R91" s="99">
        <v>38</v>
      </c>
      <c r="S91" s="99">
        <v>41</v>
      </c>
      <c r="T91" s="99">
        <v>21</v>
      </c>
      <c r="U91" s="99">
        <v>10</v>
      </c>
      <c r="V91" s="99">
        <v>23</v>
      </c>
      <c r="W91" s="99">
        <v>36</v>
      </c>
      <c r="X91" s="99">
        <v>35</v>
      </c>
      <c r="Y91" s="99">
        <v>49</v>
      </c>
      <c r="Z91" s="99">
        <v>48</v>
      </c>
      <c r="AA91" s="99" t="s">
        <v>663</v>
      </c>
      <c r="AB91" s="99" t="s">
        <v>663</v>
      </c>
      <c r="AC91" s="99" t="s">
        <v>663</v>
      </c>
      <c r="AD91" s="98" t="s">
        <v>376</v>
      </c>
      <c r="AE91" s="100">
        <v>0.19171983973883366</v>
      </c>
      <c r="AF91" s="100">
        <v>0.08</v>
      </c>
      <c r="AG91" s="98">
        <v>356.1359252114557</v>
      </c>
      <c r="AH91" s="98">
        <v>237.42395014097048</v>
      </c>
      <c r="AI91" s="100">
        <v>0.022000000000000002</v>
      </c>
      <c r="AJ91" s="100">
        <v>0.803552</v>
      </c>
      <c r="AK91" s="100">
        <v>0.796586</v>
      </c>
      <c r="AL91" s="100">
        <v>0.819469</v>
      </c>
      <c r="AM91" s="100">
        <v>0.450549</v>
      </c>
      <c r="AN91" s="100">
        <v>0.578059</v>
      </c>
      <c r="AO91" s="98">
        <v>2433.595488944947</v>
      </c>
      <c r="AP91" s="158">
        <v>1.200152664</v>
      </c>
      <c r="AQ91" s="100">
        <v>0.13414634146341464</v>
      </c>
      <c r="AR91" s="100">
        <v>0.5789473684210527</v>
      </c>
      <c r="AS91" s="98">
        <v>608.3988722362368</v>
      </c>
      <c r="AT91" s="98">
        <v>311.6189345600237</v>
      </c>
      <c r="AU91" s="98">
        <v>148.38996883810654</v>
      </c>
      <c r="AV91" s="98">
        <v>341.29692832764505</v>
      </c>
      <c r="AW91" s="98">
        <v>534.2038878171836</v>
      </c>
      <c r="AX91" s="98">
        <v>519.3648909333729</v>
      </c>
      <c r="AY91" s="98">
        <v>727.1108473067221</v>
      </c>
      <c r="AZ91" s="98">
        <v>712.2718504229114</v>
      </c>
      <c r="BA91" s="100" t="s">
        <v>663</v>
      </c>
      <c r="BB91" s="100" t="s">
        <v>663</v>
      </c>
      <c r="BC91" s="100" t="s">
        <v>663</v>
      </c>
      <c r="BD91" s="158">
        <v>1.023498764</v>
      </c>
      <c r="BE91" s="158">
        <v>1.398540649</v>
      </c>
      <c r="BF91" s="162">
        <v>901</v>
      </c>
      <c r="BG91" s="162">
        <v>703</v>
      </c>
      <c r="BH91" s="162">
        <v>1695</v>
      </c>
      <c r="BI91" s="162">
        <v>819</v>
      </c>
      <c r="BJ91" s="162">
        <v>474</v>
      </c>
      <c r="BK91" s="97"/>
      <c r="BL91" s="97"/>
      <c r="BM91" s="97"/>
      <c r="BN91" s="97"/>
    </row>
    <row r="92" spans="1:66" ht="12.75">
      <c r="A92" s="79" t="s">
        <v>626</v>
      </c>
      <c r="B92" s="79" t="s">
        <v>346</v>
      </c>
      <c r="C92" s="79" t="s">
        <v>234</v>
      </c>
      <c r="D92" s="99">
        <v>2118</v>
      </c>
      <c r="E92" s="99">
        <v>462</v>
      </c>
      <c r="F92" s="99" t="s">
        <v>397</v>
      </c>
      <c r="G92" s="99">
        <v>12</v>
      </c>
      <c r="H92" s="99" t="s">
        <v>663</v>
      </c>
      <c r="I92" s="99">
        <v>50</v>
      </c>
      <c r="J92" s="99">
        <v>243</v>
      </c>
      <c r="K92" s="99" t="s">
        <v>663</v>
      </c>
      <c r="L92" s="99">
        <v>404</v>
      </c>
      <c r="M92" s="99">
        <v>215</v>
      </c>
      <c r="N92" s="99">
        <v>100</v>
      </c>
      <c r="O92" s="99">
        <v>47</v>
      </c>
      <c r="P92" s="159">
        <v>47</v>
      </c>
      <c r="Q92" s="99">
        <v>6</v>
      </c>
      <c r="R92" s="99">
        <v>13</v>
      </c>
      <c r="S92" s="99">
        <v>15</v>
      </c>
      <c r="T92" s="99" t="s">
        <v>663</v>
      </c>
      <c r="U92" s="99" t="s">
        <v>663</v>
      </c>
      <c r="V92" s="99" t="s">
        <v>663</v>
      </c>
      <c r="W92" s="99">
        <v>13</v>
      </c>
      <c r="X92" s="99" t="s">
        <v>663</v>
      </c>
      <c r="Y92" s="99">
        <v>21</v>
      </c>
      <c r="Z92" s="99">
        <v>10</v>
      </c>
      <c r="AA92" s="99" t="s">
        <v>663</v>
      </c>
      <c r="AB92" s="99" t="s">
        <v>663</v>
      </c>
      <c r="AC92" s="99" t="s">
        <v>663</v>
      </c>
      <c r="AD92" s="98" t="s">
        <v>376</v>
      </c>
      <c r="AE92" s="100">
        <v>0.21813031161473087</v>
      </c>
      <c r="AF92" s="100">
        <v>0.12</v>
      </c>
      <c r="AG92" s="98">
        <v>566.57223796034</v>
      </c>
      <c r="AH92" s="98" t="s">
        <v>663</v>
      </c>
      <c r="AI92" s="100">
        <v>0.024</v>
      </c>
      <c r="AJ92" s="100">
        <v>0.759375</v>
      </c>
      <c r="AK92" s="100" t="s">
        <v>663</v>
      </c>
      <c r="AL92" s="100">
        <v>0.804781</v>
      </c>
      <c r="AM92" s="100">
        <v>0.603933</v>
      </c>
      <c r="AN92" s="100">
        <v>0.588235</v>
      </c>
      <c r="AO92" s="98">
        <v>2219.074598677998</v>
      </c>
      <c r="AP92" s="158">
        <v>1.0686441039999999</v>
      </c>
      <c r="AQ92" s="100">
        <v>0.1276595744680851</v>
      </c>
      <c r="AR92" s="100">
        <v>0.46153846153846156</v>
      </c>
      <c r="AS92" s="98">
        <v>708.2152974504249</v>
      </c>
      <c r="AT92" s="98" t="s">
        <v>663</v>
      </c>
      <c r="AU92" s="98" t="s">
        <v>663</v>
      </c>
      <c r="AV92" s="98" t="s">
        <v>663</v>
      </c>
      <c r="AW92" s="98">
        <v>613.7865911237016</v>
      </c>
      <c r="AX92" s="98" t="s">
        <v>663</v>
      </c>
      <c r="AY92" s="98">
        <v>991.5014164305949</v>
      </c>
      <c r="AZ92" s="98">
        <v>472.14353163361665</v>
      </c>
      <c r="BA92" s="100" t="s">
        <v>663</v>
      </c>
      <c r="BB92" s="100" t="s">
        <v>663</v>
      </c>
      <c r="BC92" s="100" t="s">
        <v>663</v>
      </c>
      <c r="BD92" s="158">
        <v>0.7851995087</v>
      </c>
      <c r="BE92" s="158">
        <v>1.421070099</v>
      </c>
      <c r="BF92" s="162">
        <v>320</v>
      </c>
      <c r="BG92" s="162" t="s">
        <v>663</v>
      </c>
      <c r="BH92" s="162">
        <v>502</v>
      </c>
      <c r="BI92" s="162">
        <v>356</v>
      </c>
      <c r="BJ92" s="162">
        <v>170</v>
      </c>
      <c r="BK92" s="97"/>
      <c r="BL92" s="97"/>
      <c r="BM92" s="97"/>
      <c r="BN92" s="97"/>
    </row>
    <row r="93" spans="1:66" ht="12.75">
      <c r="A93" s="79" t="s">
        <v>591</v>
      </c>
      <c r="B93" s="79" t="s">
        <v>311</v>
      </c>
      <c r="C93" s="79" t="s">
        <v>234</v>
      </c>
      <c r="D93" s="99">
        <v>15539</v>
      </c>
      <c r="E93" s="99">
        <v>2270</v>
      </c>
      <c r="F93" s="99" t="s">
        <v>399</v>
      </c>
      <c r="G93" s="99">
        <v>55</v>
      </c>
      <c r="H93" s="99">
        <v>20</v>
      </c>
      <c r="I93" s="99">
        <v>266</v>
      </c>
      <c r="J93" s="99">
        <v>1128</v>
      </c>
      <c r="K93" s="99">
        <v>17</v>
      </c>
      <c r="L93" s="99">
        <v>2616</v>
      </c>
      <c r="M93" s="99">
        <v>988</v>
      </c>
      <c r="N93" s="99">
        <v>522</v>
      </c>
      <c r="O93" s="99">
        <v>243</v>
      </c>
      <c r="P93" s="159">
        <v>243</v>
      </c>
      <c r="Q93" s="99">
        <v>28</v>
      </c>
      <c r="R93" s="99">
        <v>68</v>
      </c>
      <c r="S93" s="99">
        <v>45</v>
      </c>
      <c r="T93" s="99">
        <v>30</v>
      </c>
      <c r="U93" s="99">
        <v>11</v>
      </c>
      <c r="V93" s="99">
        <v>68</v>
      </c>
      <c r="W93" s="99">
        <v>122</v>
      </c>
      <c r="X93" s="99">
        <v>33</v>
      </c>
      <c r="Y93" s="99">
        <v>139</v>
      </c>
      <c r="Z93" s="99">
        <v>60</v>
      </c>
      <c r="AA93" s="99" t="s">
        <v>663</v>
      </c>
      <c r="AB93" s="99" t="s">
        <v>663</v>
      </c>
      <c r="AC93" s="99" t="s">
        <v>663</v>
      </c>
      <c r="AD93" s="98" t="s">
        <v>376</v>
      </c>
      <c r="AE93" s="100">
        <v>0.1460840465924448</v>
      </c>
      <c r="AF93" s="100">
        <v>0.06</v>
      </c>
      <c r="AG93" s="98">
        <v>353.94813051032884</v>
      </c>
      <c r="AH93" s="98">
        <v>128.70841109466502</v>
      </c>
      <c r="AI93" s="100">
        <v>0.017</v>
      </c>
      <c r="AJ93" s="100">
        <v>0.710775</v>
      </c>
      <c r="AK93" s="100">
        <v>0.53125</v>
      </c>
      <c r="AL93" s="100">
        <v>0.795137</v>
      </c>
      <c r="AM93" s="100">
        <v>0.652145</v>
      </c>
      <c r="AN93" s="100">
        <v>0.709239</v>
      </c>
      <c r="AO93" s="98">
        <v>1563.8071948001802</v>
      </c>
      <c r="AP93" s="158">
        <v>0.9581941986</v>
      </c>
      <c r="AQ93" s="100">
        <v>0.11522633744855967</v>
      </c>
      <c r="AR93" s="100">
        <v>0.4117647058823529</v>
      </c>
      <c r="AS93" s="98">
        <v>289.5939249629963</v>
      </c>
      <c r="AT93" s="98">
        <v>193.06261664199755</v>
      </c>
      <c r="AU93" s="98">
        <v>70.78962610206577</v>
      </c>
      <c r="AV93" s="98">
        <v>437.60859772186114</v>
      </c>
      <c r="AW93" s="98">
        <v>785.1213076774567</v>
      </c>
      <c r="AX93" s="98">
        <v>212.3688783061973</v>
      </c>
      <c r="AY93" s="98">
        <v>894.523457107922</v>
      </c>
      <c r="AZ93" s="98">
        <v>386.1252332839951</v>
      </c>
      <c r="BA93" s="100" t="s">
        <v>663</v>
      </c>
      <c r="BB93" s="100" t="s">
        <v>663</v>
      </c>
      <c r="BC93" s="100" t="s">
        <v>663</v>
      </c>
      <c r="BD93" s="158">
        <v>0.8414958953999999</v>
      </c>
      <c r="BE93" s="158">
        <v>1.086550751</v>
      </c>
      <c r="BF93" s="162">
        <v>1587</v>
      </c>
      <c r="BG93" s="162">
        <v>32</v>
      </c>
      <c r="BH93" s="162">
        <v>3290</v>
      </c>
      <c r="BI93" s="162">
        <v>1515</v>
      </c>
      <c r="BJ93" s="162">
        <v>736</v>
      </c>
      <c r="BK93" s="97"/>
      <c r="BL93" s="97"/>
      <c r="BM93" s="97"/>
      <c r="BN93" s="97"/>
    </row>
    <row r="94" spans="1:66" ht="12.75">
      <c r="A94" s="79" t="s">
        <v>590</v>
      </c>
      <c r="B94" s="79" t="s">
        <v>310</v>
      </c>
      <c r="C94" s="79" t="s">
        <v>234</v>
      </c>
      <c r="D94" s="99">
        <v>9363</v>
      </c>
      <c r="E94" s="99">
        <v>1648</v>
      </c>
      <c r="F94" s="99" t="s">
        <v>398</v>
      </c>
      <c r="G94" s="99">
        <v>47</v>
      </c>
      <c r="H94" s="99">
        <v>19</v>
      </c>
      <c r="I94" s="99">
        <v>170</v>
      </c>
      <c r="J94" s="99">
        <v>855</v>
      </c>
      <c r="K94" s="99">
        <v>363</v>
      </c>
      <c r="L94" s="99">
        <v>1777</v>
      </c>
      <c r="M94" s="99">
        <v>460</v>
      </c>
      <c r="N94" s="99">
        <v>365</v>
      </c>
      <c r="O94" s="99">
        <v>218</v>
      </c>
      <c r="P94" s="159">
        <v>218</v>
      </c>
      <c r="Q94" s="99">
        <v>18</v>
      </c>
      <c r="R94" s="99">
        <v>35</v>
      </c>
      <c r="S94" s="99">
        <v>58</v>
      </c>
      <c r="T94" s="99">
        <v>40</v>
      </c>
      <c r="U94" s="99">
        <v>6</v>
      </c>
      <c r="V94" s="99">
        <v>22</v>
      </c>
      <c r="W94" s="99">
        <v>53</v>
      </c>
      <c r="X94" s="99">
        <v>61</v>
      </c>
      <c r="Y94" s="99">
        <v>85</v>
      </c>
      <c r="Z94" s="99">
        <v>59</v>
      </c>
      <c r="AA94" s="99" t="s">
        <v>663</v>
      </c>
      <c r="AB94" s="99" t="s">
        <v>663</v>
      </c>
      <c r="AC94" s="99" t="s">
        <v>663</v>
      </c>
      <c r="AD94" s="98" t="s">
        <v>376</v>
      </c>
      <c r="AE94" s="100">
        <v>0.1760119619779985</v>
      </c>
      <c r="AF94" s="100">
        <v>0.14</v>
      </c>
      <c r="AG94" s="98">
        <v>501.975862437253</v>
      </c>
      <c r="AH94" s="98">
        <v>202.9264124746342</v>
      </c>
      <c r="AI94" s="100">
        <v>0.018000000000000002</v>
      </c>
      <c r="AJ94" s="100">
        <v>0.724576</v>
      </c>
      <c r="AK94" s="100">
        <v>0.881068</v>
      </c>
      <c r="AL94" s="100">
        <v>0.763316</v>
      </c>
      <c r="AM94" s="100">
        <v>0.433962</v>
      </c>
      <c r="AN94" s="100">
        <v>0.57571</v>
      </c>
      <c r="AO94" s="98">
        <v>2328.313574708961</v>
      </c>
      <c r="AP94" s="158">
        <v>1.204685287</v>
      </c>
      <c r="AQ94" s="100">
        <v>0.08256880733944955</v>
      </c>
      <c r="AR94" s="100">
        <v>0.5142857142857142</v>
      </c>
      <c r="AS94" s="98">
        <v>619.4595749225675</v>
      </c>
      <c r="AT94" s="98">
        <v>427.2134999465983</v>
      </c>
      <c r="AU94" s="98">
        <v>64.08202499198974</v>
      </c>
      <c r="AV94" s="98">
        <v>234.96742497062908</v>
      </c>
      <c r="AW94" s="98">
        <v>566.0578874292428</v>
      </c>
      <c r="AX94" s="98">
        <v>651.5005874185624</v>
      </c>
      <c r="AY94" s="98">
        <v>907.8286873865214</v>
      </c>
      <c r="AZ94" s="98">
        <v>630.1399124212326</v>
      </c>
      <c r="BA94" s="100" t="s">
        <v>663</v>
      </c>
      <c r="BB94" s="100" t="s">
        <v>663</v>
      </c>
      <c r="BC94" s="100" t="s">
        <v>663</v>
      </c>
      <c r="BD94" s="158">
        <v>1.050065384</v>
      </c>
      <c r="BE94" s="158">
        <v>1.375662537</v>
      </c>
      <c r="BF94" s="162">
        <v>1180</v>
      </c>
      <c r="BG94" s="162">
        <v>412</v>
      </c>
      <c r="BH94" s="162">
        <v>2328</v>
      </c>
      <c r="BI94" s="162">
        <v>1060</v>
      </c>
      <c r="BJ94" s="162">
        <v>634</v>
      </c>
      <c r="BK94" s="97"/>
      <c r="BL94" s="97"/>
      <c r="BM94" s="97"/>
      <c r="BN94" s="97"/>
    </row>
    <row r="95" spans="1:66" ht="12.75">
      <c r="A95" s="79" t="s">
        <v>596</v>
      </c>
      <c r="B95" s="79" t="s">
        <v>316</v>
      </c>
      <c r="C95" s="79" t="s">
        <v>234</v>
      </c>
      <c r="D95" s="99">
        <v>7756</v>
      </c>
      <c r="E95" s="99">
        <v>1123</v>
      </c>
      <c r="F95" s="99" t="s">
        <v>397</v>
      </c>
      <c r="G95" s="99">
        <v>20</v>
      </c>
      <c r="H95" s="99">
        <v>19</v>
      </c>
      <c r="I95" s="99">
        <v>130</v>
      </c>
      <c r="J95" s="99">
        <v>735</v>
      </c>
      <c r="K95" s="99">
        <v>716</v>
      </c>
      <c r="L95" s="99">
        <v>1576</v>
      </c>
      <c r="M95" s="99">
        <v>523</v>
      </c>
      <c r="N95" s="99">
        <v>309</v>
      </c>
      <c r="O95" s="99">
        <v>57</v>
      </c>
      <c r="P95" s="159">
        <v>57</v>
      </c>
      <c r="Q95" s="99">
        <v>8</v>
      </c>
      <c r="R95" s="99">
        <v>32</v>
      </c>
      <c r="S95" s="99">
        <v>33</v>
      </c>
      <c r="T95" s="99" t="s">
        <v>663</v>
      </c>
      <c r="U95" s="99" t="s">
        <v>663</v>
      </c>
      <c r="V95" s="99" t="s">
        <v>663</v>
      </c>
      <c r="W95" s="99">
        <v>40</v>
      </c>
      <c r="X95" s="99">
        <v>33</v>
      </c>
      <c r="Y95" s="99">
        <v>87</v>
      </c>
      <c r="Z95" s="99">
        <v>48</v>
      </c>
      <c r="AA95" s="99" t="s">
        <v>663</v>
      </c>
      <c r="AB95" s="99" t="s">
        <v>663</v>
      </c>
      <c r="AC95" s="99" t="s">
        <v>663</v>
      </c>
      <c r="AD95" s="98" t="s">
        <v>376</v>
      </c>
      <c r="AE95" s="100">
        <v>0.14479112944816916</v>
      </c>
      <c r="AF95" s="100">
        <v>0.1</v>
      </c>
      <c r="AG95" s="98">
        <v>257.86487880350694</v>
      </c>
      <c r="AH95" s="98">
        <v>244.97163486333162</v>
      </c>
      <c r="AI95" s="100">
        <v>0.017</v>
      </c>
      <c r="AJ95" s="100">
        <v>0.758514</v>
      </c>
      <c r="AK95" s="100">
        <v>0.757672</v>
      </c>
      <c r="AL95" s="100">
        <v>0.78408</v>
      </c>
      <c r="AM95" s="100">
        <v>0.579181</v>
      </c>
      <c r="AN95" s="100">
        <v>0.607073</v>
      </c>
      <c r="AO95" s="98">
        <v>734.9149045899949</v>
      </c>
      <c r="AP95" s="158">
        <v>0.409552002</v>
      </c>
      <c r="AQ95" s="100">
        <v>0.14035087719298245</v>
      </c>
      <c r="AR95" s="100">
        <v>0.25</v>
      </c>
      <c r="AS95" s="98">
        <v>425.47705002578647</v>
      </c>
      <c r="AT95" s="98" t="s">
        <v>663</v>
      </c>
      <c r="AU95" s="98" t="s">
        <v>663</v>
      </c>
      <c r="AV95" s="98" t="s">
        <v>663</v>
      </c>
      <c r="AW95" s="98">
        <v>515.7297576070139</v>
      </c>
      <c r="AX95" s="98">
        <v>425.47705002578647</v>
      </c>
      <c r="AY95" s="98">
        <v>1121.7122227952552</v>
      </c>
      <c r="AZ95" s="98">
        <v>618.8757091284167</v>
      </c>
      <c r="BA95" s="100" t="s">
        <v>663</v>
      </c>
      <c r="BB95" s="100" t="s">
        <v>663</v>
      </c>
      <c r="BC95" s="100" t="s">
        <v>663</v>
      </c>
      <c r="BD95" s="158">
        <v>0.3101906967</v>
      </c>
      <c r="BE95" s="158">
        <v>0.530622139</v>
      </c>
      <c r="BF95" s="162">
        <v>969</v>
      </c>
      <c r="BG95" s="162">
        <v>945</v>
      </c>
      <c r="BH95" s="162">
        <v>2010</v>
      </c>
      <c r="BI95" s="162">
        <v>903</v>
      </c>
      <c r="BJ95" s="162">
        <v>509</v>
      </c>
      <c r="BK95" s="97"/>
      <c r="BL95" s="97"/>
      <c r="BM95" s="97"/>
      <c r="BN95" s="97"/>
    </row>
    <row r="96" spans="1:66" ht="12.75">
      <c r="A96" s="79" t="s">
        <v>653</v>
      </c>
      <c r="B96" s="79" t="s">
        <v>374</v>
      </c>
      <c r="C96" s="79" t="s">
        <v>234</v>
      </c>
      <c r="D96" s="99">
        <v>3370</v>
      </c>
      <c r="E96" s="99">
        <v>351</v>
      </c>
      <c r="F96" s="99" t="s">
        <v>396</v>
      </c>
      <c r="G96" s="99">
        <v>9</v>
      </c>
      <c r="H96" s="99">
        <v>8</v>
      </c>
      <c r="I96" s="99">
        <v>50</v>
      </c>
      <c r="J96" s="99">
        <v>175</v>
      </c>
      <c r="K96" s="99">
        <v>160</v>
      </c>
      <c r="L96" s="99">
        <v>583</v>
      </c>
      <c r="M96" s="99">
        <v>70</v>
      </c>
      <c r="N96" s="99">
        <v>50</v>
      </c>
      <c r="O96" s="99">
        <v>57</v>
      </c>
      <c r="P96" s="159">
        <v>57</v>
      </c>
      <c r="Q96" s="99" t="s">
        <v>663</v>
      </c>
      <c r="R96" s="99">
        <v>14</v>
      </c>
      <c r="S96" s="99">
        <v>7</v>
      </c>
      <c r="T96" s="99">
        <v>9</v>
      </c>
      <c r="U96" s="99" t="s">
        <v>663</v>
      </c>
      <c r="V96" s="99">
        <v>12</v>
      </c>
      <c r="W96" s="99">
        <v>10</v>
      </c>
      <c r="X96" s="99">
        <v>11</v>
      </c>
      <c r="Y96" s="99">
        <v>25</v>
      </c>
      <c r="Z96" s="99">
        <v>18</v>
      </c>
      <c r="AA96" s="99" t="s">
        <v>663</v>
      </c>
      <c r="AB96" s="99" t="s">
        <v>663</v>
      </c>
      <c r="AC96" s="99" t="s">
        <v>663</v>
      </c>
      <c r="AD96" s="98" t="s">
        <v>376</v>
      </c>
      <c r="AE96" s="100">
        <v>0.10415430267062314</v>
      </c>
      <c r="AF96" s="100">
        <v>0.19</v>
      </c>
      <c r="AG96" s="98">
        <v>267.06231454005933</v>
      </c>
      <c r="AH96" s="98">
        <v>237.3887240356083</v>
      </c>
      <c r="AI96" s="100">
        <v>0.015</v>
      </c>
      <c r="AJ96" s="100">
        <v>0.643382</v>
      </c>
      <c r="AK96" s="100">
        <v>0.629921</v>
      </c>
      <c r="AL96" s="100">
        <v>0.737042</v>
      </c>
      <c r="AM96" s="100">
        <v>0.321101</v>
      </c>
      <c r="AN96" s="100">
        <v>0.423729</v>
      </c>
      <c r="AO96" s="98">
        <v>1691.394658753709</v>
      </c>
      <c r="AP96" s="158">
        <v>1.208556976</v>
      </c>
      <c r="AQ96" s="100" t="s">
        <v>663</v>
      </c>
      <c r="AR96" s="100" t="s">
        <v>663</v>
      </c>
      <c r="AS96" s="98">
        <v>207.71513353115728</v>
      </c>
      <c r="AT96" s="98">
        <v>267.06231454005933</v>
      </c>
      <c r="AU96" s="98" t="s">
        <v>663</v>
      </c>
      <c r="AV96" s="98">
        <v>356.08308605341244</v>
      </c>
      <c r="AW96" s="98">
        <v>296.7359050445104</v>
      </c>
      <c r="AX96" s="98">
        <v>326.40949554896144</v>
      </c>
      <c r="AY96" s="98">
        <v>741.839762611276</v>
      </c>
      <c r="AZ96" s="98">
        <v>534.1246290801187</v>
      </c>
      <c r="BA96" s="100" t="s">
        <v>663</v>
      </c>
      <c r="BB96" s="100" t="s">
        <v>663</v>
      </c>
      <c r="BC96" s="100" t="s">
        <v>663</v>
      </c>
      <c r="BD96" s="158">
        <v>0.9153492737000001</v>
      </c>
      <c r="BE96" s="158">
        <v>1.565825806</v>
      </c>
      <c r="BF96" s="162">
        <v>272</v>
      </c>
      <c r="BG96" s="162">
        <v>254</v>
      </c>
      <c r="BH96" s="162">
        <v>791</v>
      </c>
      <c r="BI96" s="162">
        <v>218</v>
      </c>
      <c r="BJ96" s="162">
        <v>118</v>
      </c>
      <c r="BK96" s="97"/>
      <c r="BL96" s="97"/>
      <c r="BM96" s="97"/>
      <c r="BN96" s="97"/>
    </row>
    <row r="97" spans="1:66" ht="12.75">
      <c r="A97" s="79" t="s">
        <v>589</v>
      </c>
      <c r="B97" s="79" t="s">
        <v>309</v>
      </c>
      <c r="C97" s="79" t="s">
        <v>234</v>
      </c>
      <c r="D97" s="99">
        <v>10551</v>
      </c>
      <c r="E97" s="99">
        <v>2077</v>
      </c>
      <c r="F97" s="99" t="s">
        <v>397</v>
      </c>
      <c r="G97" s="99">
        <v>57</v>
      </c>
      <c r="H97" s="99">
        <v>33</v>
      </c>
      <c r="I97" s="99">
        <v>226</v>
      </c>
      <c r="J97" s="99">
        <v>1014</v>
      </c>
      <c r="K97" s="99">
        <v>993</v>
      </c>
      <c r="L97" s="99">
        <v>1907</v>
      </c>
      <c r="M97" s="99">
        <v>691</v>
      </c>
      <c r="N97" s="99">
        <v>378</v>
      </c>
      <c r="O97" s="99">
        <v>270</v>
      </c>
      <c r="P97" s="159">
        <v>270</v>
      </c>
      <c r="Q97" s="99">
        <v>38</v>
      </c>
      <c r="R97" s="99">
        <v>61</v>
      </c>
      <c r="S97" s="99">
        <v>47</v>
      </c>
      <c r="T97" s="99">
        <v>32</v>
      </c>
      <c r="U97" s="99">
        <v>12</v>
      </c>
      <c r="V97" s="99">
        <v>61</v>
      </c>
      <c r="W97" s="99">
        <v>95</v>
      </c>
      <c r="X97" s="99">
        <v>43</v>
      </c>
      <c r="Y97" s="99">
        <v>122</v>
      </c>
      <c r="Z97" s="99">
        <v>56</v>
      </c>
      <c r="AA97" s="99" t="s">
        <v>663</v>
      </c>
      <c r="AB97" s="99" t="s">
        <v>663</v>
      </c>
      <c r="AC97" s="99" t="s">
        <v>663</v>
      </c>
      <c r="AD97" s="98" t="s">
        <v>376</v>
      </c>
      <c r="AE97" s="100">
        <v>0.1968533788266515</v>
      </c>
      <c r="AF97" s="100">
        <v>0.11</v>
      </c>
      <c r="AG97" s="98">
        <v>540.2331532556155</v>
      </c>
      <c r="AH97" s="98">
        <v>312.76656241114586</v>
      </c>
      <c r="AI97" s="100">
        <v>0.021</v>
      </c>
      <c r="AJ97" s="100">
        <v>0.761833</v>
      </c>
      <c r="AK97" s="100">
        <v>0.754559</v>
      </c>
      <c r="AL97" s="100">
        <v>0.745213</v>
      </c>
      <c r="AM97" s="100">
        <v>0.554575</v>
      </c>
      <c r="AN97" s="100">
        <v>0.607717</v>
      </c>
      <c r="AO97" s="98">
        <v>2558.999147000284</v>
      </c>
      <c r="AP97" s="158">
        <v>1.274125824</v>
      </c>
      <c r="AQ97" s="100">
        <v>0.14074074074074075</v>
      </c>
      <c r="AR97" s="100">
        <v>0.6229508196721312</v>
      </c>
      <c r="AS97" s="98">
        <v>445.4554070704199</v>
      </c>
      <c r="AT97" s="98">
        <v>303.2887877926263</v>
      </c>
      <c r="AU97" s="98">
        <v>113.73329542223486</v>
      </c>
      <c r="AV97" s="98">
        <v>578.1442517296939</v>
      </c>
      <c r="AW97" s="98">
        <v>900.3885887593593</v>
      </c>
      <c r="AX97" s="98">
        <v>407.5443085963416</v>
      </c>
      <c r="AY97" s="98">
        <v>1156.2885034593878</v>
      </c>
      <c r="AZ97" s="98">
        <v>530.755378637096</v>
      </c>
      <c r="BA97" s="100" t="s">
        <v>663</v>
      </c>
      <c r="BB97" s="100" t="s">
        <v>663</v>
      </c>
      <c r="BC97" s="100" t="s">
        <v>663</v>
      </c>
      <c r="BD97" s="158">
        <v>1.126666336</v>
      </c>
      <c r="BE97" s="158">
        <v>1.435522308</v>
      </c>
      <c r="BF97" s="162">
        <v>1331</v>
      </c>
      <c r="BG97" s="162">
        <v>1316</v>
      </c>
      <c r="BH97" s="162">
        <v>2559</v>
      </c>
      <c r="BI97" s="162">
        <v>1246</v>
      </c>
      <c r="BJ97" s="162">
        <v>622</v>
      </c>
      <c r="BK97" s="97"/>
      <c r="BL97" s="97"/>
      <c r="BM97" s="97"/>
      <c r="BN97" s="97"/>
    </row>
    <row r="98" spans="1:66" ht="12.75">
      <c r="A98" s="79" t="s">
        <v>567</v>
      </c>
      <c r="B98" s="79" t="s">
        <v>287</v>
      </c>
      <c r="C98" s="79" t="s">
        <v>234</v>
      </c>
      <c r="D98" s="99">
        <v>5117</v>
      </c>
      <c r="E98" s="99">
        <v>1241</v>
      </c>
      <c r="F98" s="99" t="s">
        <v>399</v>
      </c>
      <c r="G98" s="99">
        <v>25</v>
      </c>
      <c r="H98" s="99">
        <v>18</v>
      </c>
      <c r="I98" s="99">
        <v>114</v>
      </c>
      <c r="J98" s="99">
        <v>628</v>
      </c>
      <c r="K98" s="99">
        <v>11</v>
      </c>
      <c r="L98" s="99">
        <v>1020</v>
      </c>
      <c r="M98" s="99">
        <v>375</v>
      </c>
      <c r="N98" s="99">
        <v>303</v>
      </c>
      <c r="O98" s="99">
        <v>103</v>
      </c>
      <c r="P98" s="159">
        <v>103</v>
      </c>
      <c r="Q98" s="99">
        <v>11</v>
      </c>
      <c r="R98" s="99">
        <v>23</v>
      </c>
      <c r="S98" s="99">
        <v>18</v>
      </c>
      <c r="T98" s="99">
        <v>11</v>
      </c>
      <c r="U98" s="99" t="s">
        <v>663</v>
      </c>
      <c r="V98" s="99">
        <v>23</v>
      </c>
      <c r="W98" s="99">
        <v>28</v>
      </c>
      <c r="X98" s="99">
        <v>32</v>
      </c>
      <c r="Y98" s="99">
        <v>51</v>
      </c>
      <c r="Z98" s="99">
        <v>26</v>
      </c>
      <c r="AA98" s="99" t="s">
        <v>663</v>
      </c>
      <c r="AB98" s="99" t="s">
        <v>663</v>
      </c>
      <c r="AC98" s="99" t="s">
        <v>663</v>
      </c>
      <c r="AD98" s="98" t="s">
        <v>376</v>
      </c>
      <c r="AE98" s="100">
        <v>0.2425249169435216</v>
      </c>
      <c r="AF98" s="100">
        <v>0.06</v>
      </c>
      <c r="AG98" s="98">
        <v>488.5675200312683</v>
      </c>
      <c r="AH98" s="98">
        <v>351.76861442251317</v>
      </c>
      <c r="AI98" s="100">
        <v>0.022000000000000002</v>
      </c>
      <c r="AJ98" s="100">
        <v>0.731083</v>
      </c>
      <c r="AK98" s="100">
        <v>0.733333</v>
      </c>
      <c r="AL98" s="100">
        <v>0.82658</v>
      </c>
      <c r="AM98" s="100">
        <v>0.432526</v>
      </c>
      <c r="AN98" s="100">
        <v>0.587209</v>
      </c>
      <c r="AO98" s="98">
        <v>2012.8981825288254</v>
      </c>
      <c r="AP98" s="158">
        <v>0.8589785003999999</v>
      </c>
      <c r="AQ98" s="100">
        <v>0.10679611650485436</v>
      </c>
      <c r="AR98" s="100">
        <v>0.4782608695652174</v>
      </c>
      <c r="AS98" s="98">
        <v>351.76861442251317</v>
      </c>
      <c r="AT98" s="98">
        <v>214.96970881375807</v>
      </c>
      <c r="AU98" s="98" t="s">
        <v>663</v>
      </c>
      <c r="AV98" s="98">
        <v>449.48211842876685</v>
      </c>
      <c r="AW98" s="98">
        <v>547.1956224350205</v>
      </c>
      <c r="AX98" s="98">
        <v>625.3664256400234</v>
      </c>
      <c r="AY98" s="98">
        <v>996.6777408637873</v>
      </c>
      <c r="AZ98" s="98">
        <v>508.1102208325191</v>
      </c>
      <c r="BA98" s="100" t="s">
        <v>663</v>
      </c>
      <c r="BB98" s="100" t="s">
        <v>663</v>
      </c>
      <c r="BC98" s="100" t="s">
        <v>663</v>
      </c>
      <c r="BD98" s="158">
        <v>0.7011260986000001</v>
      </c>
      <c r="BE98" s="158">
        <v>1.0417612459999999</v>
      </c>
      <c r="BF98" s="162">
        <v>859</v>
      </c>
      <c r="BG98" s="162">
        <v>15</v>
      </c>
      <c r="BH98" s="162">
        <v>1234</v>
      </c>
      <c r="BI98" s="162">
        <v>867</v>
      </c>
      <c r="BJ98" s="162">
        <v>516</v>
      </c>
      <c r="BK98" s="97"/>
      <c r="BL98" s="97"/>
      <c r="BM98" s="97"/>
      <c r="BN98" s="97"/>
    </row>
    <row r="99" spans="1:66" ht="12.75">
      <c r="A99" s="79" t="s">
        <v>485</v>
      </c>
      <c r="B99" s="94" t="s">
        <v>234</v>
      </c>
      <c r="C99" s="94" t="s">
        <v>7</v>
      </c>
      <c r="D99" s="99">
        <v>615835</v>
      </c>
      <c r="E99" s="99">
        <v>110002</v>
      </c>
      <c r="F99" s="99">
        <v>69727.52</v>
      </c>
      <c r="G99" s="99">
        <v>2806</v>
      </c>
      <c r="H99" s="99">
        <v>1366</v>
      </c>
      <c r="I99" s="99">
        <v>11996</v>
      </c>
      <c r="J99" s="99">
        <v>61729</v>
      </c>
      <c r="K99" s="99">
        <v>21731</v>
      </c>
      <c r="L99" s="99">
        <v>118054</v>
      </c>
      <c r="M99" s="99">
        <v>42238</v>
      </c>
      <c r="N99" s="99">
        <v>25355</v>
      </c>
      <c r="O99" s="99">
        <v>12097</v>
      </c>
      <c r="P99" s="99">
        <v>12097</v>
      </c>
      <c r="Q99" s="99">
        <v>1388</v>
      </c>
      <c r="R99" s="99">
        <v>2812</v>
      </c>
      <c r="S99" s="99">
        <v>2507</v>
      </c>
      <c r="T99" s="99">
        <v>1693</v>
      </c>
      <c r="U99" s="99">
        <v>530</v>
      </c>
      <c r="V99" s="99">
        <v>2008</v>
      </c>
      <c r="W99" s="99">
        <v>4012</v>
      </c>
      <c r="X99" s="99">
        <v>2524</v>
      </c>
      <c r="Y99" s="99">
        <v>6891</v>
      </c>
      <c r="Z99" s="99">
        <v>3606</v>
      </c>
      <c r="AA99" s="99">
        <v>0</v>
      </c>
      <c r="AB99" s="99">
        <v>0</v>
      </c>
      <c r="AC99" s="99">
        <v>0</v>
      </c>
      <c r="AD99" s="98">
        <v>0</v>
      </c>
      <c r="AE99" s="101">
        <v>0.17862252064270462</v>
      </c>
      <c r="AF99" s="101">
        <v>0.11322435392597044</v>
      </c>
      <c r="AG99" s="98">
        <v>455.6415273571655</v>
      </c>
      <c r="AH99" s="98">
        <v>221.81266085883394</v>
      </c>
      <c r="AI99" s="101">
        <v>0.01947924362856934</v>
      </c>
      <c r="AJ99" s="101">
        <v>0.7587423331735438</v>
      </c>
      <c r="AK99" s="101">
        <v>0.7739235727768083</v>
      </c>
      <c r="AL99" s="101">
        <v>0.7829916496985535</v>
      </c>
      <c r="AM99" s="101">
        <v>0.5528099887443394</v>
      </c>
      <c r="AN99" s="101">
        <v>0.5983198433112301</v>
      </c>
      <c r="AO99" s="98">
        <v>1964.3248597432753</v>
      </c>
      <c r="AP99" s="98">
        <v>0</v>
      </c>
      <c r="AQ99" s="101">
        <v>0.11473919153509135</v>
      </c>
      <c r="AR99" s="101">
        <v>0.49359886201991465</v>
      </c>
      <c r="AS99" s="98">
        <v>407.08956132730356</v>
      </c>
      <c r="AT99" s="98">
        <v>274.91129929283005</v>
      </c>
      <c r="AU99" s="98">
        <v>86.06201336396924</v>
      </c>
      <c r="AV99" s="98">
        <v>326.06136383934006</v>
      </c>
      <c r="AW99" s="98">
        <v>651.4732030495181</v>
      </c>
      <c r="AX99" s="98">
        <v>409.85004100124223</v>
      </c>
      <c r="AY99" s="98">
        <v>1118.9685548888906</v>
      </c>
      <c r="AZ99" s="98">
        <v>585.5464531895719</v>
      </c>
      <c r="BA99" s="101">
        <v>0</v>
      </c>
      <c r="BB99" s="101">
        <v>0</v>
      </c>
      <c r="BC99" s="101">
        <v>0</v>
      </c>
      <c r="BD99" s="98">
        <v>0</v>
      </c>
      <c r="BE99" s="98">
        <v>0</v>
      </c>
      <c r="BF99" s="99">
        <v>81357</v>
      </c>
      <c r="BG99" s="99">
        <v>28079</v>
      </c>
      <c r="BH99" s="99">
        <v>150773</v>
      </c>
      <c r="BI99" s="99">
        <v>76406</v>
      </c>
      <c r="BJ99" s="99">
        <v>42377</v>
      </c>
      <c r="BK99" s="97"/>
      <c r="BL99" s="97"/>
      <c r="BM99" s="97"/>
      <c r="BN99" s="97"/>
    </row>
    <row r="100" spans="1:66" ht="12.75">
      <c r="A100" s="79" t="s">
        <v>24</v>
      </c>
      <c r="B100" s="94" t="s">
        <v>7</v>
      </c>
      <c r="C100" s="94" t="s">
        <v>7</v>
      </c>
      <c r="D100" s="99">
        <v>54615830</v>
      </c>
      <c r="E100" s="99">
        <v>8737890</v>
      </c>
      <c r="F100" s="99">
        <v>8198344.169999988</v>
      </c>
      <c r="G100" s="99">
        <v>243379</v>
      </c>
      <c r="H100" s="99">
        <v>127868</v>
      </c>
      <c r="I100" s="99">
        <v>870616</v>
      </c>
      <c r="J100" s="99">
        <v>4592627</v>
      </c>
      <c r="K100" s="99">
        <v>1679592</v>
      </c>
      <c r="L100" s="99">
        <v>10150944</v>
      </c>
      <c r="M100" s="99">
        <v>2959539</v>
      </c>
      <c r="N100" s="99">
        <v>1629320</v>
      </c>
      <c r="O100" s="99">
        <v>989730</v>
      </c>
      <c r="P100" s="99">
        <v>989730</v>
      </c>
      <c r="Q100" s="99">
        <v>108072</v>
      </c>
      <c r="R100" s="99">
        <v>238330</v>
      </c>
      <c r="S100" s="99">
        <v>206300</v>
      </c>
      <c r="T100" s="99">
        <v>154264</v>
      </c>
      <c r="U100" s="99">
        <v>38486</v>
      </c>
      <c r="V100" s="99">
        <v>176535</v>
      </c>
      <c r="W100" s="99">
        <v>307276</v>
      </c>
      <c r="X100" s="99">
        <v>221506</v>
      </c>
      <c r="Y100" s="99">
        <v>578574</v>
      </c>
      <c r="Z100" s="99">
        <v>318377</v>
      </c>
      <c r="AA100" s="99">
        <v>0</v>
      </c>
      <c r="AB100" s="99">
        <v>0</v>
      </c>
      <c r="AC100" s="99">
        <v>0</v>
      </c>
      <c r="AD100" s="98">
        <v>0</v>
      </c>
      <c r="AE100" s="101">
        <v>0.1599882305185145</v>
      </c>
      <c r="AF100" s="101">
        <v>0.15010930292554353</v>
      </c>
      <c r="AG100" s="98">
        <v>445.6198871279627</v>
      </c>
      <c r="AH100" s="98">
        <v>234.12259778895606</v>
      </c>
      <c r="AI100" s="101">
        <v>0.015940726342527432</v>
      </c>
      <c r="AJ100" s="101">
        <v>0.7248631360507991</v>
      </c>
      <c r="AK100" s="101">
        <v>0.7467412166569077</v>
      </c>
      <c r="AL100" s="101">
        <v>0.7559681673907895</v>
      </c>
      <c r="AM100" s="101">
        <v>0.5147293797466616</v>
      </c>
      <c r="AN100" s="101">
        <v>0.5752927626212945</v>
      </c>
      <c r="AO100" s="98">
        <v>1812.1669120472948</v>
      </c>
      <c r="AP100" s="98">
        <v>1</v>
      </c>
      <c r="AQ100" s="101">
        <v>0.10919341638628717</v>
      </c>
      <c r="AR100" s="101">
        <v>0.4534552930810221</v>
      </c>
      <c r="AS100" s="98">
        <v>377.7293140102421</v>
      </c>
      <c r="AT100" s="98">
        <v>282.45290788403287</v>
      </c>
      <c r="AU100" s="98">
        <v>70.46674929228394</v>
      </c>
      <c r="AV100" s="98">
        <v>323.23046266988894</v>
      </c>
      <c r="AW100" s="98">
        <v>562.6134400960308</v>
      </c>
      <c r="AX100" s="98">
        <v>405.57105879375996</v>
      </c>
      <c r="AY100" s="98">
        <v>1059.3522061277838</v>
      </c>
      <c r="AZ100" s="98">
        <v>582.9390489900089</v>
      </c>
      <c r="BA100" s="101">
        <v>0</v>
      </c>
      <c r="BB100" s="101">
        <v>0</v>
      </c>
      <c r="BC100" s="101">
        <v>0</v>
      </c>
      <c r="BD100" s="98">
        <v>0</v>
      </c>
      <c r="BE100" s="98">
        <v>0</v>
      </c>
      <c r="BF100" s="99">
        <v>6335854</v>
      </c>
      <c r="BG100" s="99">
        <v>2249229</v>
      </c>
      <c r="BH100" s="99">
        <v>13427740</v>
      </c>
      <c r="BI100" s="99">
        <v>5749699</v>
      </c>
      <c r="BJ100" s="99">
        <v>2832158</v>
      </c>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381</v>
      </c>
      <c r="O4" s="75" t="s">
        <v>380</v>
      </c>
      <c r="P4" s="75" t="s">
        <v>507</v>
      </c>
      <c r="Q4" s="75" t="s">
        <v>508</v>
      </c>
      <c r="R4" s="75" t="s">
        <v>509</v>
      </c>
      <c r="S4" s="75" t="s">
        <v>510</v>
      </c>
      <c r="T4" s="39" t="s">
        <v>278</v>
      </c>
      <c r="U4" s="40" t="s">
        <v>279</v>
      </c>
      <c r="V4" s="41" t="s">
        <v>7</v>
      </c>
      <c r="W4" s="24" t="s">
        <v>2</v>
      </c>
      <c r="X4" s="24" t="s">
        <v>3</v>
      </c>
      <c r="Y4" s="75" t="s">
        <v>668</v>
      </c>
      <c r="Z4" s="75" t="s">
        <v>667</v>
      </c>
      <c r="AA4" s="26" t="s">
        <v>280</v>
      </c>
      <c r="AB4" s="24" t="s">
        <v>5</v>
      </c>
      <c r="AC4" s="75" t="s">
        <v>35</v>
      </c>
      <c r="AD4" s="24" t="s">
        <v>6</v>
      </c>
      <c r="AE4" s="24" t="s">
        <v>281</v>
      </c>
      <c r="AF4" s="24" t="s">
        <v>16</v>
      </c>
      <c r="AG4" s="24" t="s">
        <v>15</v>
      </c>
      <c r="AH4" s="24" t="s">
        <v>14</v>
      </c>
      <c r="AI4" s="25" t="s">
        <v>30</v>
      </c>
      <c r="AJ4" s="47" t="s">
        <v>10</v>
      </c>
      <c r="AK4" s="26" t="s">
        <v>21</v>
      </c>
      <c r="AL4" s="25" t="s">
        <v>22</v>
      </c>
      <c r="AQ4" s="102" t="s">
        <v>422</v>
      </c>
      <c r="AR4" s="102" t="s">
        <v>424</v>
      </c>
      <c r="AS4" s="102" t="s">
        <v>423</v>
      </c>
      <c r="AY4" s="102" t="s">
        <v>504</v>
      </c>
      <c r="AZ4" s="102" t="s">
        <v>505</v>
      </c>
      <c r="BA4" s="102" t="s">
        <v>506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445</v>
      </c>
      <c r="BA5" s="103" t="s">
        <v>376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430</v>
      </c>
      <c r="BA6" s="103" t="s">
        <v>376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768</v>
      </c>
      <c r="E7" s="38">
        <f>IF(LEFT(VLOOKUP($B7,'Indicator chart'!$D$1:$J$36,5,FALSE),1)=" "," ",VLOOKUP($B7,'Indicator chart'!$D$1:$J$36,5,FALSE))</f>
        <v>0.1995841995841996</v>
      </c>
      <c r="F7" s="38">
        <f>IF(LEFT(VLOOKUP($B7,'Indicator chart'!$D$1:$J$36,6,FALSE),1)=" "," ",VLOOKUP($B7,'Indicator chart'!$D$1:$J$36,6,FALSE))</f>
        <v>0.18725783706437538</v>
      </c>
      <c r="G7" s="38">
        <f>IF(LEFT(VLOOKUP($B7,'Indicator chart'!$D$1:$J$36,7,FALSE),1)=" "," ",VLOOKUP($B7,'Indicator chart'!$D$1:$J$36,7,FALSE))</f>
        <v>0.21250979616332535</v>
      </c>
      <c r="H7" s="50">
        <f aca="true" t="shared" si="0" ref="H7:H31">IF(LEFT(F7,1)=" ",4,IF(AND(ABS(N7-E7)&gt;SQRT((E7-G7)^2+(N7-R7)^2),E7&lt;N7),1,IF(AND(ABS(N7-E7)&gt;SQRT((E7-F7)^2+(N7-S7)^2),E7&gt;N7),3,2)))</f>
        <v>3</v>
      </c>
      <c r="I7" s="38">
        <v>0.06501767039299011</v>
      </c>
      <c r="J7" s="38">
        <v>0.14197097718715668</v>
      </c>
      <c r="K7" s="38">
        <v>0.17967452108860016</v>
      </c>
      <c r="L7" s="38">
        <v>0.20290127396583557</v>
      </c>
      <c r="M7" s="38">
        <v>0.27782726287841797</v>
      </c>
      <c r="N7" s="80">
        <f>VLOOKUP('Hide - Control'!B$3,'All practice data'!A:CA,A7+29,FALSE)</f>
        <v>0.17862252064270462</v>
      </c>
      <c r="O7" s="80">
        <f>VLOOKUP('Hide - Control'!C$3,'All practice data'!A:CA,A7+29,FALSE)</f>
        <v>0.1599882305185145</v>
      </c>
      <c r="P7" s="38">
        <f>VLOOKUP('Hide - Control'!$B$4,'All practice data'!B:BC,A7+2,FALSE)</f>
        <v>110002</v>
      </c>
      <c r="Q7" s="38">
        <f>VLOOKUP('Hide - Control'!$B$4,'All practice data'!B:BC,3,FALSE)</f>
        <v>615835</v>
      </c>
      <c r="R7" s="38">
        <f>+((2*P7+1.96^2-1.96*SQRT(1.96^2+4*P7*(1-P7/Q7)))/(2*(Q7+1.96^2)))</f>
        <v>0.17766785355761552</v>
      </c>
      <c r="S7" s="38">
        <f>+((2*P7+1.96^2+1.96*SQRT(1.96^2+4*P7*(1-P7/Q7)))/(2*(Q7+1.96^2)))</f>
        <v>0.17958119723041455</v>
      </c>
      <c r="T7" s="53">
        <f>IF($C7=1,M7,I7)</f>
        <v>0.27782726287841797</v>
      </c>
      <c r="U7" s="51">
        <f aca="true" t="shared" si="1" ref="U7:U15">IF($C7=1,I7,M7)</f>
        <v>0.06501767039299011</v>
      </c>
      <c r="V7" s="7">
        <v>1</v>
      </c>
      <c r="W7" s="27">
        <f aca="true" t="shared" si="2" ref="W7:W31">IF((K7-I7)&gt;(M7-K7),I7,(K7-(M7-K7)))</f>
        <v>0.06501767039299011</v>
      </c>
      <c r="X7" s="27">
        <f aca="true" t="shared" si="3" ref="X7:X31">IF(W7=I7,K7+(K7-I7),M7)</f>
        <v>0.2943313717842102</v>
      </c>
      <c r="Y7" s="27">
        <f aca="true" t="shared" si="4" ref="Y7:Y31">IF(C7=1,W7,X7)</f>
        <v>0.06501767039299011</v>
      </c>
      <c r="Z7" s="27">
        <f aca="true" t="shared" si="5" ref="Z7:Z31">IF(C7=1,X7,W7)</f>
        <v>0.2943313717842102</v>
      </c>
      <c r="AA7" s="32">
        <f aca="true" t="shared" si="6" ref="AA7:AA31">IF(ISERROR(IF(C7=1,(I7-$Y7)/($Z7-$Y7),(U7-$Y7)/($Z7-$Y7))),"",IF(C7=1,(I7-$Y7)/($Z7-$Y7),(U7-$Y7)/($Z7-$Y7)))</f>
        <v>0</v>
      </c>
      <c r="AB7" s="33">
        <f aca="true" t="shared" si="7" ref="AB7:AB31">IF(ISERROR(IF(C7=1,(J7-$Y7)/($Z7-$Y7),(L7-$Y7)/($Z7-$Y7))),"",IF(C7=1,(J7-$Y7)/($Z7-$Y7),(L7-$Y7)/($Z7-$Y7)))</f>
        <v>0.33558093706263353</v>
      </c>
      <c r="AC7" s="33">
        <v>0.5</v>
      </c>
      <c r="AD7" s="33">
        <f aca="true" t="shared" si="8" ref="AD7:AD31">IF(ISERROR(IF(C7=1,(L7-$Y7)/($Z7-$Y7),(J7-$Y7)/($Z7-$Y7))),"",IF(C7=1,(L7-$Y7)/($Z7-$Y7),(J7-$Y7)/($Z7-$Y7)))</f>
        <v>0.6012881163939239</v>
      </c>
      <c r="AE7" s="33">
        <f aca="true" t="shared" si="9" ref="AE7:AE31">IF(ISERROR(IF(C7=1,(M7-$Y7)/($Z7-$Y7),(I7-$Y7)/($Z7-$Y7))),"",IF(C7=1,(M7-$Y7)/($Z7-$Y7),(I7-$Y7)/($Z7-$Y7)))</f>
        <v>0.9280282477424433</v>
      </c>
      <c r="AF7" s="33">
        <f aca="true" t="shared" si="10" ref="AF7:AF30">IF(E7=" ",-999,IF(H7=4,(E7-$Y7)/($Z7-$Y7),-999))</f>
        <v>-999</v>
      </c>
      <c r="AG7" s="33">
        <f aca="true" t="shared" si="11" ref="AG7:AG31">IF(E7=" ",-999,IF(H7=2,(E7-$Y7)/($Z7-$Y7),-999))</f>
        <v>-999</v>
      </c>
      <c r="AH7" s="33">
        <f aca="true" t="shared" si="12" ref="AH7:AH31">IF(E7=" ",-999,IF(MAX(AK7:AL7)&gt;-999,MAX(AK7:AL7),-999))</f>
        <v>0.5868228909777727</v>
      </c>
      <c r="AI7" s="34">
        <f aca="true" t="shared" si="13" ref="AI7:AI31">IF(ISERROR((O7-$Y7)/($Z7-$Y7)),-999,(O7-$Y7)/($Z7-$Y7))</f>
        <v>0.4141512676710934</v>
      </c>
      <c r="AJ7" s="4">
        <v>2.7020512924389086</v>
      </c>
      <c r="AK7" s="32">
        <f aca="true" t="shared" si="14" ref="AK7:AK31">IF(H7=1,(E7-$Y7)/($Z7-$Y7),-999)</f>
        <v>-999</v>
      </c>
      <c r="AL7" s="34">
        <f aca="true" t="shared" si="15" ref="AL7:AL31">IF(H7=3,(E7-$Y7)/($Z7-$Y7),-999)</f>
        <v>0.5868228909777727</v>
      </c>
      <c r="AQ7" s="103">
        <v>2</v>
      </c>
      <c r="AR7" s="103">
        <v>0.2422</v>
      </c>
      <c r="AS7" s="103">
        <v>7.2247</v>
      </c>
      <c r="AY7" s="103" t="s">
        <v>68</v>
      </c>
      <c r="AZ7" s="103" t="s">
        <v>429</v>
      </c>
      <c r="BA7" s="103" t="s">
        <v>376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0.05292600034511787</v>
      </c>
      <c r="G8" s="38">
        <f>IF(LEFT(VLOOKUP($B8,'Indicator chart'!$D$1:$J$36,7,FALSE),1)=" "," ",VLOOKUP($B8,'Indicator chart'!$D$1:$J$36,7,FALSE))</f>
        <v>0.06795165983696229</v>
      </c>
      <c r="H8" s="50">
        <f t="shared" si="0"/>
        <v>1</v>
      </c>
      <c r="I8" s="38">
        <v>0.05999999865889549</v>
      </c>
      <c r="J8" s="38">
        <v>0.09000000357627869</v>
      </c>
      <c r="K8" s="38">
        <v>0.11999999731779099</v>
      </c>
      <c r="L8" s="38">
        <v>0.14000000059604645</v>
      </c>
      <c r="M8" s="38">
        <v>0.20000000298023224</v>
      </c>
      <c r="N8" s="80">
        <f>VLOOKUP('Hide - Control'!B$3,'All practice data'!A:CA,A8+29,FALSE)</f>
        <v>0.11322435392597044</v>
      </c>
      <c r="O8" s="80">
        <f>VLOOKUP('Hide - Control'!C$3,'All practice data'!A:CA,A8+29,FALSE)</f>
        <v>0.15010930292554353</v>
      </c>
      <c r="P8" s="38">
        <f>VLOOKUP('Hide - Control'!$B$4,'All practice data'!B:BC,A8+2,FALSE)</f>
        <v>69727.52</v>
      </c>
      <c r="Q8" s="38">
        <f>VLOOKUP('Hide - Control'!$B$4,'All practice data'!B:BC,3,FALSE)</f>
        <v>615835</v>
      </c>
      <c r="R8" s="38">
        <f>+((2*P8+1.96^2-1.96*SQRT(1.96^2+4*P8*(1-P8/Q8)))/(2*(Q8+1.96^2)))</f>
        <v>0.11243535695538931</v>
      </c>
      <c r="S8" s="38">
        <f>+((2*P8+1.96^2+1.96*SQRT(1.96^2+4*P8*(1-P8/Q8)))/(2*(Q8+1.96^2)))</f>
        <v>0.1140181763061282</v>
      </c>
      <c r="T8" s="53">
        <f aca="true" t="shared" si="16" ref="T8:T15">IF($C8=1,M8,I8)</f>
        <v>0.20000000298023224</v>
      </c>
      <c r="U8" s="51">
        <f t="shared" si="1"/>
        <v>0.05999999865889549</v>
      </c>
      <c r="V8" s="7"/>
      <c r="W8" s="27">
        <f t="shared" si="2"/>
        <v>0.03999999165534973</v>
      </c>
      <c r="X8" s="27">
        <f t="shared" si="3"/>
        <v>0.20000000298023224</v>
      </c>
      <c r="Y8" s="27">
        <f t="shared" si="4"/>
        <v>0.03999999165534973</v>
      </c>
      <c r="Z8" s="27">
        <f t="shared" si="5"/>
        <v>0.20000000298023224</v>
      </c>
      <c r="AA8" s="32">
        <f t="shared" si="6"/>
        <v>0.12500003492459408</v>
      </c>
      <c r="AB8" s="33">
        <f t="shared" si="7"/>
        <v>0.3125000523868911</v>
      </c>
      <c r="AC8" s="33">
        <v>0.5</v>
      </c>
      <c r="AD8" s="33">
        <f t="shared" si="8"/>
        <v>0.6250000116415314</v>
      </c>
      <c r="AE8" s="33">
        <f t="shared" si="9"/>
        <v>1</v>
      </c>
      <c r="AF8" s="33">
        <f t="shared" si="10"/>
        <v>-999</v>
      </c>
      <c r="AG8" s="33">
        <f t="shared" si="11"/>
        <v>-999</v>
      </c>
      <c r="AH8" s="33">
        <f t="shared" si="12"/>
        <v>0.12500004330649664</v>
      </c>
      <c r="AI8" s="34">
        <f t="shared" si="13"/>
        <v>0.6881831467287532</v>
      </c>
      <c r="AJ8" s="4">
        <v>3.778046717820832</v>
      </c>
      <c r="AK8" s="32">
        <f t="shared" si="14"/>
        <v>0.12500004330649664</v>
      </c>
      <c r="AL8" s="34">
        <f t="shared" si="15"/>
        <v>-999</v>
      </c>
      <c r="AQ8" s="103">
        <v>3</v>
      </c>
      <c r="AR8" s="103">
        <v>0.6187</v>
      </c>
      <c r="AS8" s="103">
        <v>8.7673</v>
      </c>
      <c r="AY8" s="103" t="s">
        <v>118</v>
      </c>
      <c r="AZ8" s="103" t="s">
        <v>119</v>
      </c>
      <c r="BA8" s="103" t="s">
        <v>376</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311.1693115234375</v>
      </c>
      <c r="K9" s="38">
        <v>445.3316955566406</v>
      </c>
      <c r="L9" s="38">
        <v>546.6593627929688</v>
      </c>
      <c r="M9" s="38">
        <v>1068.5662841796875</v>
      </c>
      <c r="N9" s="80">
        <f>VLOOKUP('Hide - Control'!B$3,'All practice data'!A:CA,A9+29,FALSE)</f>
        <v>455.6415273571655</v>
      </c>
      <c r="O9" s="80">
        <f>VLOOKUP('Hide - Control'!C$3,'All practice data'!A:CA,A9+29,FALSE)</f>
        <v>445.6198871279627</v>
      </c>
      <c r="P9" s="38">
        <f>VLOOKUP('Hide - Control'!$B$4,'All practice data'!B:BC,A9+2,FALSE)</f>
        <v>2806</v>
      </c>
      <c r="Q9" s="38">
        <f>VLOOKUP('Hide - Control'!$B$4,'All practice data'!B:BC,3,FALSE)</f>
        <v>615835</v>
      </c>
      <c r="R9" s="38">
        <f>100000*(P9*(1-1/(9*P9)-1.96/(3*SQRT(P9)))^3)/Q9</f>
        <v>438.936664321779</v>
      </c>
      <c r="S9" s="38">
        <f>100000*((P9+1)*(1-1/(9*(P9+1))+1.96/(3*SQRT(P9+1)))^3)/Q9</f>
        <v>472.81937817756983</v>
      </c>
      <c r="T9" s="53">
        <f t="shared" si="16"/>
        <v>1068.5662841796875</v>
      </c>
      <c r="U9" s="51">
        <f t="shared" si="1"/>
        <v>92.60600280761719</v>
      </c>
      <c r="V9" s="7"/>
      <c r="W9" s="27">
        <f t="shared" si="2"/>
        <v>-177.90289306640625</v>
      </c>
      <c r="X9" s="27">
        <f t="shared" si="3"/>
        <v>1068.5662841796875</v>
      </c>
      <c r="Y9" s="27">
        <f t="shared" si="4"/>
        <v>-177.90289306640625</v>
      </c>
      <c r="Z9" s="27">
        <f t="shared" si="5"/>
        <v>1068.5662841796875</v>
      </c>
      <c r="AA9" s="32">
        <f t="shared" si="6"/>
        <v>0.21702012437377433</v>
      </c>
      <c r="AB9" s="33">
        <f t="shared" si="7"/>
        <v>0.39236606369231136</v>
      </c>
      <c r="AC9" s="33">
        <v>0.5</v>
      </c>
      <c r="AD9" s="33">
        <f t="shared" si="8"/>
        <v>0.5812917552122693</v>
      </c>
      <c r="AE9" s="33">
        <f t="shared" si="9"/>
        <v>1</v>
      </c>
      <c r="AF9" s="33">
        <f t="shared" si="10"/>
        <v>-999</v>
      </c>
      <c r="AG9" s="33">
        <f t="shared" si="11"/>
        <v>-999</v>
      </c>
      <c r="AH9" s="33">
        <f t="shared" si="12"/>
        <v>-999</v>
      </c>
      <c r="AI9" s="34">
        <f t="shared" si="13"/>
        <v>0.5002312063359311</v>
      </c>
      <c r="AJ9" s="4">
        <v>4.854042143202755</v>
      </c>
      <c r="AK9" s="32">
        <f t="shared" si="14"/>
        <v>-999</v>
      </c>
      <c r="AL9" s="34">
        <f t="shared" si="15"/>
        <v>-999</v>
      </c>
      <c r="AQ9" s="103">
        <v>4</v>
      </c>
      <c r="AR9" s="103">
        <v>1.0899</v>
      </c>
      <c r="AS9" s="103">
        <v>10.2416</v>
      </c>
      <c r="AY9" s="103" t="s">
        <v>90</v>
      </c>
      <c r="AZ9" s="103" t="s">
        <v>439</v>
      </c>
      <c r="BA9" s="103" t="s">
        <v>376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233.8877338877339</v>
      </c>
      <c r="F10" s="38">
        <f>IF(LEFT(VLOOKUP($B10,'Indicator chart'!$D$1:$J$36,6,FALSE),1)=" "," ",VLOOKUP($B10,'Indicator chart'!$D$1:$J$36,6,FALSE))</f>
        <v>106.72611703539914</v>
      </c>
      <c r="G10" s="38">
        <f>IF(LEFT(VLOOKUP($B10,'Indicator chart'!$D$1:$J$36,7,FALSE),1)=" "," ",VLOOKUP($B10,'Indicator chart'!$D$1:$J$36,7,FALSE))</f>
        <v>444.02139970725733</v>
      </c>
      <c r="H10" s="50">
        <f t="shared" si="0"/>
        <v>2</v>
      </c>
      <c r="I10" s="38">
        <v>44.173431396484375</v>
      </c>
      <c r="J10" s="38">
        <v>164.81752014160156</v>
      </c>
      <c r="K10" s="38">
        <v>222.9378204345703</v>
      </c>
      <c r="L10" s="38">
        <v>257.442626953125</v>
      </c>
      <c r="M10" s="38">
        <v>638.6375732421875</v>
      </c>
      <c r="N10" s="80">
        <f>VLOOKUP('Hide - Control'!B$3,'All practice data'!A:CA,A10+29,FALSE)</f>
        <v>221.81266085883394</v>
      </c>
      <c r="O10" s="80">
        <f>VLOOKUP('Hide - Control'!C$3,'All practice data'!A:CA,A10+29,FALSE)</f>
        <v>234.12259778895606</v>
      </c>
      <c r="P10" s="38">
        <f>VLOOKUP('Hide - Control'!$B$4,'All practice data'!B:BC,A10+2,FALSE)</f>
        <v>1366</v>
      </c>
      <c r="Q10" s="38">
        <f>VLOOKUP('Hide - Control'!$B$4,'All practice data'!B:BC,3,FALSE)</f>
        <v>615835</v>
      </c>
      <c r="R10" s="38">
        <f>100000*(P10*(1-1/(9*P10)-1.96/(3*SQRT(P10)))^3)/Q10</f>
        <v>210.204172360977</v>
      </c>
      <c r="S10" s="38">
        <f>100000*((P10+1)*(1-1/(9*(P10+1))+1.96/(3*SQRT(P10+1)))^3)/Q10</f>
        <v>233.8954254563091</v>
      </c>
      <c r="T10" s="53">
        <f t="shared" si="16"/>
        <v>638.6375732421875</v>
      </c>
      <c r="U10" s="51">
        <f t="shared" si="1"/>
        <v>44.173431396484375</v>
      </c>
      <c r="V10" s="7"/>
      <c r="W10" s="27">
        <f t="shared" si="2"/>
        <v>-192.76193237304688</v>
      </c>
      <c r="X10" s="27">
        <f t="shared" si="3"/>
        <v>638.6375732421875</v>
      </c>
      <c r="Y10" s="27">
        <f t="shared" si="4"/>
        <v>-192.76193237304688</v>
      </c>
      <c r="Z10" s="27">
        <f t="shared" si="5"/>
        <v>638.6375732421875</v>
      </c>
      <c r="AA10" s="32">
        <f t="shared" si="6"/>
        <v>0.2849837679350067</v>
      </c>
      <c r="AB10" s="33">
        <f t="shared" si="7"/>
        <v>0.43009341489810027</v>
      </c>
      <c r="AC10" s="33">
        <v>0.5</v>
      </c>
      <c r="AD10" s="33">
        <f t="shared" si="8"/>
        <v>0.5415020772631097</v>
      </c>
      <c r="AE10" s="33">
        <f t="shared" si="9"/>
        <v>1</v>
      </c>
      <c r="AF10" s="33">
        <f t="shared" si="10"/>
        <v>-999</v>
      </c>
      <c r="AG10" s="33">
        <f t="shared" si="11"/>
        <v>0.5131704594231875</v>
      </c>
      <c r="AH10" s="33">
        <f t="shared" si="12"/>
        <v>-999</v>
      </c>
      <c r="AI10" s="34">
        <f t="shared" si="13"/>
        <v>0.5134529516542219</v>
      </c>
      <c r="AJ10" s="4">
        <v>5.930037568584676</v>
      </c>
      <c r="AK10" s="32">
        <f t="shared" si="14"/>
        <v>-999</v>
      </c>
      <c r="AL10" s="34">
        <f t="shared" si="15"/>
        <v>-999</v>
      </c>
      <c r="AY10" s="103" t="s">
        <v>96</v>
      </c>
      <c r="AZ10" s="103" t="s">
        <v>97</v>
      </c>
      <c r="BA10" s="103" t="s">
        <v>556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100</v>
      </c>
      <c r="E11" s="38">
        <f>IF(LEFT(VLOOKUP($B11,'Indicator chart'!$D$1:$J$36,5,FALSE),1)=" "," ",VLOOKUP($B11,'Indicator chart'!$D$1:$J$36,5,FALSE))</f>
        <v>0.026000000000000002</v>
      </c>
      <c r="F11" s="38">
        <f>IF(LEFT(VLOOKUP($B11,'Indicator chart'!$D$1:$J$36,6,FALSE),1)=" "," ",VLOOKUP($B11,'Indicator chart'!$D$1:$J$36,6,FALSE))</f>
        <v>0.02141365876167743</v>
      </c>
      <c r="G11" s="38">
        <f>IF(LEFT(VLOOKUP($B11,'Indicator chart'!$D$1:$J$36,7,FALSE),1)=" "," ",VLOOKUP($B11,'Indicator chart'!$D$1:$J$36,7,FALSE))</f>
        <v>0.03150689747303378</v>
      </c>
      <c r="H11" s="50">
        <f t="shared" si="0"/>
        <v>3</v>
      </c>
      <c r="I11" s="38">
        <v>0.007000000216066837</v>
      </c>
      <c r="J11" s="38">
        <v>0.01549999974668026</v>
      </c>
      <c r="K11" s="38">
        <v>0.01899999938905239</v>
      </c>
      <c r="L11" s="38">
        <v>0.02199999988079071</v>
      </c>
      <c r="M11" s="38">
        <v>0.028999999165534973</v>
      </c>
      <c r="N11" s="80">
        <f>VLOOKUP('Hide - Control'!B$3,'All practice data'!A:CA,A11+29,FALSE)</f>
        <v>0.01947924362856934</v>
      </c>
      <c r="O11" s="80">
        <f>VLOOKUP('Hide - Control'!C$3,'All practice data'!A:CA,A11+29,FALSE)</f>
        <v>0.015940726342527432</v>
      </c>
      <c r="P11" s="38">
        <f>VLOOKUP('Hide - Control'!$B$4,'All practice data'!B:BC,A11+2,FALSE)</f>
        <v>11996</v>
      </c>
      <c r="Q11" s="38">
        <f>VLOOKUP('Hide - Control'!$B$4,'All practice data'!B:BC,3,FALSE)</f>
        <v>615835</v>
      </c>
      <c r="R11" s="80">
        <f aca="true" t="shared" si="17" ref="R11:R16">+((2*P11+1.96^2-1.96*SQRT(1.96^2+4*P11*(1-P11/Q11)))/(2*(Q11+1.96^2)))</f>
        <v>0.019137054975892732</v>
      </c>
      <c r="S11" s="80">
        <f aca="true" t="shared" si="18" ref="S11:S16">+((2*P11+1.96^2+1.96*SQRT(1.96^2+4*P11*(1-P11/Q11)))/(2*(Q11+1.96^2)))</f>
        <v>0.019827427253998494</v>
      </c>
      <c r="T11" s="53">
        <f t="shared" si="16"/>
        <v>0.028999999165534973</v>
      </c>
      <c r="U11" s="51">
        <f t="shared" si="1"/>
        <v>0.007000000216066837</v>
      </c>
      <c r="V11" s="7"/>
      <c r="W11" s="27">
        <f t="shared" si="2"/>
        <v>0.007000000216066837</v>
      </c>
      <c r="X11" s="27">
        <f t="shared" si="3"/>
        <v>0.030999998562037945</v>
      </c>
      <c r="Y11" s="27">
        <f t="shared" si="4"/>
        <v>0.007000000216066837</v>
      </c>
      <c r="Z11" s="27">
        <f t="shared" si="5"/>
        <v>0.030999998562037945</v>
      </c>
      <c r="AA11" s="32">
        <f t="shared" si="6"/>
        <v>0</v>
      </c>
      <c r="AB11" s="33">
        <f t="shared" si="7"/>
        <v>0.3541666715173054</v>
      </c>
      <c r="AC11" s="33">
        <v>0.5</v>
      </c>
      <c r="AD11" s="33">
        <f t="shared" si="8"/>
        <v>0.6250000291038325</v>
      </c>
      <c r="AE11" s="33">
        <f t="shared" si="9"/>
        <v>0.9166666860692216</v>
      </c>
      <c r="AF11" s="33">
        <f t="shared" si="10"/>
        <v>-999</v>
      </c>
      <c r="AG11" s="33">
        <f t="shared" si="11"/>
        <v>-999</v>
      </c>
      <c r="AH11" s="33">
        <f t="shared" si="12"/>
        <v>0.7916667122238659</v>
      </c>
      <c r="AI11" s="34">
        <f t="shared" si="13"/>
        <v>0.37253028094318513</v>
      </c>
      <c r="AJ11" s="4">
        <v>7.0060329939666</v>
      </c>
      <c r="AK11" s="32">
        <f t="shared" si="14"/>
        <v>-999</v>
      </c>
      <c r="AL11" s="34">
        <f t="shared" si="15"/>
        <v>0.7916667122238659</v>
      </c>
      <c r="AY11" s="103" t="s">
        <v>214</v>
      </c>
      <c r="AZ11" s="103" t="s">
        <v>215</v>
      </c>
      <c r="BA11" s="103" t="s">
        <v>556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462</v>
      </c>
      <c r="E12" s="38">
        <f>IF(LEFT(VLOOKUP($B12,'Indicator chart'!$D$1:$J$36,5,FALSE),1)=" "," ",VLOOKUP($B12,'Indicator chart'!$D$1:$J$36,5,FALSE))</f>
        <v>0.733333</v>
      </c>
      <c r="F12" s="38">
        <f>IF(LEFT(VLOOKUP($B12,'Indicator chart'!$D$1:$J$36,6,FALSE),1)=" "," ",VLOOKUP($B12,'Indicator chart'!$D$1:$J$36,6,FALSE))</f>
        <v>0.697462981289732</v>
      </c>
      <c r="G12" s="38">
        <f>IF(LEFT(VLOOKUP($B12,'Indicator chart'!$D$1:$J$36,7,FALSE),1)=" "," ",VLOOKUP($B12,'Indicator chart'!$D$1:$J$36,7,FALSE))</f>
        <v>0.7663753025969677</v>
      </c>
      <c r="H12" s="50">
        <f t="shared" si="0"/>
        <v>2</v>
      </c>
      <c r="I12" s="38">
        <v>0.6035500168800354</v>
      </c>
      <c r="J12" s="38">
        <v>0.7175447344779968</v>
      </c>
      <c r="K12" s="38">
        <v>0.7572875022888184</v>
      </c>
      <c r="L12" s="38">
        <v>0.7886037230491638</v>
      </c>
      <c r="M12" s="38">
        <v>0.8767330050468445</v>
      </c>
      <c r="N12" s="80">
        <f>VLOOKUP('Hide - Control'!B$3,'All practice data'!A:CA,A12+29,FALSE)</f>
        <v>0.7587423331735438</v>
      </c>
      <c r="O12" s="80">
        <f>VLOOKUP('Hide - Control'!C$3,'All practice data'!A:CA,A12+29,FALSE)</f>
        <v>0.7248631360507991</v>
      </c>
      <c r="P12" s="38">
        <f>VLOOKUP('Hide - Control'!$B$4,'All practice data'!B:BC,A12+2,FALSE)</f>
        <v>61729</v>
      </c>
      <c r="Q12" s="38">
        <f>VLOOKUP('Hide - Control'!$B$4,'All practice data'!B:BJ,57,FALSE)</f>
        <v>81357</v>
      </c>
      <c r="R12" s="38">
        <f t="shared" si="17"/>
        <v>0.7557901669949526</v>
      </c>
      <c r="S12" s="38">
        <f t="shared" si="18"/>
        <v>0.7616700653731452</v>
      </c>
      <c r="T12" s="53">
        <f t="shared" si="16"/>
        <v>0.8767330050468445</v>
      </c>
      <c r="U12" s="51">
        <f t="shared" si="1"/>
        <v>0.6035500168800354</v>
      </c>
      <c r="V12" s="7"/>
      <c r="W12" s="27">
        <f t="shared" si="2"/>
        <v>0.6035500168800354</v>
      </c>
      <c r="X12" s="27">
        <f t="shared" si="3"/>
        <v>0.9110249876976013</v>
      </c>
      <c r="Y12" s="27">
        <f t="shared" si="4"/>
        <v>0.6035500168800354</v>
      </c>
      <c r="Z12" s="27">
        <f t="shared" si="5"/>
        <v>0.9110249876976013</v>
      </c>
      <c r="AA12" s="32">
        <f t="shared" si="6"/>
        <v>0</v>
      </c>
      <c r="AB12" s="33">
        <f t="shared" si="7"/>
        <v>0.37074470580435603</v>
      </c>
      <c r="AC12" s="33">
        <v>0.5</v>
      </c>
      <c r="AD12" s="33">
        <f t="shared" si="8"/>
        <v>0.6018496584521226</v>
      </c>
      <c r="AE12" s="33">
        <f t="shared" si="9"/>
        <v>0.888472279354721</v>
      </c>
      <c r="AF12" s="33">
        <f t="shared" si="10"/>
        <v>-999</v>
      </c>
      <c r="AG12" s="33">
        <f t="shared" si="11"/>
        <v>0.42209283823940497</v>
      </c>
      <c r="AH12" s="33">
        <f t="shared" si="12"/>
        <v>-999</v>
      </c>
      <c r="AI12" s="34">
        <f t="shared" si="13"/>
        <v>0.3945463230655688</v>
      </c>
      <c r="AJ12" s="4">
        <v>8.082028419348523</v>
      </c>
      <c r="AK12" s="32">
        <f t="shared" si="14"/>
        <v>-999</v>
      </c>
      <c r="AL12" s="34">
        <f t="shared" si="15"/>
        <v>-999</v>
      </c>
      <c r="AY12" s="103" t="s">
        <v>261</v>
      </c>
      <c r="AZ12" s="103" t="s">
        <v>492</v>
      </c>
      <c r="BA12" s="103" t="s">
        <v>376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0.916667</v>
      </c>
      <c r="F13" s="38">
        <f>IF(LEFT(VLOOKUP($B13,'Indicator chart'!$D$1:$J$36,6,FALSE),1)=" "," ",VLOOKUP($B13,'Indicator chart'!$D$1:$J$36,6,FALSE))</f>
        <v>0.6461140782014047</v>
      </c>
      <c r="G13" s="38">
        <f>IF(LEFT(VLOOKUP($B13,'Indicator chart'!$D$1:$J$36,7,FALSE),1)=" "," ",VLOOKUP($B13,'Indicator chart'!$D$1:$J$36,7,FALSE))</f>
        <v>0.9851352905492265</v>
      </c>
      <c r="H13" s="50">
        <f t="shared" si="0"/>
        <v>2</v>
      </c>
      <c r="I13" s="38">
        <v>0</v>
      </c>
      <c r="J13" s="38">
        <v>0.625</v>
      </c>
      <c r="K13" s="38">
        <v>0.7299615144729614</v>
      </c>
      <c r="L13" s="38">
        <v>0.7942249774932861</v>
      </c>
      <c r="M13" s="38">
        <v>1</v>
      </c>
      <c r="N13" s="80">
        <f>VLOOKUP('Hide - Control'!B$3,'All practice data'!A:CA,A13+29,FALSE)</f>
        <v>0.7739235727768083</v>
      </c>
      <c r="O13" s="80">
        <f>VLOOKUP('Hide - Control'!C$3,'All practice data'!A:CA,A13+29,FALSE)</f>
        <v>0.7467412166569077</v>
      </c>
      <c r="P13" s="38">
        <f>VLOOKUP('Hide - Control'!$B$4,'All practice data'!B:BC,A13+2,FALSE)</f>
        <v>21731</v>
      </c>
      <c r="Q13" s="38">
        <f>VLOOKUP('Hide - Control'!$B$4,'All practice data'!B:BJ,58,FALSE)</f>
        <v>28079</v>
      </c>
      <c r="R13" s="38">
        <f t="shared" si="17"/>
        <v>0.7689936674718113</v>
      </c>
      <c r="S13" s="38">
        <f t="shared" si="18"/>
        <v>0.778778535181641</v>
      </c>
      <c r="T13" s="53">
        <f t="shared" si="16"/>
        <v>1</v>
      </c>
      <c r="U13" s="51">
        <f t="shared" si="1"/>
        <v>0</v>
      </c>
      <c r="V13" s="7"/>
      <c r="W13" s="27">
        <f t="shared" si="2"/>
        <v>0</v>
      </c>
      <c r="X13" s="27">
        <f t="shared" si="3"/>
        <v>1.4599230289459229</v>
      </c>
      <c r="Y13" s="27">
        <f t="shared" si="4"/>
        <v>0</v>
      </c>
      <c r="Z13" s="27">
        <f t="shared" si="5"/>
        <v>1.4599230289459229</v>
      </c>
      <c r="AA13" s="32">
        <f t="shared" si="6"/>
        <v>0</v>
      </c>
      <c r="AB13" s="33">
        <f t="shared" si="7"/>
        <v>0.4281047614210562</v>
      </c>
      <c r="AC13" s="33">
        <v>0.5</v>
      </c>
      <c r="AD13" s="33">
        <f t="shared" si="8"/>
        <v>0.5440183912070512</v>
      </c>
      <c r="AE13" s="33">
        <f t="shared" si="9"/>
        <v>0.6849676182736899</v>
      </c>
      <c r="AF13" s="33">
        <f t="shared" si="10"/>
        <v>-999</v>
      </c>
      <c r="AG13" s="33">
        <f t="shared" si="11"/>
        <v>0.6278872117400885</v>
      </c>
      <c r="AH13" s="33">
        <f t="shared" si="12"/>
        <v>-999</v>
      </c>
      <c r="AI13" s="34">
        <f t="shared" si="13"/>
        <v>0.5114935526402795</v>
      </c>
      <c r="AJ13" s="4">
        <v>9.158023844730446</v>
      </c>
      <c r="AK13" s="32">
        <f t="shared" si="14"/>
        <v>-999</v>
      </c>
      <c r="AL13" s="34">
        <f t="shared" si="15"/>
        <v>-999</v>
      </c>
      <c r="AY13" s="103" t="s">
        <v>260</v>
      </c>
      <c r="AZ13" s="103" t="s">
        <v>491</v>
      </c>
      <c r="BA13" s="103" t="s">
        <v>376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757</v>
      </c>
      <c r="E14" s="38">
        <f>IF(LEFT(VLOOKUP($B14,'Indicator chart'!$D$1:$J$36,5,FALSE),1)=" "," ",VLOOKUP($B14,'Indicator chart'!$D$1:$J$36,5,FALSE))</f>
        <v>0.822826</v>
      </c>
      <c r="F14" s="38">
        <f>IF(LEFT(VLOOKUP($B14,'Indicator chart'!$D$1:$J$36,6,FALSE),1)=" "," ",VLOOKUP($B14,'Indicator chart'!$D$1:$J$36,6,FALSE))</f>
        <v>0.7968258006641773</v>
      </c>
      <c r="G14" s="38">
        <f>IF(LEFT(VLOOKUP($B14,'Indicator chart'!$D$1:$J$36,7,FALSE),1)=" "," ",VLOOKUP($B14,'Indicator chart'!$D$1:$J$36,7,FALSE))</f>
        <v>0.8461415651699656</v>
      </c>
      <c r="H14" s="50">
        <f t="shared" si="0"/>
        <v>3</v>
      </c>
      <c r="I14" s="38">
        <v>0.6295539736747742</v>
      </c>
      <c r="J14" s="38">
        <v>0.7548105120658875</v>
      </c>
      <c r="K14" s="38">
        <v>0.7896010279655457</v>
      </c>
      <c r="L14" s="38">
        <v>0.8096429705619812</v>
      </c>
      <c r="M14" s="38">
        <v>0.8546509742736816</v>
      </c>
      <c r="N14" s="80">
        <f>VLOOKUP('Hide - Control'!B$3,'All practice data'!A:CA,A14+29,FALSE)</f>
        <v>0.7829916496985535</v>
      </c>
      <c r="O14" s="80">
        <f>VLOOKUP('Hide - Control'!C$3,'All practice data'!A:CA,A14+29,FALSE)</f>
        <v>0.7559681673907895</v>
      </c>
      <c r="P14" s="38">
        <f>VLOOKUP('Hide - Control'!$B$4,'All practice data'!B:BC,A14+2,FALSE)</f>
        <v>118054</v>
      </c>
      <c r="Q14" s="38">
        <f>VLOOKUP('Hide - Control'!$B$4,'All practice data'!B:BJ,59,FALSE)</f>
        <v>150773</v>
      </c>
      <c r="R14" s="38">
        <f t="shared" si="17"/>
        <v>0.7809037457644818</v>
      </c>
      <c r="S14" s="38">
        <f t="shared" si="18"/>
        <v>0.7850651331061045</v>
      </c>
      <c r="T14" s="53">
        <f t="shared" si="16"/>
        <v>0.8546509742736816</v>
      </c>
      <c r="U14" s="51">
        <f t="shared" si="1"/>
        <v>0.6295539736747742</v>
      </c>
      <c r="V14" s="7"/>
      <c r="W14" s="27">
        <f t="shared" si="2"/>
        <v>0.6295539736747742</v>
      </c>
      <c r="X14" s="27">
        <f t="shared" si="3"/>
        <v>0.9496480822563171</v>
      </c>
      <c r="Y14" s="27">
        <f t="shared" si="4"/>
        <v>0.6295539736747742</v>
      </c>
      <c r="Z14" s="27">
        <f t="shared" si="5"/>
        <v>0.9496480822563171</v>
      </c>
      <c r="AA14" s="32">
        <f t="shared" si="6"/>
        <v>0</v>
      </c>
      <c r="AB14" s="33">
        <f t="shared" si="7"/>
        <v>0.39131160191036307</v>
      </c>
      <c r="AC14" s="33">
        <v>0.5</v>
      </c>
      <c r="AD14" s="33">
        <f t="shared" si="8"/>
        <v>0.5626126569003376</v>
      </c>
      <c r="AE14" s="33">
        <f t="shared" si="9"/>
        <v>0.7032213169945448</v>
      </c>
      <c r="AF14" s="33">
        <f t="shared" si="10"/>
        <v>-999</v>
      </c>
      <c r="AG14" s="33">
        <f t="shared" si="11"/>
        <v>-999</v>
      </c>
      <c r="AH14" s="33">
        <f t="shared" si="12"/>
        <v>0.6037975118682646</v>
      </c>
      <c r="AI14" s="34">
        <f t="shared" si="13"/>
        <v>0.3949282111945267</v>
      </c>
      <c r="AJ14" s="4">
        <v>10.234019270112368</v>
      </c>
      <c r="AK14" s="32">
        <f t="shared" si="14"/>
        <v>-999</v>
      </c>
      <c r="AL14" s="34">
        <f t="shared" si="15"/>
        <v>0.6037975118682646</v>
      </c>
      <c r="AY14" s="103" t="s">
        <v>53</v>
      </c>
      <c r="AZ14" s="103" t="s">
        <v>499</v>
      </c>
      <c r="BA14" s="103" t="s">
        <v>556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272</v>
      </c>
      <c r="E15" s="38">
        <f>IF(LEFT(VLOOKUP($B15,'Indicator chart'!$D$1:$J$36,5,FALSE),1)=" "," ",VLOOKUP($B15,'Indicator chart'!$D$1:$J$36,5,FALSE))</f>
        <v>0.427673</v>
      </c>
      <c r="F15" s="38">
        <f>IF(LEFT(VLOOKUP($B15,'Indicator chart'!$D$1:$J$36,6,FALSE),1)=" "," ",VLOOKUP($B15,'Indicator chart'!$D$1:$J$36,6,FALSE))</f>
        <v>0.38976953562238026</v>
      </c>
      <c r="G15" s="38">
        <f>IF(LEFT(VLOOKUP($B15,'Indicator chart'!$D$1:$J$36,7,FALSE),1)=" "," ",VLOOKUP($B15,'Indicator chart'!$D$1:$J$36,7,FALSE))</f>
        <v>0.4664448774448539</v>
      </c>
      <c r="H15" s="50">
        <f t="shared" si="0"/>
        <v>1</v>
      </c>
      <c r="I15" s="38">
        <v>0.28809499740600586</v>
      </c>
      <c r="J15" s="38">
        <v>0.48438501358032227</v>
      </c>
      <c r="K15" s="38">
        <v>0.5609239935874939</v>
      </c>
      <c r="L15" s="38">
        <v>0.603379487991333</v>
      </c>
      <c r="M15" s="38">
        <v>0.6646999716758728</v>
      </c>
      <c r="N15" s="80">
        <f>VLOOKUP('Hide - Control'!B$3,'All practice data'!A:CA,A15+29,FALSE)</f>
        <v>0.5528099887443394</v>
      </c>
      <c r="O15" s="80">
        <f>VLOOKUP('Hide - Control'!C$3,'All practice data'!A:CA,A15+29,FALSE)</f>
        <v>0.5147293797466616</v>
      </c>
      <c r="P15" s="38">
        <f>VLOOKUP('Hide - Control'!$B$4,'All practice data'!B:BC,A15+2,FALSE)</f>
        <v>42238</v>
      </c>
      <c r="Q15" s="38">
        <f>VLOOKUP('Hide - Control'!$B$4,'All practice data'!B:BJ,60,FALSE)</f>
        <v>76406</v>
      </c>
      <c r="R15" s="38">
        <f t="shared" si="17"/>
        <v>0.5492818757562766</v>
      </c>
      <c r="S15" s="38">
        <f t="shared" si="18"/>
        <v>0.556332791556422</v>
      </c>
      <c r="T15" s="53">
        <f t="shared" si="16"/>
        <v>0.6646999716758728</v>
      </c>
      <c r="U15" s="51">
        <f t="shared" si="1"/>
        <v>0.28809499740600586</v>
      </c>
      <c r="V15" s="7"/>
      <c r="W15" s="27">
        <f t="shared" si="2"/>
        <v>0.28809499740600586</v>
      </c>
      <c r="X15" s="27">
        <f t="shared" si="3"/>
        <v>0.8337529897689819</v>
      </c>
      <c r="Y15" s="27">
        <f t="shared" si="4"/>
        <v>0.28809499740600586</v>
      </c>
      <c r="Z15" s="27">
        <f t="shared" si="5"/>
        <v>0.8337529897689819</v>
      </c>
      <c r="AA15" s="32">
        <f t="shared" si="6"/>
        <v>0</v>
      </c>
      <c r="AB15" s="33">
        <f t="shared" si="7"/>
        <v>0.3597308550806358</v>
      </c>
      <c r="AC15" s="33">
        <v>0.5</v>
      </c>
      <c r="AD15" s="33">
        <f t="shared" si="8"/>
        <v>0.5778060525054994</v>
      </c>
      <c r="AE15" s="33">
        <f t="shared" si="9"/>
        <v>0.690185023477758</v>
      </c>
      <c r="AF15" s="33">
        <f t="shared" si="10"/>
        <v>-999</v>
      </c>
      <c r="AG15" s="33">
        <f t="shared" si="11"/>
        <v>-999</v>
      </c>
      <c r="AH15" s="33">
        <f t="shared" si="12"/>
        <v>0.25579759583388595</v>
      </c>
      <c r="AI15" s="34">
        <f t="shared" si="13"/>
        <v>0.41534145107856624</v>
      </c>
      <c r="AJ15" s="4">
        <v>11.310014695494289</v>
      </c>
      <c r="AK15" s="32">
        <f t="shared" si="14"/>
        <v>0.25579759583388595</v>
      </c>
      <c r="AL15" s="34">
        <f t="shared" si="15"/>
        <v>-999</v>
      </c>
      <c r="AY15" s="103" t="s">
        <v>229</v>
      </c>
      <c r="AZ15" s="103" t="s">
        <v>230</v>
      </c>
      <c r="BA15" s="103" t="s">
        <v>376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223</v>
      </c>
      <c r="E16" s="38">
        <f>IF(LEFT(VLOOKUP($B16,'Indicator chart'!$D$1:$J$36,5,FALSE),1)=" "," ",VLOOKUP($B16,'Indicator chart'!$D$1:$J$36,5,FALSE))</f>
        <v>0.588391</v>
      </c>
      <c r="F16" s="38">
        <f>IF(LEFT(VLOOKUP($B16,'Indicator chart'!$D$1:$J$36,6,FALSE),1)=" "," ",VLOOKUP($B16,'Indicator chart'!$D$1:$J$36,6,FALSE))</f>
        <v>0.5381983992848652</v>
      </c>
      <c r="G16" s="38">
        <f>IF(LEFT(VLOOKUP($B16,'Indicator chart'!$D$1:$J$36,7,FALSE),1)=" "," ",VLOOKUP($B16,'Indicator chart'!$D$1:$J$36,7,FALSE))</f>
        <v>0.636808705481179</v>
      </c>
      <c r="H16" s="50">
        <f t="shared" si="0"/>
        <v>2</v>
      </c>
      <c r="I16" s="38">
        <v>0.3965519964694977</v>
      </c>
      <c r="J16" s="38">
        <v>0.5376185178756714</v>
      </c>
      <c r="K16" s="38">
        <v>0.5883910059928894</v>
      </c>
      <c r="L16" s="38">
        <v>0.6237369775772095</v>
      </c>
      <c r="M16" s="38">
        <v>0.7092390060424805</v>
      </c>
      <c r="N16" s="80">
        <f>VLOOKUP('Hide - Control'!B$3,'All practice data'!A:CA,A16+29,FALSE)</f>
        <v>0.5983198433112301</v>
      </c>
      <c r="O16" s="80">
        <f>VLOOKUP('Hide - Control'!C$3,'All practice data'!A:CA,A16+29,FALSE)</f>
        <v>0.5752927626212945</v>
      </c>
      <c r="P16" s="38">
        <f>VLOOKUP('Hide - Control'!$B$4,'All practice data'!B:BC,A16+2,FALSE)</f>
        <v>25355</v>
      </c>
      <c r="Q16" s="38">
        <f>VLOOKUP('Hide - Control'!$B$4,'All practice data'!B:BJ,61,FALSE)</f>
        <v>42377</v>
      </c>
      <c r="R16" s="38">
        <f t="shared" si="17"/>
        <v>0.5936434887382811</v>
      </c>
      <c r="S16" s="38">
        <f t="shared" si="18"/>
        <v>0.6029783735326182</v>
      </c>
      <c r="T16" s="53">
        <f aca="true" t="shared" si="19" ref="T16:T31">IF($C16=1,M16,I16)</f>
        <v>0.7092390060424805</v>
      </c>
      <c r="U16" s="51">
        <f aca="true" t="shared" si="20" ref="U16:U31">IF($C16=1,I16,M16)</f>
        <v>0.3965519964694977</v>
      </c>
      <c r="V16" s="7"/>
      <c r="W16" s="27">
        <f t="shared" si="2"/>
        <v>0.3965519964694977</v>
      </c>
      <c r="X16" s="27">
        <f t="shared" si="3"/>
        <v>0.7802300155162811</v>
      </c>
      <c r="Y16" s="27">
        <f t="shared" si="4"/>
        <v>0.3965519964694977</v>
      </c>
      <c r="Z16" s="27">
        <f t="shared" si="5"/>
        <v>0.7802300155162811</v>
      </c>
      <c r="AA16" s="32">
        <f t="shared" si="6"/>
        <v>0</v>
      </c>
      <c r="AB16" s="33">
        <f t="shared" si="7"/>
        <v>0.36766902038496213</v>
      </c>
      <c r="AC16" s="33">
        <v>0.5</v>
      </c>
      <c r="AD16" s="33">
        <f t="shared" si="8"/>
        <v>0.5921240462826988</v>
      </c>
      <c r="AE16" s="33">
        <f t="shared" si="9"/>
        <v>0.8149724353504222</v>
      </c>
      <c r="AF16" s="33">
        <f t="shared" si="10"/>
        <v>-999</v>
      </c>
      <c r="AG16" s="33">
        <f t="shared" si="11"/>
        <v>0.49999998438042026</v>
      </c>
      <c r="AH16" s="33">
        <f t="shared" si="12"/>
        <v>-999</v>
      </c>
      <c r="AI16" s="34">
        <f t="shared" si="13"/>
        <v>0.4658613662462696</v>
      </c>
      <c r="AJ16" s="4">
        <v>12.386010120876215</v>
      </c>
      <c r="AK16" s="32">
        <f t="shared" si="14"/>
        <v>-999</v>
      </c>
      <c r="AL16" s="34">
        <f t="shared" si="15"/>
        <v>-999</v>
      </c>
      <c r="AY16" s="103" t="s">
        <v>373</v>
      </c>
      <c r="AZ16" s="103" t="s">
        <v>395</v>
      </c>
      <c r="BA16" s="103" t="s">
        <v>556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76</v>
      </c>
      <c r="E17" s="38">
        <f>IF(LEFT(VLOOKUP($B17,'Indicator chart'!$D$1:$J$36,5,FALSE),1)=" "," ",VLOOKUP($B17,'Indicator chart'!$D$1:$J$36,5,FALSE))</f>
        <v>1975.051975051975</v>
      </c>
      <c r="F17" s="38">
        <f>IF(LEFT(VLOOKUP($B17,'Indicator chart'!$D$1:$J$36,6,FALSE),1)=" "," ",VLOOKUP($B17,'Indicator chart'!$D$1:$J$36,6,FALSE))</f>
        <v>1556.051649097324</v>
      </c>
      <c r="G17" s="38">
        <f>IF(LEFT(VLOOKUP($B17,'Indicator chart'!$D$1:$J$36,7,FALSE),1)=" "," ",VLOOKUP($B17,'Indicator chart'!$D$1:$J$36,7,FALSE))</f>
        <v>2472.1139081966776</v>
      </c>
      <c r="H17" s="50">
        <f t="shared" si="0"/>
        <v>2</v>
      </c>
      <c r="I17" s="38">
        <v>431.7111511230469</v>
      </c>
      <c r="J17" s="38">
        <v>1385.998291015625</v>
      </c>
      <c r="K17" s="38">
        <v>1790.341552734375</v>
      </c>
      <c r="L17" s="38">
        <v>2277.9609375</v>
      </c>
      <c r="M17" s="38">
        <v>4545.45458984375</v>
      </c>
      <c r="N17" s="80">
        <f>VLOOKUP('Hide - Control'!B$3,'All practice data'!A:CA,A17+29,FALSE)</f>
        <v>1964.3248597432753</v>
      </c>
      <c r="O17" s="80">
        <f>VLOOKUP('Hide - Control'!C$3,'All practice data'!A:CA,A17+29,FALSE)</f>
        <v>1812.1669120472948</v>
      </c>
      <c r="P17" s="38">
        <f>VLOOKUP('Hide - Control'!$B$4,'All practice data'!B:BC,A17+2,FALSE)</f>
        <v>12097</v>
      </c>
      <c r="Q17" s="38">
        <f>VLOOKUP('Hide - Control'!$B$4,'All practice data'!B:BC,3,FALSE)</f>
        <v>615835</v>
      </c>
      <c r="R17" s="38">
        <f>100000*(P17*(1-1/(9*P17)-1.96/(3*SQRT(P17)))^3)/Q17</f>
        <v>1929.4738598466474</v>
      </c>
      <c r="S17" s="38">
        <f>100000*((P17+1)*(1-1/(9*(P17+1))+1.96/(3*SQRT(P17+1)))^3)/Q17</f>
        <v>1999.647299663756</v>
      </c>
      <c r="T17" s="53">
        <f t="shared" si="19"/>
        <v>4545.45458984375</v>
      </c>
      <c r="U17" s="51">
        <f t="shared" si="20"/>
        <v>431.7111511230469</v>
      </c>
      <c r="V17" s="7"/>
      <c r="W17" s="27">
        <f t="shared" si="2"/>
        <v>-964.771484375</v>
      </c>
      <c r="X17" s="27">
        <f t="shared" si="3"/>
        <v>4545.45458984375</v>
      </c>
      <c r="Y17" s="27">
        <f t="shared" si="4"/>
        <v>-964.771484375</v>
      </c>
      <c r="Z17" s="27">
        <f t="shared" si="5"/>
        <v>4545.45458984375</v>
      </c>
      <c r="AA17" s="32">
        <f t="shared" si="6"/>
        <v>0.25343472603273226</v>
      </c>
      <c r="AB17" s="33">
        <f t="shared" si="7"/>
        <v>0.4266194787160201</v>
      </c>
      <c r="AC17" s="33">
        <v>0.5</v>
      </c>
      <c r="AD17" s="33">
        <f t="shared" si="8"/>
        <v>0.588493535146788</v>
      </c>
      <c r="AE17" s="33">
        <f t="shared" si="9"/>
        <v>1</v>
      </c>
      <c r="AF17" s="33">
        <f t="shared" si="10"/>
        <v>-999</v>
      </c>
      <c r="AG17" s="33">
        <f t="shared" si="11"/>
        <v>0.5335213872951281</v>
      </c>
      <c r="AH17" s="33">
        <f t="shared" si="12"/>
        <v>-999</v>
      </c>
      <c r="AI17" s="34">
        <f t="shared" si="13"/>
        <v>0.5039608827331126</v>
      </c>
      <c r="AJ17" s="4">
        <v>13.462005546258133</v>
      </c>
      <c r="AK17" s="32">
        <f t="shared" si="14"/>
        <v>-999</v>
      </c>
      <c r="AL17" s="34">
        <f t="shared" si="15"/>
        <v>-999</v>
      </c>
      <c r="AY17" s="103" t="s">
        <v>103</v>
      </c>
      <c r="AZ17" s="103" t="s">
        <v>104</v>
      </c>
      <c r="BA17" s="103" t="s">
        <v>376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76</v>
      </c>
      <c r="E18" s="80">
        <f>IF(LEFT(VLOOKUP($B18,'Indicator chart'!$D$1:$J$36,5,FALSE),1)=" "," ",VLOOKUP($B18,'Indicator chart'!$D$1:$J$36,5,FALSE))</f>
        <v>0.942907486</v>
      </c>
      <c r="F18" s="81">
        <f>IF(LEFT(VLOOKUP($B18,'Indicator chart'!$D$1:$J$36,6,FALSE),1)=" "," ",VLOOKUP($B18,'Indicator chart'!$D$1:$J$36,6,FALSE))</f>
        <v>0.7429039001</v>
      </c>
      <c r="G18" s="38">
        <f>IF(LEFT(VLOOKUP($B18,'Indicator chart'!$D$1:$J$36,7,FALSE),1)=" "," ",VLOOKUP($B18,'Indicator chart'!$D$1:$J$36,7,FALSE))</f>
        <v>1.180189362</v>
      </c>
      <c r="H18" s="50">
        <f>IF(LEFT(F18,1)=" ",4,IF(AND(ABS(N18-E18)&gt;SQRT((E18-G18)^2+(N18-R18)^2),E18&lt;N18),1,IF(AND(ABS(N18-E18)&gt;SQRT((E18-F18)^2+(N18-S18)^2),E18&gt;N18),3,2)))</f>
        <v>2</v>
      </c>
      <c r="I18" s="38">
        <v>0.22083641588687897</v>
      </c>
      <c r="J18" s="38"/>
      <c r="K18" s="38">
        <v>1</v>
      </c>
      <c r="L18" s="38"/>
      <c r="M18" s="38">
        <v>2.3146941661834717</v>
      </c>
      <c r="N18" s="80">
        <v>1</v>
      </c>
      <c r="O18" s="80">
        <f>VLOOKUP('Hide - Control'!C$3,'All practice data'!A:CA,A18+29,FALSE)</f>
        <v>1</v>
      </c>
      <c r="P18" s="38">
        <f>VLOOKUP('Hide - Control'!$B$4,'All practice data'!B:BC,A18+2,FALSE)</f>
        <v>12097</v>
      </c>
      <c r="Q18" s="38">
        <f>VLOOKUP('Hide - Control'!$B$4,'All practice data'!B:BC,14,FALSE)</f>
        <v>12097</v>
      </c>
      <c r="R18" s="81">
        <v>1</v>
      </c>
      <c r="S18" s="38">
        <v>1</v>
      </c>
      <c r="T18" s="53">
        <f t="shared" si="19"/>
        <v>2.3146941661834717</v>
      </c>
      <c r="U18" s="51">
        <f t="shared" si="20"/>
        <v>0.22083641588687897</v>
      </c>
      <c r="V18" s="7"/>
      <c r="W18" s="27">
        <f>IF((K18-I18)&gt;(M18-K18),I18,(K18-(M18-K18)))</f>
        <v>-0.3146941661834717</v>
      </c>
      <c r="X18" s="27">
        <f t="shared" si="3"/>
        <v>2.3146941661834717</v>
      </c>
      <c r="Y18" s="27">
        <f t="shared" si="4"/>
        <v>-0.3146941661834717</v>
      </c>
      <c r="Z18" s="27">
        <f t="shared" si="5"/>
        <v>2.3146941661834717</v>
      </c>
      <c r="AA18" s="32" t="s">
        <v>376</v>
      </c>
      <c r="AB18" s="33" t="s">
        <v>376</v>
      </c>
      <c r="AC18" s="33">
        <v>0.5</v>
      </c>
      <c r="AD18" s="33" t="s">
        <v>376</v>
      </c>
      <c r="AE18" s="33" t="s">
        <v>376</v>
      </c>
      <c r="AF18" s="33">
        <f t="shared" si="10"/>
        <v>-999</v>
      </c>
      <c r="AG18" s="33">
        <f t="shared" si="11"/>
        <v>0.47828676985547963</v>
      </c>
      <c r="AH18" s="33">
        <f t="shared" si="12"/>
        <v>-999</v>
      </c>
      <c r="AI18" s="34">
        <v>0.5</v>
      </c>
      <c r="AJ18" s="4">
        <v>14.538000971640056</v>
      </c>
      <c r="AK18" s="32">
        <f t="shared" si="14"/>
        <v>-999</v>
      </c>
      <c r="AL18" s="34">
        <f t="shared" si="15"/>
        <v>-999</v>
      </c>
      <c r="AY18" s="103" t="s">
        <v>105</v>
      </c>
      <c r="AZ18" s="103" t="s">
        <v>106</v>
      </c>
      <c r="BA18" s="103" t="s">
        <v>376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0.15789473684210525</v>
      </c>
      <c r="F19" s="38">
        <f>IF(LEFT(VLOOKUP($B19,'Indicator chart'!$D$1:$J$36,6,FALSE),1)=" "," ",VLOOKUP($B19,'Indicator chart'!$D$1:$J$36,6,FALSE))</f>
        <v>0.09269405994267453</v>
      </c>
      <c r="G19" s="38">
        <f>IF(LEFT(VLOOKUP($B19,'Indicator chart'!$D$1:$J$36,7,FALSE),1)=" "," ",VLOOKUP($B19,'Indicator chart'!$D$1:$J$36,7,FALSE))</f>
        <v>0.25601638674176064</v>
      </c>
      <c r="H19" s="50">
        <f t="shared" si="0"/>
        <v>2</v>
      </c>
      <c r="I19" s="38">
        <v>0.02070442959666252</v>
      </c>
      <c r="J19" s="38">
        <v>0.09695852547883987</v>
      </c>
      <c r="K19" s="38">
        <v>0.11764705926179886</v>
      </c>
      <c r="L19" s="38">
        <v>0.1533936709165573</v>
      </c>
      <c r="M19" s="38">
        <v>0.31578946113586426</v>
      </c>
      <c r="N19" s="80">
        <f>VLOOKUP('Hide - Control'!B$3,'All practice data'!A:CA,A19+29,FALSE)</f>
        <v>0.11473919153509135</v>
      </c>
      <c r="O19" s="80">
        <f>VLOOKUP('Hide - Control'!C$3,'All practice data'!A:CA,A19+29,FALSE)</f>
        <v>0.10919341638628717</v>
      </c>
      <c r="P19" s="38">
        <f>VLOOKUP('Hide - Control'!$B$4,'All practice data'!B:BC,A19+2,FALSE)</f>
        <v>1388</v>
      </c>
      <c r="Q19" s="38">
        <f>VLOOKUP('Hide - Control'!$B$4,'All practice data'!B:BC,15,FALSE)</f>
        <v>12097</v>
      </c>
      <c r="R19" s="38">
        <f>+((2*P19+1.96^2-1.96*SQRT(1.96^2+4*P19*(1-P19/Q19)))/(2*(Q19+1.96^2)))</f>
        <v>0.10918160096034231</v>
      </c>
      <c r="S19" s="38">
        <f>+((2*P19+1.96^2+1.96*SQRT(1.96^2+4*P19*(1-P19/Q19)))/(2*(Q19+1.96^2)))</f>
        <v>0.12054139615747801</v>
      </c>
      <c r="T19" s="53">
        <f t="shared" si="19"/>
        <v>0.31578946113586426</v>
      </c>
      <c r="U19" s="51">
        <f t="shared" si="20"/>
        <v>0.02070442959666252</v>
      </c>
      <c r="V19" s="7"/>
      <c r="W19" s="27">
        <f t="shared" si="2"/>
        <v>-0.08049534261226654</v>
      </c>
      <c r="X19" s="27">
        <f t="shared" si="3"/>
        <v>0.31578946113586426</v>
      </c>
      <c r="Y19" s="27">
        <f t="shared" si="4"/>
        <v>-0.08049534261226654</v>
      </c>
      <c r="Z19" s="27">
        <f t="shared" si="5"/>
        <v>0.31578946113586426</v>
      </c>
      <c r="AA19" s="32">
        <f t="shared" si="6"/>
        <v>0.25537131692097187</v>
      </c>
      <c r="AB19" s="33">
        <f t="shared" si="7"/>
        <v>0.44779377461037306</v>
      </c>
      <c r="AC19" s="33">
        <v>0.5</v>
      </c>
      <c r="AD19" s="33">
        <f t="shared" si="8"/>
        <v>0.5902043462597121</v>
      </c>
      <c r="AE19" s="33">
        <f t="shared" si="9"/>
        <v>1</v>
      </c>
      <c r="AF19" s="33">
        <f t="shared" si="10"/>
        <v>-999</v>
      </c>
      <c r="AG19" s="33">
        <f t="shared" si="11"/>
        <v>0.6015625055506465</v>
      </c>
      <c r="AH19" s="33">
        <f t="shared" si="12"/>
        <v>-999</v>
      </c>
      <c r="AI19" s="34">
        <f t="shared" si="13"/>
        <v>0.4786677591581719</v>
      </c>
      <c r="AJ19" s="4">
        <v>15.61399639702198</v>
      </c>
      <c r="AK19" s="32">
        <f t="shared" si="14"/>
        <v>-999</v>
      </c>
      <c r="AL19" s="34">
        <f t="shared" si="15"/>
        <v>-999</v>
      </c>
      <c r="AY19" s="103" t="s">
        <v>270</v>
      </c>
      <c r="AZ19" s="103" t="s">
        <v>495</v>
      </c>
      <c r="BA19" s="103" t="s">
        <v>376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0.5714285714285714</v>
      </c>
      <c r="F20" s="38">
        <f>IF(LEFT(VLOOKUP($B20,'Indicator chart'!$D$1:$J$36,6,FALSE),1)=" "," ",VLOOKUP($B20,'Indicator chart'!$D$1:$J$36,6,FALSE))</f>
        <v>0.3654621629703245</v>
      </c>
      <c r="G20" s="38">
        <f>IF(LEFT(VLOOKUP($B20,'Indicator chart'!$D$1:$J$36,7,FALSE),1)=" "," ",VLOOKUP($B20,'Indicator chart'!$D$1:$J$36,7,FALSE))</f>
        <v>0.7553030051347894</v>
      </c>
      <c r="H20" s="50">
        <f t="shared" si="0"/>
        <v>2</v>
      </c>
      <c r="I20" s="38">
        <v>0.09238772839307785</v>
      </c>
      <c r="J20" s="38">
        <v>0.4189971089363098</v>
      </c>
      <c r="K20" s="38">
        <v>0.4901960790157318</v>
      </c>
      <c r="L20" s="38">
        <v>0.5732142925262451</v>
      </c>
      <c r="M20" s="38">
        <v>0.8888888955116272</v>
      </c>
      <c r="N20" s="80">
        <f>VLOOKUP('Hide - Control'!B$3,'All practice data'!A:CA,A20+29,FALSE)</f>
        <v>0.49359886201991465</v>
      </c>
      <c r="O20" s="80">
        <f>VLOOKUP('Hide - Control'!C$3,'All practice data'!A:CA,A20+29,FALSE)</f>
        <v>0.4534552930810221</v>
      </c>
      <c r="P20" s="38">
        <f>VLOOKUP('Hide - Control'!$B$4,'All practice data'!B:BC,A20+1,FALSE)</f>
        <v>1388</v>
      </c>
      <c r="Q20" s="38">
        <f>VLOOKUP('Hide - Control'!$B$4,'All practice data'!B:BC,A20+2,FALSE)</f>
        <v>2812</v>
      </c>
      <c r="R20" s="38">
        <f>+((2*P20+1.96^2-1.96*SQRT(1.96^2+4*P20*(1-P20/Q20)))/(2*(Q20+1.96^2)))</f>
        <v>0.47514101713599294</v>
      </c>
      <c r="S20" s="38">
        <f>+((2*P20+1.96^2+1.96*SQRT(1.96^2+4*P20*(1-P20/Q20)))/(2*(Q20+1.96^2)))</f>
        <v>0.5120741728093505</v>
      </c>
      <c r="T20" s="53">
        <f t="shared" si="19"/>
        <v>0.8888888955116272</v>
      </c>
      <c r="U20" s="51">
        <f t="shared" si="20"/>
        <v>0.09238772839307785</v>
      </c>
      <c r="V20" s="7"/>
      <c r="W20" s="27">
        <f t="shared" si="2"/>
        <v>0.09150326251983643</v>
      </c>
      <c r="X20" s="27">
        <f t="shared" si="3"/>
        <v>0.8888888955116272</v>
      </c>
      <c r="Y20" s="27">
        <f t="shared" si="4"/>
        <v>0.09150326251983643</v>
      </c>
      <c r="Z20" s="27">
        <f t="shared" si="5"/>
        <v>0.8888888955116272</v>
      </c>
      <c r="AA20" s="32">
        <f t="shared" si="6"/>
        <v>0.0011092071848885824</v>
      </c>
      <c r="AB20" s="33">
        <f t="shared" si="7"/>
        <v>0.41070948969536425</v>
      </c>
      <c r="AC20" s="33">
        <v>0.5</v>
      </c>
      <c r="AD20" s="33">
        <f t="shared" si="8"/>
        <v>0.6041130038912652</v>
      </c>
      <c r="AE20" s="33">
        <f t="shared" si="9"/>
        <v>1</v>
      </c>
      <c r="AF20" s="33">
        <f t="shared" si="10"/>
        <v>-999</v>
      </c>
      <c r="AG20" s="33">
        <f t="shared" si="11"/>
        <v>0.601873534024002</v>
      </c>
      <c r="AH20" s="33">
        <f t="shared" si="12"/>
        <v>-999</v>
      </c>
      <c r="AI20" s="34">
        <f t="shared" si="13"/>
        <v>0.45392344128792705</v>
      </c>
      <c r="AJ20" s="4">
        <v>16.689991822403904</v>
      </c>
      <c r="AK20" s="32">
        <f t="shared" si="14"/>
        <v>-999</v>
      </c>
      <c r="AL20" s="34">
        <f t="shared" si="15"/>
        <v>-999</v>
      </c>
      <c r="AY20" s="103" t="s">
        <v>211</v>
      </c>
      <c r="AZ20" s="103" t="s">
        <v>476</v>
      </c>
      <c r="BA20" s="103" t="s">
        <v>376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207.9002079002079</v>
      </c>
      <c r="F21" s="38">
        <f>IF(LEFT(VLOOKUP($B21,'Indicator chart'!$D$1:$J$36,6,FALSE),1)=" "," ",VLOOKUP($B21,'Indicator chart'!$D$1:$J$36,6,FALSE))</f>
        <v>89.51747826558508</v>
      </c>
      <c r="G21" s="38">
        <f>IF(LEFT(VLOOKUP($B21,'Indicator chart'!$D$1:$J$36,7,FALSE),1)=" "," ",VLOOKUP($B21,'Indicator chart'!$D$1:$J$36,7,FALSE))</f>
        <v>409.6714524943149</v>
      </c>
      <c r="H21" s="50">
        <f t="shared" si="0"/>
        <v>2</v>
      </c>
      <c r="I21" s="38">
        <v>61.46357345581055</v>
      </c>
      <c r="J21" s="38">
        <v>270.3265380859375</v>
      </c>
      <c r="K21" s="38">
        <v>396.1432189941406</v>
      </c>
      <c r="L21" s="38">
        <v>497.0547790527344</v>
      </c>
      <c r="M21" s="38">
        <v>895.7976684570312</v>
      </c>
      <c r="N21" s="80">
        <f>VLOOKUP('Hide - Control'!B$3,'All practice data'!A:CA,A21+29,FALSE)</f>
        <v>407.08956132730356</v>
      </c>
      <c r="O21" s="80">
        <f>VLOOKUP('Hide - Control'!C$3,'All practice data'!A:CA,A21+29,FALSE)</f>
        <v>377.7293140102421</v>
      </c>
      <c r="P21" s="38">
        <f>VLOOKUP('Hide - Control'!$B$4,'All practice data'!B:BC,A21+2,FALSE)</f>
        <v>2507</v>
      </c>
      <c r="Q21" s="38">
        <f>VLOOKUP('Hide - Control'!$B$4,'All practice data'!B:BC,3,FALSE)</f>
        <v>615835</v>
      </c>
      <c r="R21" s="38">
        <f aca="true" t="shared" si="21" ref="R21:R27">100000*(P21*(1-1/(9*P21)-1.96/(3*SQRT(P21)))^3)/Q21</f>
        <v>391.3082535146002</v>
      </c>
      <c r="S21" s="38">
        <f aca="true" t="shared" si="22" ref="S21:S27">100000*((P21+1)*(1-1/(9*(P21+1))+1.96/(3*SQRT(P21+1)))^3)/Q21</f>
        <v>423.34402953942066</v>
      </c>
      <c r="T21" s="53">
        <f t="shared" si="19"/>
        <v>895.7976684570312</v>
      </c>
      <c r="U21" s="51">
        <f t="shared" si="20"/>
        <v>61.46357345581055</v>
      </c>
      <c r="V21" s="7"/>
      <c r="W21" s="27">
        <f t="shared" si="2"/>
        <v>-103.51123046875</v>
      </c>
      <c r="X21" s="27">
        <f t="shared" si="3"/>
        <v>895.7976684570312</v>
      </c>
      <c r="Y21" s="27">
        <f t="shared" si="4"/>
        <v>-103.51123046875</v>
      </c>
      <c r="Z21" s="27">
        <f t="shared" si="5"/>
        <v>895.7976684570312</v>
      </c>
      <c r="AA21" s="32">
        <f t="shared" si="6"/>
        <v>0.16508889703864554</v>
      </c>
      <c r="AB21" s="33">
        <f t="shared" si="7"/>
        <v>0.3740963069142572</v>
      </c>
      <c r="AC21" s="33">
        <v>0.5</v>
      </c>
      <c r="AD21" s="33">
        <f t="shared" si="8"/>
        <v>0.6009813483769331</v>
      </c>
      <c r="AE21" s="33">
        <f t="shared" si="9"/>
        <v>1</v>
      </c>
      <c r="AF21" s="33">
        <f t="shared" si="10"/>
        <v>-999</v>
      </c>
      <c r="AG21" s="33">
        <f t="shared" si="11"/>
        <v>0.3116268039879493</v>
      </c>
      <c r="AH21" s="33">
        <f t="shared" si="12"/>
        <v>-999</v>
      </c>
      <c r="AI21" s="34">
        <f t="shared" si="13"/>
        <v>0.4815733603456421</v>
      </c>
      <c r="AJ21" s="4">
        <v>17.765987247785823</v>
      </c>
      <c r="AK21" s="32">
        <f t="shared" si="14"/>
        <v>-999</v>
      </c>
      <c r="AL21" s="34">
        <f t="shared" si="15"/>
        <v>-999</v>
      </c>
      <c r="AY21" s="103" t="s">
        <v>123</v>
      </c>
      <c r="AZ21" s="103" t="s">
        <v>450</v>
      </c>
      <c r="BA21" s="103" t="s">
        <v>376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389.8128898128898</v>
      </c>
      <c r="F22" s="38">
        <f>IF(LEFT(VLOOKUP($B22,'Indicator chart'!$D$1:$J$36,6,FALSE),1)=" "," ",VLOOKUP($B22,'Indicator chart'!$D$1:$J$36,6,FALSE))</f>
        <v>218.0137558919291</v>
      </c>
      <c r="G22" s="38">
        <f>IF(LEFT(VLOOKUP($B22,'Indicator chart'!$D$1:$J$36,7,FALSE),1)=" "," ",VLOOKUP($B22,'Indicator chart'!$D$1:$J$36,7,FALSE))</f>
        <v>642.9787938490487</v>
      </c>
      <c r="H22" s="50">
        <f t="shared" si="0"/>
        <v>2</v>
      </c>
      <c r="I22" s="38">
        <v>18.07059669494629</v>
      </c>
      <c r="J22" s="38">
        <v>135.76405334472656</v>
      </c>
      <c r="K22" s="38">
        <v>245.5313262939453</v>
      </c>
      <c r="L22" s="38">
        <v>340.16790771484375</v>
      </c>
      <c r="M22" s="38">
        <v>735.7545166015625</v>
      </c>
      <c r="N22" s="80">
        <f>VLOOKUP('Hide - Control'!B$3,'All practice data'!A:CA,A22+29,FALSE)</f>
        <v>274.91129929283005</v>
      </c>
      <c r="O22" s="80">
        <f>VLOOKUP('Hide - Control'!C$3,'All practice data'!A:CA,A22+29,FALSE)</f>
        <v>282.45290788403287</v>
      </c>
      <c r="P22" s="38">
        <f>VLOOKUP('Hide - Control'!$B$4,'All practice data'!B:BC,A22+2,FALSE)</f>
        <v>1693</v>
      </c>
      <c r="Q22" s="38">
        <f>VLOOKUP('Hide - Control'!$B$4,'All practice data'!B:BC,3,FALSE)</f>
        <v>615835</v>
      </c>
      <c r="R22" s="38">
        <f t="shared" si="21"/>
        <v>261.97027227755814</v>
      </c>
      <c r="S22" s="38">
        <f t="shared" si="22"/>
        <v>288.3261692843252</v>
      </c>
      <c r="T22" s="53">
        <f t="shared" si="19"/>
        <v>735.7545166015625</v>
      </c>
      <c r="U22" s="51">
        <f t="shared" si="20"/>
        <v>18.07059669494629</v>
      </c>
      <c r="V22" s="7"/>
      <c r="W22" s="27">
        <f t="shared" si="2"/>
        <v>-244.69186401367188</v>
      </c>
      <c r="X22" s="27">
        <f t="shared" si="3"/>
        <v>735.7545166015625</v>
      </c>
      <c r="Y22" s="27">
        <f t="shared" si="4"/>
        <v>-244.69186401367188</v>
      </c>
      <c r="Z22" s="27">
        <f t="shared" si="5"/>
        <v>735.7545166015625</v>
      </c>
      <c r="AA22" s="32">
        <f t="shared" si="6"/>
        <v>0.2680028871581265</v>
      </c>
      <c r="AB22" s="33">
        <f t="shared" si="7"/>
        <v>0.38804357370329695</v>
      </c>
      <c r="AC22" s="33">
        <v>0.5</v>
      </c>
      <c r="AD22" s="33">
        <f t="shared" si="8"/>
        <v>0.5965239744793729</v>
      </c>
      <c r="AE22" s="33">
        <f t="shared" si="9"/>
        <v>1</v>
      </c>
      <c r="AF22" s="33">
        <f t="shared" si="10"/>
        <v>-999</v>
      </c>
      <c r="AG22" s="33">
        <f t="shared" si="11"/>
        <v>0.6471590556827872</v>
      </c>
      <c r="AH22" s="33">
        <f t="shared" si="12"/>
        <v>-999</v>
      </c>
      <c r="AI22" s="34">
        <f t="shared" si="13"/>
        <v>0.5376579304285044</v>
      </c>
      <c r="AJ22" s="4">
        <v>18.841982673167745</v>
      </c>
      <c r="AK22" s="32">
        <f t="shared" si="14"/>
        <v>-999</v>
      </c>
      <c r="AL22" s="34">
        <f t="shared" si="15"/>
        <v>-999</v>
      </c>
      <c r="AY22" s="103" t="s">
        <v>149</v>
      </c>
      <c r="AZ22" s="103" t="s">
        <v>460</v>
      </c>
      <c r="BA22" s="103" t="s">
        <v>376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54.578338623046875</v>
      </c>
      <c r="K23" s="38">
        <v>78.21054077148438</v>
      </c>
      <c r="L23" s="38">
        <v>110.24109649658203</v>
      </c>
      <c r="M23" s="38">
        <v>224.28709411621094</v>
      </c>
      <c r="N23" s="80">
        <f>VLOOKUP('Hide - Control'!B$3,'All practice data'!A:CA,A23+29,FALSE)</f>
        <v>86.06201336396924</v>
      </c>
      <c r="O23" s="80">
        <f>VLOOKUP('Hide - Control'!C$3,'All practice data'!A:CA,A23+29,FALSE)</f>
        <v>70.46674929228394</v>
      </c>
      <c r="P23" s="38">
        <f>VLOOKUP('Hide - Control'!$B$4,'All practice data'!B:BC,A23+2,FALSE)</f>
        <v>530</v>
      </c>
      <c r="Q23" s="38">
        <f>VLOOKUP('Hide - Control'!$B$4,'All practice data'!B:BC,3,FALSE)</f>
        <v>615835</v>
      </c>
      <c r="R23" s="38">
        <f t="shared" si="21"/>
        <v>78.88983522711784</v>
      </c>
      <c r="S23" s="38">
        <f t="shared" si="22"/>
        <v>93.71103319390528</v>
      </c>
      <c r="T23" s="53">
        <f t="shared" si="19"/>
        <v>224.28709411621094</v>
      </c>
      <c r="U23" s="51">
        <f t="shared" si="20"/>
        <v>3.248678207397461</v>
      </c>
      <c r="V23" s="7"/>
      <c r="W23" s="27">
        <f t="shared" si="2"/>
        <v>-67.86601257324219</v>
      </c>
      <c r="X23" s="27">
        <f t="shared" si="3"/>
        <v>224.28709411621094</v>
      </c>
      <c r="Y23" s="27">
        <f t="shared" si="4"/>
        <v>-67.86601257324219</v>
      </c>
      <c r="Z23" s="27">
        <f t="shared" si="5"/>
        <v>224.28709411621094</v>
      </c>
      <c r="AA23" s="32">
        <f t="shared" si="6"/>
        <v>0.24341582941382744</v>
      </c>
      <c r="AB23" s="33">
        <f t="shared" si="7"/>
        <v>0.4191102144480785</v>
      </c>
      <c r="AC23" s="33">
        <v>0.5</v>
      </c>
      <c r="AD23" s="33">
        <f t="shared" si="8"/>
        <v>0.6096361975679582</v>
      </c>
      <c r="AE23" s="33">
        <f t="shared" si="9"/>
        <v>1</v>
      </c>
      <c r="AF23" s="33">
        <f t="shared" si="10"/>
        <v>-999</v>
      </c>
      <c r="AG23" s="33">
        <f t="shared" si="11"/>
        <v>-999</v>
      </c>
      <c r="AH23" s="33">
        <f t="shared" si="12"/>
        <v>-999</v>
      </c>
      <c r="AI23" s="34">
        <f t="shared" si="13"/>
        <v>0.4734940642358742</v>
      </c>
      <c r="AJ23" s="4">
        <v>19.917978098549675</v>
      </c>
      <c r="AK23" s="32">
        <f t="shared" si="14"/>
        <v>-999</v>
      </c>
      <c r="AL23" s="34">
        <f t="shared" si="15"/>
        <v>-999</v>
      </c>
      <c r="AY23" s="103" t="s">
        <v>264</v>
      </c>
      <c r="AZ23" s="103" t="s">
        <v>265</v>
      </c>
      <c r="BA23" s="103" t="s">
        <v>376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337.8378378378378</v>
      </c>
      <c r="F24" s="38">
        <f>IF(LEFT(VLOOKUP($B24,'Indicator chart'!$D$1:$J$36,6,FALSE),1)=" "," ",VLOOKUP($B24,'Indicator chart'!$D$1:$J$36,6,FALSE))</f>
        <v>179.7077882865002</v>
      </c>
      <c r="G24" s="38">
        <f>IF(LEFT(VLOOKUP($B24,'Indicator chart'!$D$1:$J$36,7,FALSE),1)=" "," ",VLOOKUP($B24,'Indicator chart'!$D$1:$J$36,7,FALSE))</f>
        <v>577.7523500845213</v>
      </c>
      <c r="H24" s="50">
        <f t="shared" si="0"/>
        <v>2</v>
      </c>
      <c r="I24" s="38">
        <v>27.3076171875</v>
      </c>
      <c r="J24" s="38">
        <v>156.5623779296875</v>
      </c>
      <c r="K24" s="38">
        <v>272.47955322265625</v>
      </c>
      <c r="L24" s="38">
        <v>410.679443359375</v>
      </c>
      <c r="M24" s="38">
        <v>919.2066040039062</v>
      </c>
      <c r="N24" s="80">
        <f>VLOOKUP('Hide - Control'!B$3,'All practice data'!A:CA,A24+29,FALSE)</f>
        <v>326.06136383934006</v>
      </c>
      <c r="O24" s="80">
        <f>VLOOKUP('Hide - Control'!C$3,'All practice data'!A:CA,A24+29,FALSE)</f>
        <v>323.23046266988894</v>
      </c>
      <c r="P24" s="38">
        <f>VLOOKUP('Hide - Control'!$B$4,'All practice data'!B:BC,A24+2,FALSE)</f>
        <v>2008</v>
      </c>
      <c r="Q24" s="38">
        <f>VLOOKUP('Hide - Control'!$B$4,'All practice data'!B:BC,3,FALSE)</f>
        <v>615835</v>
      </c>
      <c r="R24" s="38">
        <f t="shared" si="21"/>
        <v>311.9539562382782</v>
      </c>
      <c r="S24" s="38">
        <f t="shared" si="22"/>
        <v>340.642301382438</v>
      </c>
      <c r="T24" s="53">
        <f t="shared" si="19"/>
        <v>919.2066040039062</v>
      </c>
      <c r="U24" s="51">
        <f t="shared" si="20"/>
        <v>27.3076171875</v>
      </c>
      <c r="V24" s="7"/>
      <c r="W24" s="27">
        <f t="shared" si="2"/>
        <v>-374.24749755859375</v>
      </c>
      <c r="X24" s="27">
        <f t="shared" si="3"/>
        <v>919.2066040039062</v>
      </c>
      <c r="Y24" s="27">
        <f t="shared" si="4"/>
        <v>-374.24749755859375</v>
      </c>
      <c r="Z24" s="27">
        <f t="shared" si="5"/>
        <v>919.2066040039062</v>
      </c>
      <c r="AA24" s="32">
        <f t="shared" si="6"/>
        <v>0.3104517696151822</v>
      </c>
      <c r="AB24" s="33">
        <f t="shared" si="7"/>
        <v>0.41038168640623574</v>
      </c>
      <c r="AC24" s="33">
        <v>0.5</v>
      </c>
      <c r="AD24" s="33">
        <f t="shared" si="8"/>
        <v>0.606845608181823</v>
      </c>
      <c r="AE24" s="33">
        <f t="shared" si="9"/>
        <v>1</v>
      </c>
      <c r="AF24" s="33">
        <f t="shared" si="10"/>
        <v>-999</v>
      </c>
      <c r="AG24" s="33">
        <f t="shared" si="11"/>
        <v>0.5505300377773191</v>
      </c>
      <c r="AH24" s="33">
        <f t="shared" si="12"/>
        <v>-999</v>
      </c>
      <c r="AI24" s="34">
        <f t="shared" si="13"/>
        <v>0.5392367300748634</v>
      </c>
      <c r="AJ24" s="4">
        <v>20.99397352393159</v>
      </c>
      <c r="AK24" s="32">
        <f t="shared" si="14"/>
        <v>-999</v>
      </c>
      <c r="AL24" s="34">
        <f t="shared" si="15"/>
        <v>-999</v>
      </c>
      <c r="AY24" s="103" t="s">
        <v>65</v>
      </c>
      <c r="AZ24" s="103" t="s">
        <v>66</v>
      </c>
      <c r="BA24" s="103" t="s">
        <v>556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20</v>
      </c>
      <c r="E25" s="38">
        <f>IF(LEFT(VLOOKUP($B25,'Indicator chart'!$D$1:$J$36,5,FALSE),1)=" "," ",VLOOKUP($B25,'Indicator chart'!$D$1:$J$36,5,FALSE))</f>
        <v>519.7505197505197</v>
      </c>
      <c r="F25" s="38">
        <f>IF(LEFT(VLOOKUP($B25,'Indicator chart'!$D$1:$J$36,6,FALSE),1)=" "," ",VLOOKUP($B25,'Indicator chart'!$D$1:$J$36,6,FALSE))</f>
        <v>317.3418117041462</v>
      </c>
      <c r="G25" s="38">
        <f>IF(LEFT(VLOOKUP($B25,'Indicator chart'!$D$1:$J$36,7,FALSE),1)=" "," ",VLOOKUP($B25,'Indicator chart'!$D$1:$J$36,7,FALSE))</f>
        <v>802.757116327258</v>
      </c>
      <c r="H25" s="50">
        <f t="shared" si="0"/>
        <v>2</v>
      </c>
      <c r="I25" s="38">
        <v>185.5142822265625</v>
      </c>
      <c r="J25" s="38">
        <v>517.7401123046875</v>
      </c>
      <c r="K25" s="38">
        <v>612.5675048828125</v>
      </c>
      <c r="L25" s="38">
        <v>791.8200073242188</v>
      </c>
      <c r="M25" s="38">
        <v>1242.0274658203125</v>
      </c>
      <c r="N25" s="80">
        <f>VLOOKUP('Hide - Control'!B$3,'All practice data'!A:CA,A25+29,FALSE)</f>
        <v>651.4732030495181</v>
      </c>
      <c r="O25" s="80">
        <f>VLOOKUP('Hide - Control'!C$3,'All practice data'!A:CA,A25+29,FALSE)</f>
        <v>562.6134400960308</v>
      </c>
      <c r="P25" s="38">
        <f>VLOOKUP('Hide - Control'!$B$4,'All practice data'!B:BC,A25+2,FALSE)</f>
        <v>4012</v>
      </c>
      <c r="Q25" s="38">
        <f>VLOOKUP('Hide - Control'!$B$4,'All practice data'!B:BC,3,FALSE)</f>
        <v>615835</v>
      </c>
      <c r="R25" s="38">
        <f t="shared" si="21"/>
        <v>631.4682602314567</v>
      </c>
      <c r="S25" s="38">
        <f t="shared" si="22"/>
        <v>671.9506456208745</v>
      </c>
      <c r="T25" s="53">
        <f t="shared" si="19"/>
        <v>1242.0274658203125</v>
      </c>
      <c r="U25" s="51">
        <f t="shared" si="20"/>
        <v>185.5142822265625</v>
      </c>
      <c r="V25" s="7"/>
      <c r="W25" s="27">
        <f t="shared" si="2"/>
        <v>-16.8924560546875</v>
      </c>
      <c r="X25" s="27">
        <f t="shared" si="3"/>
        <v>1242.0274658203125</v>
      </c>
      <c r="Y25" s="27">
        <f t="shared" si="4"/>
        <v>-16.8924560546875</v>
      </c>
      <c r="Z25" s="27">
        <f t="shared" si="5"/>
        <v>1242.0274658203125</v>
      </c>
      <c r="AA25" s="32">
        <f t="shared" si="6"/>
        <v>0.16077808823597858</v>
      </c>
      <c r="AB25" s="33">
        <f t="shared" si="7"/>
        <v>0.424675596175417</v>
      </c>
      <c r="AC25" s="33">
        <v>0.5</v>
      </c>
      <c r="AD25" s="33">
        <f t="shared" si="8"/>
        <v>0.6423859447505069</v>
      </c>
      <c r="AE25" s="33">
        <f t="shared" si="9"/>
        <v>1</v>
      </c>
      <c r="AF25" s="33">
        <f t="shared" si="10"/>
        <v>-999</v>
      </c>
      <c r="AG25" s="33">
        <f t="shared" si="11"/>
        <v>0.4262725265368319</v>
      </c>
      <c r="AH25" s="33">
        <f t="shared" si="12"/>
        <v>-999</v>
      </c>
      <c r="AI25" s="34">
        <f t="shared" si="13"/>
        <v>0.460319902863733</v>
      </c>
      <c r="AJ25" s="4">
        <v>22.06996894931352</v>
      </c>
      <c r="AK25" s="32">
        <f t="shared" si="14"/>
        <v>-999</v>
      </c>
      <c r="AL25" s="34">
        <f t="shared" si="15"/>
        <v>-999</v>
      </c>
      <c r="AY25" s="103" t="s">
        <v>257</v>
      </c>
      <c r="AZ25" s="103" t="s">
        <v>258</v>
      </c>
      <c r="BA25" s="103" t="s">
        <v>556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441.7879417879418</v>
      </c>
      <c r="F26" s="38">
        <f>IF(LEFT(VLOOKUP($B26,'Indicator chart'!$D$1:$J$36,6,FALSE),1)=" "," ",VLOOKUP($B26,'Indicator chart'!$D$1:$J$36,6,FALSE))</f>
        <v>257.20825291519503</v>
      </c>
      <c r="G26" s="38">
        <f>IF(LEFT(VLOOKUP($B26,'Indicator chart'!$D$1:$J$36,7,FALSE),1)=" "," ",VLOOKUP($B26,'Indicator chart'!$D$1:$J$36,7,FALSE))</f>
        <v>707.3885321625495</v>
      </c>
      <c r="H26" s="50">
        <f t="shared" si="0"/>
        <v>2</v>
      </c>
      <c r="I26" s="38">
        <v>112.1823501586914</v>
      </c>
      <c r="J26" s="38">
        <v>256.0823669433594</v>
      </c>
      <c r="K26" s="38">
        <v>365.6307067871094</v>
      </c>
      <c r="L26" s="38">
        <v>483.773681640625</v>
      </c>
      <c r="M26" s="38">
        <v>1142.857177734375</v>
      </c>
      <c r="N26" s="80">
        <f>VLOOKUP('Hide - Control'!B$3,'All practice data'!A:CA,A26+29,FALSE)</f>
        <v>409.85004100124223</v>
      </c>
      <c r="O26" s="80">
        <f>VLOOKUP('Hide - Control'!C$3,'All practice data'!A:CA,A26+29,FALSE)</f>
        <v>405.57105879375996</v>
      </c>
      <c r="P26" s="38">
        <f>VLOOKUP('Hide - Control'!$B$4,'All practice data'!B:BC,A26+2,FALSE)</f>
        <v>2524</v>
      </c>
      <c r="Q26" s="38">
        <f>VLOOKUP('Hide - Control'!$B$4,'All practice data'!B:BC,3,FALSE)</f>
        <v>615835</v>
      </c>
      <c r="R26" s="38">
        <f t="shared" si="21"/>
        <v>394.0147929928623</v>
      </c>
      <c r="S26" s="38">
        <f t="shared" si="22"/>
        <v>426.15843878170614</v>
      </c>
      <c r="T26" s="53">
        <f t="shared" si="19"/>
        <v>1142.857177734375</v>
      </c>
      <c r="U26" s="51">
        <f t="shared" si="20"/>
        <v>112.1823501586914</v>
      </c>
      <c r="V26" s="7"/>
      <c r="W26" s="27">
        <f t="shared" si="2"/>
        <v>-411.59576416015625</v>
      </c>
      <c r="X26" s="27">
        <f t="shared" si="3"/>
        <v>1142.857177734375</v>
      </c>
      <c r="Y26" s="27">
        <f t="shared" si="4"/>
        <v>-411.59576416015625</v>
      </c>
      <c r="Z26" s="27">
        <f t="shared" si="5"/>
        <v>1142.857177734375</v>
      </c>
      <c r="AA26" s="32">
        <f t="shared" si="6"/>
        <v>0.3369533423639567</v>
      </c>
      <c r="AB26" s="33">
        <f t="shared" si="7"/>
        <v>0.4295261137270357</v>
      </c>
      <c r="AC26" s="33">
        <v>0.5</v>
      </c>
      <c r="AD26" s="33">
        <f t="shared" si="8"/>
        <v>0.5760029278914842</v>
      </c>
      <c r="AE26" s="33">
        <f t="shared" si="9"/>
        <v>1</v>
      </c>
      <c r="AF26" s="33">
        <f t="shared" si="10"/>
        <v>-999</v>
      </c>
      <c r="AG26" s="33">
        <f t="shared" si="11"/>
        <v>0.5489929498335367</v>
      </c>
      <c r="AH26" s="33">
        <f t="shared" si="12"/>
        <v>-999</v>
      </c>
      <c r="AI26" s="34">
        <f t="shared" si="13"/>
        <v>0.5256941531841884</v>
      </c>
      <c r="AJ26" s="4">
        <v>23.145964374695435</v>
      </c>
      <c r="AK26" s="32">
        <f t="shared" si="14"/>
        <v>-999</v>
      </c>
      <c r="AL26" s="34">
        <f t="shared" si="15"/>
        <v>-999</v>
      </c>
      <c r="AY26" s="103" t="s">
        <v>120</v>
      </c>
      <c r="AZ26" s="103" t="s">
        <v>449</v>
      </c>
      <c r="BA26" s="103" t="s">
        <v>376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52</v>
      </c>
      <c r="E27" s="38">
        <f>IF(LEFT(VLOOKUP($B27,'Indicator chart'!$D$1:$J$36,5,FALSE),1)=" "," ",VLOOKUP($B27,'Indicator chart'!$D$1:$J$36,5,FALSE))</f>
        <v>1351.3513513513512</v>
      </c>
      <c r="F27" s="38">
        <f>IF(LEFT(VLOOKUP($B27,'Indicator chart'!$D$1:$J$36,6,FALSE),1)=" "," ",VLOOKUP($B27,'Indicator chart'!$D$1:$J$36,6,FALSE))</f>
        <v>1009.1756281561445</v>
      </c>
      <c r="G27" s="38">
        <f>IF(LEFT(VLOOKUP($B27,'Indicator chart'!$D$1:$J$36,7,FALSE),1)=" "," ",VLOOKUP($B27,'Indicator chart'!$D$1:$J$36,7,FALSE))</f>
        <v>1772.16137424941</v>
      </c>
      <c r="H27" s="50">
        <f t="shared" si="0"/>
        <v>2</v>
      </c>
      <c r="I27" s="38">
        <v>422.6979064941406</v>
      </c>
      <c r="J27" s="38">
        <v>957.0401611328125</v>
      </c>
      <c r="K27" s="38">
        <v>1131.6484375</v>
      </c>
      <c r="L27" s="38">
        <v>1253.92041015625</v>
      </c>
      <c r="M27" s="38">
        <v>1823.8021240234375</v>
      </c>
      <c r="N27" s="80">
        <f>VLOOKUP('Hide - Control'!B$3,'All practice data'!A:CA,A27+29,FALSE)</f>
        <v>1118.9685548888906</v>
      </c>
      <c r="O27" s="80">
        <f>VLOOKUP('Hide - Control'!C$3,'All practice data'!A:CA,A27+29,FALSE)</f>
        <v>1059.3522061277838</v>
      </c>
      <c r="P27" s="38">
        <f>VLOOKUP('Hide - Control'!$B$4,'All practice data'!B:BC,A27+2,FALSE)</f>
        <v>6891</v>
      </c>
      <c r="Q27" s="38">
        <f>VLOOKUP('Hide - Control'!$B$4,'All practice data'!B:BC,3,FALSE)</f>
        <v>615835</v>
      </c>
      <c r="R27" s="38">
        <f t="shared" si="21"/>
        <v>1092.7026653931755</v>
      </c>
      <c r="S27" s="38">
        <f t="shared" si="22"/>
        <v>1145.7063523925476</v>
      </c>
      <c r="T27" s="53">
        <f t="shared" si="19"/>
        <v>1823.8021240234375</v>
      </c>
      <c r="U27" s="51">
        <f t="shared" si="20"/>
        <v>422.6979064941406</v>
      </c>
      <c r="V27" s="7"/>
      <c r="W27" s="27">
        <f t="shared" si="2"/>
        <v>422.6979064941406</v>
      </c>
      <c r="X27" s="27">
        <f t="shared" si="3"/>
        <v>1840.5989685058594</v>
      </c>
      <c r="Y27" s="27">
        <f t="shared" si="4"/>
        <v>422.6979064941406</v>
      </c>
      <c r="Z27" s="27">
        <f t="shared" si="5"/>
        <v>1840.5989685058594</v>
      </c>
      <c r="AA27" s="32">
        <f t="shared" si="6"/>
        <v>0</v>
      </c>
      <c r="AB27" s="33">
        <f t="shared" si="7"/>
        <v>0.3768544004618678</v>
      </c>
      <c r="AC27" s="33">
        <v>0.5</v>
      </c>
      <c r="AD27" s="33">
        <f t="shared" si="8"/>
        <v>0.5862344883801487</v>
      </c>
      <c r="AE27" s="33">
        <f t="shared" si="9"/>
        <v>0.9881537260021581</v>
      </c>
      <c r="AF27" s="33">
        <f t="shared" si="10"/>
        <v>-999</v>
      </c>
      <c r="AG27" s="33">
        <f t="shared" si="11"/>
        <v>0.654949396497127</v>
      </c>
      <c r="AH27" s="33">
        <f t="shared" si="12"/>
        <v>-999</v>
      </c>
      <c r="AI27" s="34">
        <f t="shared" si="13"/>
        <v>0.44901179404602304</v>
      </c>
      <c r="AJ27" s="4">
        <v>24.221959800077364</v>
      </c>
      <c r="AK27" s="32">
        <f t="shared" si="14"/>
        <v>-999</v>
      </c>
      <c r="AL27" s="34">
        <f t="shared" si="15"/>
        <v>-999</v>
      </c>
      <c r="AY27" s="103" t="s">
        <v>115</v>
      </c>
      <c r="AZ27" s="103" t="s">
        <v>448</v>
      </c>
      <c r="BA27" s="103" t="s">
        <v>556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27</v>
      </c>
      <c r="E28" s="38">
        <f>IF(LEFT(VLOOKUP($B28,'Indicator chart'!$D$1:$J$36,5,FALSE),1)=" "," ",VLOOKUP($B28,'Indicator chart'!$D$1:$J$36,5,FALSE))</f>
        <v>701.6632016632017</v>
      </c>
      <c r="F28" s="38">
        <f>IF(LEFT(VLOOKUP($B28,'Indicator chart'!$D$1:$J$36,6,FALSE),1)=" "," ",VLOOKUP($B28,'Indicator chart'!$D$1:$J$36,6,FALSE))</f>
        <v>462.2874941288116</v>
      </c>
      <c r="G28" s="38">
        <f>IF(LEFT(VLOOKUP($B28,'Indicator chart'!$D$1:$J$36,7,FALSE),1)=" "," ",VLOOKUP($B28,'Indicator chart'!$D$1:$J$36,7,FALSE))</f>
        <v>1020.9287295420593</v>
      </c>
      <c r="H28" s="50">
        <f t="shared" si="0"/>
        <v>2</v>
      </c>
      <c r="I28" s="38">
        <v>155.9251708984375</v>
      </c>
      <c r="J28" s="38">
        <v>443.5347900390625</v>
      </c>
      <c r="K28" s="38">
        <v>587.3261108398438</v>
      </c>
      <c r="L28" s="38">
        <v>697.8243408203125</v>
      </c>
      <c r="M28" s="38">
        <v>1140.1943359375</v>
      </c>
      <c r="N28" s="80">
        <f>VLOOKUP('Hide - Control'!B$3,'All practice data'!A:CA,A28+29,FALSE)</f>
        <v>585.5464531895719</v>
      </c>
      <c r="O28" s="80">
        <f>VLOOKUP('Hide - Control'!C$3,'All practice data'!A:CA,A28+29,FALSE)</f>
        <v>582.9390489900089</v>
      </c>
      <c r="P28" s="38">
        <f>VLOOKUP('Hide - Control'!$B$4,'All practice data'!B:BC,A28+2,FALSE)</f>
        <v>3606</v>
      </c>
      <c r="Q28" s="38">
        <f>VLOOKUP('Hide - Control'!$B$4,'All practice data'!B:BC,3,FALSE)</f>
        <v>615835</v>
      </c>
      <c r="R28" s="38">
        <f>100000*(P28*(1-1/(9*P28)-1.96/(3*SQRT(P28)))^3)/Q28</f>
        <v>566.588748727443</v>
      </c>
      <c r="S28" s="38">
        <f>100000*((P28+1)*(1-1/(9*(P28+1))+1.96/(3*SQRT(P28+1)))^3)/Q28</f>
        <v>604.9767940893246</v>
      </c>
      <c r="T28" s="53">
        <f t="shared" si="19"/>
        <v>1140.1943359375</v>
      </c>
      <c r="U28" s="51">
        <f t="shared" si="20"/>
        <v>155.9251708984375</v>
      </c>
      <c r="V28" s="7"/>
      <c r="W28" s="27">
        <f t="shared" si="2"/>
        <v>34.4578857421875</v>
      </c>
      <c r="X28" s="27">
        <f t="shared" si="3"/>
        <v>1140.1943359375</v>
      </c>
      <c r="Y28" s="27">
        <f t="shared" si="4"/>
        <v>34.4578857421875</v>
      </c>
      <c r="Z28" s="27">
        <f t="shared" si="5"/>
        <v>1140.1943359375</v>
      </c>
      <c r="AA28" s="32">
        <f t="shared" si="6"/>
        <v>0.1098519318367361</v>
      </c>
      <c r="AB28" s="33">
        <f t="shared" si="7"/>
        <v>0.3699587765462714</v>
      </c>
      <c r="AC28" s="33">
        <v>0.5</v>
      </c>
      <c r="AD28" s="33">
        <f t="shared" si="8"/>
        <v>0.5999317965514755</v>
      </c>
      <c r="AE28" s="33">
        <f t="shared" si="9"/>
        <v>1</v>
      </c>
      <c r="AF28" s="33">
        <f t="shared" si="10"/>
        <v>-999</v>
      </c>
      <c r="AG28" s="33">
        <f t="shared" si="11"/>
        <v>0.6034035649301078</v>
      </c>
      <c r="AH28" s="33">
        <f t="shared" si="12"/>
        <v>-999</v>
      </c>
      <c r="AI28" s="34">
        <f t="shared" si="13"/>
        <v>0.49603245253508654</v>
      </c>
      <c r="AJ28" s="4">
        <v>25.297955225459287</v>
      </c>
      <c r="AK28" s="32">
        <f t="shared" si="14"/>
        <v>-999</v>
      </c>
      <c r="AL28" s="34">
        <f t="shared" si="15"/>
        <v>-999</v>
      </c>
      <c r="AY28" s="103" t="s">
        <v>241</v>
      </c>
      <c r="AZ28" s="103" t="s">
        <v>242</v>
      </c>
      <c r="BA28" s="103" t="s">
        <v>556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451</v>
      </c>
      <c r="BA29" s="103" t="s">
        <v>376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472</v>
      </c>
      <c r="BA31" s="103" t="s">
        <v>376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431</v>
      </c>
      <c r="BA32" s="103" t="s">
        <v>376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496</v>
      </c>
      <c r="BA33" s="103" t="s">
        <v>556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376</v>
      </c>
      <c r="BB34" s="10">
        <v>532801</v>
      </c>
      <c r="BE34" s="77"/>
      <c r="BF34" s="253"/>
    </row>
    <row r="35" spans="2:58" ht="12.75">
      <c r="B35" s="17" t="s">
        <v>41</v>
      </c>
      <c r="C35" s="18"/>
      <c r="H35" s="290" t="s">
        <v>665</v>
      </c>
      <c r="I35" s="291"/>
      <c r="Y35" s="43"/>
      <c r="Z35" s="44"/>
      <c r="AA35" s="44"/>
      <c r="AB35" s="43"/>
      <c r="AC35" s="43"/>
      <c r="AY35" s="103" t="s">
        <v>159</v>
      </c>
      <c r="AZ35" s="103" t="s">
        <v>464</v>
      </c>
      <c r="BA35" s="103" t="s">
        <v>376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453</v>
      </c>
      <c r="BA36" s="103" t="s">
        <v>376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470</v>
      </c>
      <c r="BA37" s="103" t="s">
        <v>376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376</v>
      </c>
      <c r="BB40" s="10">
        <v>714731</v>
      </c>
      <c r="BF40" s="252"/>
    </row>
    <row r="41" spans="1:58" ht="12.75">
      <c r="A41" s="3"/>
      <c r="B41" s="71"/>
      <c r="C41" s="3"/>
      <c r="T41" s="13"/>
      <c r="U41" s="2"/>
      <c r="W41" s="2"/>
      <c r="X41" s="10"/>
      <c r="Y41" s="44"/>
      <c r="Z41" s="44"/>
      <c r="AA41" s="44"/>
      <c r="AB41" s="44"/>
      <c r="AC41" s="44"/>
      <c r="AD41" s="2"/>
      <c r="AE41" s="2"/>
      <c r="AY41" s="103" t="s">
        <v>272</v>
      </c>
      <c r="AZ41" s="103" t="s">
        <v>497</v>
      </c>
      <c r="BA41" s="103" t="s">
        <v>556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494</v>
      </c>
      <c r="BA43" s="103" t="s">
        <v>376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482</v>
      </c>
      <c r="BA44" s="103" t="s">
        <v>376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473</v>
      </c>
      <c r="BA46" s="103" t="s">
        <v>556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477</v>
      </c>
      <c r="BA48" s="103" t="s">
        <v>556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488</v>
      </c>
      <c r="BA49" s="103" t="s">
        <v>556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454</v>
      </c>
      <c r="BA51" s="103" t="s">
        <v>376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376</v>
      </c>
      <c r="BB52" s="10">
        <v>611636</v>
      </c>
      <c r="BF52" s="252"/>
    </row>
    <row r="53" spans="1:58" ht="12.75">
      <c r="A53" s="3"/>
      <c r="B53" s="12"/>
      <c r="C53" s="3"/>
      <c r="I53" s="11"/>
      <c r="J53" s="11"/>
      <c r="K53" s="11"/>
      <c r="L53" s="11"/>
      <c r="S53" s="11"/>
      <c r="U53" s="2"/>
      <c r="X53" s="2"/>
      <c r="Y53" s="2"/>
      <c r="Z53" s="2"/>
      <c r="AA53" s="2"/>
      <c r="AB53" s="2"/>
      <c r="AY53" s="103" t="s">
        <v>244</v>
      </c>
      <c r="AZ53" s="103" t="s">
        <v>487</v>
      </c>
      <c r="BA53" s="103" t="s">
        <v>376</v>
      </c>
      <c r="BB53" s="10">
        <v>230998</v>
      </c>
      <c r="BF53" s="252"/>
    </row>
    <row r="54" spans="1:58" ht="12.75">
      <c r="A54" s="3"/>
      <c r="B54" s="12"/>
      <c r="C54" s="3"/>
      <c r="I54" s="11"/>
      <c r="J54" s="11"/>
      <c r="K54" s="11"/>
      <c r="L54" s="11"/>
      <c r="S54" s="11"/>
      <c r="U54" s="2"/>
      <c r="X54" s="2"/>
      <c r="Y54" s="2"/>
      <c r="Z54" s="2"/>
      <c r="AA54" s="2"/>
      <c r="AB54" s="2"/>
      <c r="AY54" s="103" t="s">
        <v>67</v>
      </c>
      <c r="AZ54" s="103" t="s">
        <v>428</v>
      </c>
      <c r="BA54" s="103" t="s">
        <v>376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474</v>
      </c>
      <c r="BA55" s="103" t="s">
        <v>376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444</v>
      </c>
      <c r="BA56" s="103" t="s">
        <v>376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489</v>
      </c>
      <c r="BA57" s="103" t="s">
        <v>376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434</v>
      </c>
      <c r="BA58" s="103" t="s">
        <v>376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478</v>
      </c>
      <c r="BA61" s="103" t="s">
        <v>556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467</v>
      </c>
      <c r="BA63" s="103" t="s">
        <v>376</v>
      </c>
      <c r="BB63" s="10">
        <v>318405</v>
      </c>
      <c r="BE63" s="70"/>
      <c r="BF63" s="239"/>
    </row>
    <row r="64" spans="1:58" ht="12.75">
      <c r="A64" s="3"/>
      <c r="B64" s="12"/>
      <c r="C64" s="3"/>
      <c r="I64" s="11"/>
      <c r="V64" s="3"/>
      <c r="AY64" s="103" t="s">
        <v>78</v>
      </c>
      <c r="AZ64" s="103" t="s">
        <v>435</v>
      </c>
      <c r="BA64" s="103" t="s">
        <v>556</v>
      </c>
      <c r="BB64" s="10">
        <v>181285</v>
      </c>
      <c r="BE64" s="70"/>
      <c r="BF64" s="241"/>
    </row>
    <row r="65" spans="1:58" ht="12.75">
      <c r="A65" s="3"/>
      <c r="B65" s="12"/>
      <c r="C65" s="3"/>
      <c r="AY65" s="103" t="s">
        <v>545</v>
      </c>
      <c r="AZ65" s="103" t="s">
        <v>546</v>
      </c>
      <c r="BA65" s="103" t="s">
        <v>376</v>
      </c>
      <c r="BB65" s="10">
        <v>1169302</v>
      </c>
      <c r="BE65" s="70"/>
      <c r="BF65" s="241"/>
    </row>
    <row r="66" spans="1:58" ht="12.75">
      <c r="A66" s="3"/>
      <c r="B66" s="12"/>
      <c r="C66" s="3"/>
      <c r="E66" s="2"/>
      <c r="F66" s="2"/>
      <c r="G66" s="2"/>
      <c r="V66" s="2"/>
      <c r="AY66" s="103" t="s">
        <v>200</v>
      </c>
      <c r="AZ66" s="103" t="s">
        <v>475</v>
      </c>
      <c r="BA66" s="103" t="s">
        <v>376</v>
      </c>
      <c r="BB66" s="10">
        <v>217916</v>
      </c>
      <c r="BE66" s="70"/>
      <c r="BF66" s="239"/>
    </row>
    <row r="67" spans="1:58" ht="12.75">
      <c r="A67" s="3"/>
      <c r="B67" s="12"/>
      <c r="C67" s="3"/>
      <c r="AY67" s="103" t="s">
        <v>69</v>
      </c>
      <c r="AZ67" s="103" t="s">
        <v>70</v>
      </c>
      <c r="BA67" s="103" t="s">
        <v>376</v>
      </c>
      <c r="BB67" s="10">
        <v>270842</v>
      </c>
      <c r="BE67" s="70"/>
      <c r="BF67" s="239"/>
    </row>
    <row r="68" spans="1:58" ht="12.75">
      <c r="A68" s="3"/>
      <c r="B68" s="12"/>
      <c r="C68" s="3"/>
      <c r="AY68" s="103" t="s">
        <v>109</v>
      </c>
      <c r="AZ68" s="103" t="s">
        <v>110</v>
      </c>
      <c r="BA68" s="103" t="s">
        <v>376</v>
      </c>
      <c r="BB68" s="10">
        <v>251613</v>
      </c>
      <c r="BF68" s="252"/>
    </row>
    <row r="69" spans="1:58" ht="12.75">
      <c r="A69" s="3"/>
      <c r="B69" s="12"/>
      <c r="C69" s="3"/>
      <c r="AY69" s="103" t="s">
        <v>209</v>
      </c>
      <c r="AZ69" s="103" t="s">
        <v>210</v>
      </c>
      <c r="BA69" s="103" t="s">
        <v>376</v>
      </c>
      <c r="BB69" s="10">
        <v>283547</v>
      </c>
      <c r="BE69" s="70"/>
      <c r="BF69" s="241"/>
    </row>
    <row r="70" spans="1:58" ht="12.75">
      <c r="A70" s="3"/>
      <c r="B70" s="12"/>
      <c r="C70" s="3"/>
      <c r="AY70" s="103" t="s">
        <v>275</v>
      </c>
      <c r="AZ70" s="103" t="s">
        <v>498</v>
      </c>
      <c r="BA70" s="103" t="s">
        <v>555</v>
      </c>
      <c r="BB70" s="10">
        <v>141474</v>
      </c>
      <c r="BE70" s="70"/>
      <c r="BF70" s="239"/>
    </row>
    <row r="71" spans="1:58" ht="12.75">
      <c r="A71" s="3"/>
      <c r="B71" s="12"/>
      <c r="C71" s="3"/>
      <c r="AY71" s="103" t="s">
        <v>127</v>
      </c>
      <c r="AZ71" s="103" t="s">
        <v>452</v>
      </c>
      <c r="BA71" s="103" t="s">
        <v>376</v>
      </c>
      <c r="BB71" s="10">
        <v>213326</v>
      </c>
      <c r="BE71" s="70"/>
      <c r="BF71" s="239"/>
    </row>
    <row r="72" spans="1:58" ht="12.75">
      <c r="A72" s="3"/>
      <c r="B72" s="12"/>
      <c r="C72" s="3"/>
      <c r="AY72" s="103" t="s">
        <v>136</v>
      </c>
      <c r="AZ72" s="103" t="s">
        <v>137</v>
      </c>
      <c r="BA72" s="103" t="s">
        <v>376</v>
      </c>
      <c r="BB72" s="10">
        <v>183220</v>
      </c>
      <c r="BE72" s="250"/>
      <c r="BF72" s="239"/>
    </row>
    <row r="73" spans="1:58" ht="12.75">
      <c r="A73" s="3"/>
      <c r="B73" s="12"/>
      <c r="C73" s="3"/>
      <c r="AY73" s="103" t="s">
        <v>64</v>
      </c>
      <c r="AZ73" s="103" t="s">
        <v>427</v>
      </c>
      <c r="BA73" s="103" t="s">
        <v>376</v>
      </c>
      <c r="BB73" s="10">
        <v>190143</v>
      </c>
      <c r="BE73" s="70"/>
      <c r="BF73" s="239"/>
    </row>
    <row r="74" spans="1:58" ht="12.75">
      <c r="A74" s="3"/>
      <c r="B74" s="12"/>
      <c r="C74" s="3"/>
      <c r="AY74" s="103" t="s">
        <v>165</v>
      </c>
      <c r="AZ74" s="103" t="s">
        <v>166</v>
      </c>
      <c r="BA74" s="103" t="s">
        <v>556</v>
      </c>
      <c r="BB74" s="10">
        <v>419928</v>
      </c>
      <c r="BE74" s="70"/>
      <c r="BF74" s="241"/>
    </row>
    <row r="75" spans="1:58" ht="12.75">
      <c r="A75" s="3"/>
      <c r="B75" s="12"/>
      <c r="C75" s="3"/>
      <c r="AY75" s="103" t="s">
        <v>113</v>
      </c>
      <c r="AZ75" s="103" t="s">
        <v>446</v>
      </c>
      <c r="BA75" s="103" t="s">
        <v>376</v>
      </c>
      <c r="BB75" s="10">
        <v>158106</v>
      </c>
      <c r="BE75" s="70"/>
      <c r="BF75" s="241"/>
    </row>
    <row r="76" spans="1:58" ht="12.75">
      <c r="A76" s="3"/>
      <c r="B76" s="12"/>
      <c r="C76" s="3"/>
      <c r="AY76" s="103" t="s">
        <v>140</v>
      </c>
      <c r="AZ76" s="103" t="s">
        <v>141</v>
      </c>
      <c r="BA76" s="103" t="s">
        <v>376</v>
      </c>
      <c r="BB76" s="10">
        <v>377807</v>
      </c>
      <c r="BE76" s="70"/>
      <c r="BF76" s="241"/>
    </row>
    <row r="77" spans="1:58" ht="12.75">
      <c r="A77" s="3"/>
      <c r="B77" s="12"/>
      <c r="C77" s="3"/>
      <c r="AY77" s="103" t="s">
        <v>163</v>
      </c>
      <c r="AZ77" s="103" t="s">
        <v>164</v>
      </c>
      <c r="BA77" s="103" t="s">
        <v>556</v>
      </c>
      <c r="BB77" s="10">
        <v>799634</v>
      </c>
      <c r="BE77" s="70"/>
      <c r="BF77" s="249"/>
    </row>
    <row r="78" spans="1:58" ht="12.75">
      <c r="A78" s="3"/>
      <c r="B78" s="12"/>
      <c r="C78" s="3"/>
      <c r="AY78" s="103" t="s">
        <v>224</v>
      </c>
      <c r="AZ78" s="103" t="s">
        <v>225</v>
      </c>
      <c r="BA78" s="103" t="s">
        <v>376</v>
      </c>
      <c r="BB78" s="10">
        <v>362638</v>
      </c>
      <c r="BE78" s="70"/>
      <c r="BF78" s="239"/>
    </row>
    <row r="79" spans="1:58" ht="12.75">
      <c r="A79" s="3"/>
      <c r="B79" s="12"/>
      <c r="C79" s="3"/>
      <c r="AY79" s="103" t="s">
        <v>223</v>
      </c>
      <c r="AZ79" s="103" t="s">
        <v>480</v>
      </c>
      <c r="BA79" s="103" t="s">
        <v>376</v>
      </c>
      <c r="BB79" s="10">
        <v>678998</v>
      </c>
      <c r="BF79" s="239"/>
    </row>
    <row r="80" spans="1:58" ht="12.75">
      <c r="A80" s="3"/>
      <c r="B80" s="12"/>
      <c r="C80" s="3"/>
      <c r="AY80" s="103" t="s">
        <v>144</v>
      </c>
      <c r="AZ80" s="103" t="s">
        <v>145</v>
      </c>
      <c r="BA80" s="103" t="s">
        <v>376</v>
      </c>
      <c r="BB80" s="10">
        <v>290986</v>
      </c>
      <c r="BF80" s="252"/>
    </row>
    <row r="81" spans="1:58" ht="12.75">
      <c r="A81" s="3"/>
      <c r="B81" s="12"/>
      <c r="C81" s="3"/>
      <c r="AY81" s="103" t="s">
        <v>178</v>
      </c>
      <c r="AZ81" s="103" t="s">
        <v>469</v>
      </c>
      <c r="BA81" s="103" t="s">
        <v>556</v>
      </c>
      <c r="BB81" s="10">
        <v>747976</v>
      </c>
      <c r="BF81" s="252"/>
    </row>
    <row r="82" spans="1:58" ht="12.75">
      <c r="A82" s="3"/>
      <c r="B82" s="12"/>
      <c r="C82" s="3"/>
      <c r="AY82" s="103" t="s">
        <v>193</v>
      </c>
      <c r="AZ82" s="103" t="s">
        <v>194</v>
      </c>
      <c r="BA82" s="103" t="s">
        <v>376</v>
      </c>
      <c r="BB82" s="10">
        <v>489140</v>
      </c>
      <c r="BF82" s="252"/>
    </row>
    <row r="83" spans="1:58" ht="12.75">
      <c r="A83" s="3"/>
      <c r="B83" s="12"/>
      <c r="C83" s="3"/>
      <c r="AY83" s="103" t="s">
        <v>98</v>
      </c>
      <c r="AZ83" s="103" t="s">
        <v>443</v>
      </c>
      <c r="BA83" s="103" t="s">
        <v>556</v>
      </c>
      <c r="BB83" s="10">
        <v>208442</v>
      </c>
      <c r="BE83" s="70"/>
      <c r="BF83" s="241"/>
    </row>
    <row r="84" spans="1:58" ht="12.75">
      <c r="A84" s="3"/>
      <c r="B84" s="12"/>
      <c r="C84" s="3"/>
      <c r="AY84" s="103" t="s">
        <v>203</v>
      </c>
      <c r="AZ84" s="103" t="s">
        <v>204</v>
      </c>
      <c r="BA84" s="103" t="s">
        <v>556</v>
      </c>
      <c r="BB84" s="10">
        <v>545543</v>
      </c>
      <c r="BE84" s="70"/>
      <c r="BF84" s="241"/>
    </row>
    <row r="85" spans="1:58" ht="12.75">
      <c r="A85" s="3"/>
      <c r="B85" s="12"/>
      <c r="C85" s="3"/>
      <c r="AY85" s="103" t="s">
        <v>135</v>
      </c>
      <c r="AZ85" s="103" t="s">
        <v>458</v>
      </c>
      <c r="BA85" s="103" t="s">
        <v>556</v>
      </c>
      <c r="BB85" s="10">
        <v>274067</v>
      </c>
      <c r="BE85" s="70"/>
      <c r="BF85" s="241"/>
    </row>
    <row r="86" spans="1:58" ht="12.75">
      <c r="A86" s="3"/>
      <c r="B86" s="12"/>
      <c r="C86" s="3"/>
      <c r="AY86" s="103" t="s">
        <v>251</v>
      </c>
      <c r="AZ86" s="103" t="s">
        <v>252</v>
      </c>
      <c r="BA86" s="103" t="s">
        <v>556</v>
      </c>
      <c r="BB86" s="10">
        <v>374861</v>
      </c>
      <c r="BE86" s="70"/>
      <c r="BF86" s="249"/>
    </row>
    <row r="87" spans="1:58" ht="12.75">
      <c r="A87" s="3"/>
      <c r="B87" s="12"/>
      <c r="C87" s="3"/>
      <c r="AY87" s="103" t="s">
        <v>132</v>
      </c>
      <c r="AZ87" s="103" t="s">
        <v>133</v>
      </c>
      <c r="BA87" s="103" t="s">
        <v>376</v>
      </c>
      <c r="BB87" s="10">
        <v>153833</v>
      </c>
      <c r="BE87" s="70"/>
      <c r="BF87" s="249"/>
    </row>
    <row r="88" spans="1:58" ht="12.75">
      <c r="A88" s="3"/>
      <c r="B88" s="12"/>
      <c r="C88" s="3"/>
      <c r="AY88" s="103" t="s">
        <v>79</v>
      </c>
      <c r="AZ88" s="103" t="s">
        <v>80</v>
      </c>
      <c r="BA88" s="103" t="s">
        <v>556</v>
      </c>
      <c r="BB88" s="10">
        <v>258492</v>
      </c>
      <c r="BE88" s="70"/>
      <c r="BF88" s="241"/>
    </row>
    <row r="89" spans="1:58" ht="12.75">
      <c r="A89" s="3"/>
      <c r="B89" s="12"/>
      <c r="C89" s="3"/>
      <c r="AY89" s="103" t="s">
        <v>81</v>
      </c>
      <c r="AZ89" s="103" t="s">
        <v>436</v>
      </c>
      <c r="BA89" s="103" t="s">
        <v>376</v>
      </c>
      <c r="BB89" s="10">
        <v>283085</v>
      </c>
      <c r="BE89" s="70"/>
      <c r="BF89" s="241"/>
    </row>
    <row r="90" spans="1:58" ht="12.75">
      <c r="A90" s="3"/>
      <c r="B90" s="12"/>
      <c r="C90" s="3"/>
      <c r="AY90" s="103" t="s">
        <v>76</v>
      </c>
      <c r="AZ90" s="103" t="s">
        <v>433</v>
      </c>
      <c r="BA90" s="103" t="s">
        <v>376</v>
      </c>
      <c r="BB90" s="10">
        <v>357346</v>
      </c>
      <c r="BE90" s="70"/>
      <c r="BF90" s="241"/>
    </row>
    <row r="91" spans="1:58" ht="12.75">
      <c r="A91" s="3"/>
      <c r="B91" s="12"/>
      <c r="C91" s="3"/>
      <c r="AY91" s="103" t="s">
        <v>243</v>
      </c>
      <c r="AZ91" s="103" t="s">
        <v>486</v>
      </c>
      <c r="BA91" s="103" t="s">
        <v>556</v>
      </c>
      <c r="BB91" s="10">
        <v>748575</v>
      </c>
      <c r="BE91" s="247"/>
      <c r="BF91" s="249"/>
    </row>
    <row r="92" spans="1:58" ht="12.75">
      <c r="A92" s="3"/>
      <c r="B92" s="12"/>
      <c r="C92" s="3"/>
      <c r="AY92" s="103" t="s">
        <v>249</v>
      </c>
      <c r="AZ92" s="103" t="s">
        <v>250</v>
      </c>
      <c r="BA92" s="103" t="s">
        <v>556</v>
      </c>
      <c r="BB92" s="10">
        <v>322673</v>
      </c>
      <c r="BE92" s="247"/>
      <c r="BF92" s="249"/>
    </row>
    <row r="93" spans="1:58" ht="12.75">
      <c r="A93" s="3"/>
      <c r="B93" s="12"/>
      <c r="C93" s="3"/>
      <c r="AY93" s="103" t="s">
        <v>58</v>
      </c>
      <c r="AZ93" s="103" t="s">
        <v>59</v>
      </c>
      <c r="BA93" s="103" t="s">
        <v>376</v>
      </c>
      <c r="BB93" s="10">
        <v>165284</v>
      </c>
      <c r="BF93" s="252"/>
    </row>
    <row r="94" spans="1:58" ht="12.75">
      <c r="A94" s="3"/>
      <c r="B94" s="12"/>
      <c r="C94" s="3"/>
      <c r="AY94" s="103" t="s">
        <v>186</v>
      </c>
      <c r="AZ94" s="103" t="s">
        <v>471</v>
      </c>
      <c r="BA94" s="103" t="s">
        <v>376</v>
      </c>
      <c r="BB94" s="10">
        <v>339272</v>
      </c>
      <c r="BE94" s="70"/>
      <c r="BF94" s="241"/>
    </row>
    <row r="95" spans="1:58" ht="12.75">
      <c r="A95" s="3"/>
      <c r="B95" s="12"/>
      <c r="C95" s="3"/>
      <c r="AY95" s="103" t="s">
        <v>86</v>
      </c>
      <c r="AZ95" s="103" t="s">
        <v>87</v>
      </c>
      <c r="BA95" s="103" t="s">
        <v>376</v>
      </c>
      <c r="BB95" s="10">
        <v>165642</v>
      </c>
      <c r="BE95" s="247"/>
      <c r="BF95" s="249"/>
    </row>
    <row r="96" spans="1:58" ht="12.75">
      <c r="A96" s="3"/>
      <c r="B96" s="12"/>
      <c r="C96" s="3"/>
      <c r="AY96" s="103" t="s">
        <v>157</v>
      </c>
      <c r="AZ96" s="103" t="s">
        <v>158</v>
      </c>
      <c r="BA96" s="103" t="s">
        <v>376</v>
      </c>
      <c r="BB96" s="10">
        <v>208351</v>
      </c>
      <c r="BE96" s="243"/>
      <c r="BF96" s="238"/>
    </row>
    <row r="97" spans="1:58" ht="12.75">
      <c r="A97" s="3"/>
      <c r="B97" s="12"/>
      <c r="C97" s="3"/>
      <c r="AY97" s="103" t="s">
        <v>231</v>
      </c>
      <c r="AZ97" s="103" t="s">
        <v>232</v>
      </c>
      <c r="BA97" s="103" t="s">
        <v>376</v>
      </c>
      <c r="BB97" s="10">
        <v>203178</v>
      </c>
      <c r="BE97" s="243"/>
      <c r="BF97" s="238"/>
    </row>
    <row r="98" spans="1:58" ht="12.75">
      <c r="A98" s="3"/>
      <c r="B98" s="12"/>
      <c r="C98" s="3"/>
      <c r="AY98" s="103" t="s">
        <v>82</v>
      </c>
      <c r="AZ98" s="103" t="s">
        <v>437</v>
      </c>
      <c r="BA98" s="103" t="s">
        <v>376</v>
      </c>
      <c r="BB98" s="10">
        <v>214052</v>
      </c>
      <c r="BE98" s="248"/>
      <c r="BF98" s="241"/>
    </row>
    <row r="99" spans="1:58" ht="12.75">
      <c r="A99" s="3"/>
      <c r="B99" s="12"/>
      <c r="C99" s="3"/>
      <c r="AY99" s="103" t="s">
        <v>205</v>
      </c>
      <c r="AZ99" s="103" t="s">
        <v>206</v>
      </c>
      <c r="BA99" s="103" t="s">
        <v>556</v>
      </c>
      <c r="BB99" s="10">
        <v>795503</v>
      </c>
      <c r="BE99" s="70"/>
      <c r="BF99" s="249"/>
    </row>
    <row r="100" spans="1:58" ht="12.75">
      <c r="A100" s="3"/>
      <c r="B100" s="12"/>
      <c r="C100" s="3"/>
      <c r="AY100" s="103" t="s">
        <v>226</v>
      </c>
      <c r="AZ100" s="103" t="s">
        <v>481</v>
      </c>
      <c r="BA100" s="103" t="s">
        <v>376</v>
      </c>
      <c r="BB100" s="10">
        <v>648340</v>
      </c>
      <c r="BE100" s="70"/>
      <c r="BF100" s="249"/>
    </row>
    <row r="101" spans="51:58" ht="12.75">
      <c r="AY101" s="103" t="s">
        <v>51</v>
      </c>
      <c r="AZ101" s="103" t="s">
        <v>52</v>
      </c>
      <c r="BA101" s="103" t="s">
        <v>376</v>
      </c>
      <c r="BB101" s="10">
        <v>320818</v>
      </c>
      <c r="BE101" s="237"/>
      <c r="BF101" s="238"/>
    </row>
    <row r="102" spans="51:58" ht="12.75">
      <c r="AY102" s="103" t="s">
        <v>88</v>
      </c>
      <c r="AZ102" s="103" t="s">
        <v>89</v>
      </c>
      <c r="BA102" s="103" t="s">
        <v>376</v>
      </c>
      <c r="BB102" s="10">
        <v>339920</v>
      </c>
      <c r="BE102" s="237"/>
      <c r="BF102" s="238"/>
    </row>
    <row r="103" spans="51:58" ht="12.75">
      <c r="AY103" s="103" t="s">
        <v>177</v>
      </c>
      <c r="AZ103" s="103" t="s">
        <v>468</v>
      </c>
      <c r="BA103" s="103" t="s">
        <v>376</v>
      </c>
      <c r="BB103" s="10">
        <v>656875</v>
      </c>
      <c r="BE103" s="70"/>
      <c r="BF103" s="239"/>
    </row>
    <row r="104" spans="51:58" ht="12.75">
      <c r="AY104" s="103" t="s">
        <v>114</v>
      </c>
      <c r="AZ104" s="103" t="s">
        <v>447</v>
      </c>
      <c r="BA104" s="103" t="s">
        <v>376</v>
      </c>
      <c r="BB104" s="10">
        <v>236592</v>
      </c>
      <c r="BF104" s="252"/>
    </row>
    <row r="105" spans="51:58" ht="12.75">
      <c r="AY105" s="103" t="s">
        <v>259</v>
      </c>
      <c r="AZ105" s="103" t="s">
        <v>490</v>
      </c>
      <c r="BA105" s="103" t="s">
        <v>556</v>
      </c>
      <c r="BB105" s="10">
        <v>671572</v>
      </c>
      <c r="BE105" s="237"/>
      <c r="BF105" s="238"/>
    </row>
    <row r="106" spans="51:58" ht="12.75">
      <c r="AY106" s="103" t="s">
        <v>239</v>
      </c>
      <c r="AZ106" s="103" t="s">
        <v>240</v>
      </c>
      <c r="BA106" s="103" t="s">
        <v>556</v>
      </c>
      <c r="BB106" s="10">
        <v>177882</v>
      </c>
      <c r="BF106" s="252"/>
    </row>
    <row r="107" spans="51:58" ht="12.75">
      <c r="AY107" s="103" t="s">
        <v>91</v>
      </c>
      <c r="AZ107" s="103" t="s">
        <v>440</v>
      </c>
      <c r="BA107" s="103" t="s">
        <v>376</v>
      </c>
      <c r="BB107" s="10">
        <v>274443</v>
      </c>
      <c r="BF107" s="252"/>
    </row>
    <row r="108" spans="51:58" ht="12.75">
      <c r="AY108" s="103" t="s">
        <v>95</v>
      </c>
      <c r="AZ108" s="103" t="s">
        <v>442</v>
      </c>
      <c r="BA108" s="103" t="s">
        <v>376</v>
      </c>
      <c r="BB108" s="10">
        <v>213174</v>
      </c>
      <c r="BE108" s="70"/>
      <c r="BF108" s="239"/>
    </row>
    <row r="109" spans="51:58" ht="12.75">
      <c r="AY109" s="103" t="s">
        <v>179</v>
      </c>
      <c r="AZ109" s="103" t="s">
        <v>180</v>
      </c>
      <c r="BA109" s="103" t="s">
        <v>376</v>
      </c>
      <c r="BB109" s="10">
        <v>278950</v>
      </c>
      <c r="BE109" s="237"/>
      <c r="BF109" s="238"/>
    </row>
    <row r="110" spans="51:58" ht="12.75">
      <c r="AY110" s="103" t="s">
        <v>273</v>
      </c>
      <c r="AZ110" s="103" t="s">
        <v>274</v>
      </c>
      <c r="BA110" s="103" t="s">
        <v>376</v>
      </c>
      <c r="BB110" s="10">
        <v>133304</v>
      </c>
      <c r="BE110" s="70"/>
      <c r="BF110" s="249"/>
    </row>
    <row r="111" spans="51:58" ht="12.75">
      <c r="AY111" s="103" t="s">
        <v>155</v>
      </c>
      <c r="AZ111" s="103" t="s">
        <v>462</v>
      </c>
      <c r="BA111" s="103" t="s">
        <v>376</v>
      </c>
      <c r="BB111" s="10">
        <v>197060</v>
      </c>
      <c r="BE111" s="70"/>
      <c r="BF111" s="239"/>
    </row>
    <row r="112" spans="51:58" ht="12.75">
      <c r="AY112" s="103" t="s">
        <v>100</v>
      </c>
      <c r="AZ112" s="103" t="s">
        <v>101</v>
      </c>
      <c r="BA112" s="103" t="s">
        <v>376</v>
      </c>
      <c r="BB112" s="10">
        <v>253140</v>
      </c>
      <c r="BE112" s="250"/>
      <c r="BF112" s="249"/>
    </row>
    <row r="113" spans="51:58" ht="12.75">
      <c r="AY113" s="103" t="s">
        <v>92</v>
      </c>
      <c r="AZ113" s="103" t="s">
        <v>93</v>
      </c>
      <c r="BA113" s="103" t="s">
        <v>376</v>
      </c>
      <c r="BB113" s="10">
        <v>240983</v>
      </c>
      <c r="BE113" s="70"/>
      <c r="BF113" s="241"/>
    </row>
    <row r="114" spans="51:58" ht="12.75">
      <c r="AY114" s="103" t="s">
        <v>228</v>
      </c>
      <c r="AZ114" s="103" t="s">
        <v>483</v>
      </c>
      <c r="BA114" s="103" t="s">
        <v>376</v>
      </c>
      <c r="BB114" s="10">
        <v>340451</v>
      </c>
      <c r="BF114" s="241"/>
    </row>
    <row r="115" spans="51:58" ht="12.75">
      <c r="AY115" s="103" t="s">
        <v>189</v>
      </c>
      <c r="AZ115" s="103" t="s">
        <v>190</v>
      </c>
      <c r="BA115" s="103" t="s">
        <v>376</v>
      </c>
      <c r="BB115" s="10">
        <v>280673</v>
      </c>
      <c r="BE115" s="248"/>
      <c r="BF115" s="241"/>
    </row>
    <row r="116" spans="51:58" ht="12.75">
      <c r="AY116" s="103" t="s">
        <v>169</v>
      </c>
      <c r="AZ116" s="103" t="s">
        <v>170</v>
      </c>
      <c r="BA116" s="103" t="s">
        <v>376</v>
      </c>
      <c r="BB116" s="10">
        <v>565874</v>
      </c>
      <c r="BE116" s="70"/>
      <c r="BF116" s="239"/>
    </row>
    <row r="117" spans="51:58" ht="12.75">
      <c r="AY117" s="103" t="s">
        <v>152</v>
      </c>
      <c r="AZ117" s="103" t="s">
        <v>461</v>
      </c>
      <c r="BA117" s="103" t="s">
        <v>556</v>
      </c>
      <c r="BB117" s="10">
        <v>295379</v>
      </c>
      <c r="BE117" s="237"/>
      <c r="BF117" s="238"/>
    </row>
    <row r="118" spans="51:58" ht="12.75">
      <c r="AY118" s="103" t="s">
        <v>56</v>
      </c>
      <c r="AZ118" s="103" t="s">
        <v>57</v>
      </c>
      <c r="BA118" s="103" t="s">
        <v>376</v>
      </c>
      <c r="BB118" s="10">
        <v>217094</v>
      </c>
      <c r="BE118" s="70"/>
      <c r="BF118" s="239"/>
    </row>
    <row r="119" spans="51:58" ht="12.75">
      <c r="AY119" s="103" t="s">
        <v>268</v>
      </c>
      <c r="AZ119" s="103" t="s">
        <v>493</v>
      </c>
      <c r="BA119" s="103" t="s">
        <v>376</v>
      </c>
      <c r="BB119" s="10">
        <v>538131</v>
      </c>
      <c r="BE119" s="70"/>
      <c r="BF119" s="239"/>
    </row>
    <row r="120" spans="51:58" ht="12.75">
      <c r="AY120" s="103" t="s">
        <v>150</v>
      </c>
      <c r="AZ120" s="103" t="s">
        <v>151</v>
      </c>
      <c r="BA120" s="103" t="s">
        <v>556</v>
      </c>
      <c r="BB120" s="10">
        <v>389725</v>
      </c>
      <c r="BE120" s="70"/>
      <c r="BF120" s="239"/>
    </row>
    <row r="121" spans="51:58" ht="12.75">
      <c r="AY121" s="103" t="s">
        <v>212</v>
      </c>
      <c r="AZ121" s="103" t="s">
        <v>213</v>
      </c>
      <c r="BA121" s="103" t="s">
        <v>556</v>
      </c>
      <c r="BB121" s="10">
        <v>356812</v>
      </c>
      <c r="BE121" s="237"/>
      <c r="BF121" s="238"/>
    </row>
    <row r="122" spans="51:58" ht="12.75">
      <c r="AY122" s="103" t="s">
        <v>60</v>
      </c>
      <c r="AZ122" s="103" t="s">
        <v>61</v>
      </c>
      <c r="BA122" s="103" t="s">
        <v>376</v>
      </c>
      <c r="BB122" s="10">
        <v>256321</v>
      </c>
      <c r="BE122" s="70"/>
      <c r="BF122" s="249"/>
    </row>
    <row r="123" spans="51:58" ht="12.75">
      <c r="AY123" s="103" t="s">
        <v>234</v>
      </c>
      <c r="AZ123" s="103" t="s">
        <v>485</v>
      </c>
      <c r="BA123" s="103" t="s">
        <v>556</v>
      </c>
      <c r="BB123" s="10">
        <v>615835</v>
      </c>
      <c r="BF123" s="252"/>
    </row>
    <row r="124" spans="51:58" ht="12.75">
      <c r="AY124" s="103" t="s">
        <v>130</v>
      </c>
      <c r="AZ124" s="103" t="s">
        <v>455</v>
      </c>
      <c r="BA124" s="103" t="s">
        <v>376</v>
      </c>
      <c r="BB124" s="10">
        <v>150179</v>
      </c>
      <c r="BF124" s="252"/>
    </row>
    <row r="125" spans="51:58" ht="12.75">
      <c r="AY125" s="103" t="s">
        <v>253</v>
      </c>
      <c r="AZ125" s="103" t="s">
        <v>254</v>
      </c>
      <c r="BA125" s="103" t="s">
        <v>376</v>
      </c>
      <c r="BB125" s="10">
        <v>420503</v>
      </c>
      <c r="BE125" s="70"/>
      <c r="BF125" s="249"/>
    </row>
    <row r="126" spans="51:58" ht="12.75">
      <c r="AY126" s="103" t="s">
        <v>134</v>
      </c>
      <c r="AZ126" s="103" t="s">
        <v>457</v>
      </c>
      <c r="BA126" s="103" t="s">
        <v>376</v>
      </c>
      <c r="BB126" s="10">
        <v>263936</v>
      </c>
      <c r="BE126" s="70"/>
      <c r="BF126" s="239"/>
    </row>
    <row r="127" spans="51:58" ht="12.75">
      <c r="AY127" s="103" t="s">
        <v>142</v>
      </c>
      <c r="AZ127" s="103" t="s">
        <v>143</v>
      </c>
      <c r="BA127" s="103" t="s">
        <v>376</v>
      </c>
      <c r="BB127" s="10">
        <v>308593</v>
      </c>
      <c r="BF127" s="252"/>
    </row>
    <row r="128" spans="51:58" ht="12.75">
      <c r="AY128" s="103" t="s">
        <v>94</v>
      </c>
      <c r="AZ128" s="103" t="s">
        <v>441</v>
      </c>
      <c r="BA128" s="103" t="s">
        <v>556</v>
      </c>
      <c r="BB128" s="10">
        <v>298190</v>
      </c>
      <c r="BE128" s="250"/>
      <c r="BF128" s="249"/>
    </row>
    <row r="129" spans="51:58" ht="12.75">
      <c r="AY129" s="103" t="s">
        <v>85</v>
      </c>
      <c r="AZ129" s="103" t="s">
        <v>438</v>
      </c>
      <c r="BA129" s="103" t="s">
        <v>376</v>
      </c>
      <c r="BB129" s="10">
        <v>191885</v>
      </c>
      <c r="BE129" s="70"/>
      <c r="BF129" s="249"/>
    </row>
    <row r="130" spans="51:58" ht="12.75">
      <c r="AY130" s="103" t="s">
        <v>233</v>
      </c>
      <c r="AZ130" s="103" t="s">
        <v>484</v>
      </c>
      <c r="BA130" s="103" t="s">
        <v>376</v>
      </c>
      <c r="BB130" s="10">
        <v>268223</v>
      </c>
      <c r="BE130" s="70"/>
      <c r="BF130" s="249"/>
    </row>
    <row r="131" spans="51:58" ht="12.75">
      <c r="AY131" s="103" t="s">
        <v>245</v>
      </c>
      <c r="AZ131" s="103" t="s">
        <v>246</v>
      </c>
      <c r="BA131" s="103" t="s">
        <v>556</v>
      </c>
      <c r="BB131" s="10">
        <v>616983</v>
      </c>
      <c r="BE131" s="247"/>
      <c r="BF131" s="249"/>
    </row>
    <row r="132" spans="51:58" ht="12.75">
      <c r="AY132" s="103" t="s">
        <v>131</v>
      </c>
      <c r="AZ132" s="103" t="s">
        <v>456</v>
      </c>
      <c r="BA132" s="103" t="s">
        <v>376</v>
      </c>
      <c r="BB132" s="10">
        <v>283991</v>
      </c>
      <c r="BE132" s="247"/>
      <c r="BF132" s="249"/>
    </row>
    <row r="133" spans="51:58" ht="12.75">
      <c r="AY133" s="103" t="s">
        <v>216</v>
      </c>
      <c r="AZ133" s="103" t="s">
        <v>217</v>
      </c>
      <c r="BA133" s="103" t="s">
        <v>376</v>
      </c>
      <c r="BB133" s="10">
        <v>1156805</v>
      </c>
      <c r="BE133" s="247"/>
      <c r="BF133" s="251"/>
    </row>
    <row r="134" spans="51:58" ht="12.75">
      <c r="AY134" s="103" t="s">
        <v>156</v>
      </c>
      <c r="AZ134" s="103" t="s">
        <v>463</v>
      </c>
      <c r="BA134" s="103" t="s">
        <v>376</v>
      </c>
      <c r="BB134" s="10">
        <v>390971</v>
      </c>
      <c r="BE134" s="243"/>
      <c r="BF134" s="238"/>
    </row>
    <row r="135" spans="51:58" ht="12.75">
      <c r="AY135" s="103" t="s">
        <v>121</v>
      </c>
      <c r="AZ135" s="103" t="s">
        <v>122</v>
      </c>
      <c r="BA135" s="103" t="s">
        <v>555</v>
      </c>
      <c r="BB135" s="10">
        <v>218182</v>
      </c>
      <c r="BE135" s="250"/>
      <c r="BF135" s="249"/>
    </row>
    <row r="136" spans="51:58" ht="12.75">
      <c r="AY136" s="103" t="s">
        <v>148</v>
      </c>
      <c r="AZ136" s="103" t="s">
        <v>459</v>
      </c>
      <c r="BA136" s="103" t="s">
        <v>556</v>
      </c>
      <c r="BB136" s="10">
        <v>236598</v>
      </c>
      <c r="BE136" s="237"/>
      <c r="BF136" s="238"/>
    </row>
    <row r="137" spans="51:58" ht="12.75">
      <c r="AY137" s="103" t="s">
        <v>160</v>
      </c>
      <c r="AZ137" s="103" t="s">
        <v>465</v>
      </c>
      <c r="BA137" s="103" t="s">
        <v>556</v>
      </c>
      <c r="BB137" s="10">
        <v>165993</v>
      </c>
      <c r="BF137" s="252"/>
    </row>
    <row r="138" spans="51:58" ht="12.75">
      <c r="AY138" s="103" t="s">
        <v>54</v>
      </c>
      <c r="AZ138" s="103" t="s">
        <v>55</v>
      </c>
      <c r="BA138" s="103" t="s">
        <v>376</v>
      </c>
      <c r="BB138" s="10">
        <v>145889</v>
      </c>
      <c r="BE138" s="70"/>
      <c r="BF138" s="239"/>
    </row>
    <row r="139" spans="51:58" ht="12.75">
      <c r="AY139" s="103" t="s">
        <v>75</v>
      </c>
      <c r="AZ139" s="103" t="s">
        <v>432</v>
      </c>
      <c r="BA139" s="103" t="s">
        <v>376</v>
      </c>
      <c r="BB139" s="10">
        <v>267393</v>
      </c>
      <c r="BE139" s="237"/>
      <c r="BF139" s="238"/>
    </row>
    <row r="140" spans="51:58" ht="12.75">
      <c r="AY140" s="103" t="s">
        <v>201</v>
      </c>
      <c r="AZ140" s="103" t="s">
        <v>202</v>
      </c>
      <c r="BA140" s="103" t="s">
        <v>556</v>
      </c>
      <c r="BB140" s="10">
        <v>232551</v>
      </c>
      <c r="BE140" s="70"/>
      <c r="BF140" s="239"/>
    </row>
    <row r="141" spans="51:58" ht="12.75">
      <c r="AY141" s="103" t="s">
        <v>167</v>
      </c>
      <c r="AZ141" s="103" t="s">
        <v>168</v>
      </c>
      <c r="BA141" s="103" t="s">
        <v>556</v>
      </c>
      <c r="BB141" s="10">
        <v>350958</v>
      </c>
      <c r="BE141" s="70"/>
      <c r="BF141" s="239"/>
    </row>
    <row r="142" spans="51:58" ht="12.75">
      <c r="AY142" s="103" t="s">
        <v>153</v>
      </c>
      <c r="AZ142" s="103" t="s">
        <v>154</v>
      </c>
      <c r="BA142" s="103" t="s">
        <v>376</v>
      </c>
      <c r="BB142" s="10">
        <v>265654</v>
      </c>
      <c r="BE142" s="70"/>
      <c r="BF142" s="241"/>
    </row>
    <row r="143" spans="51:58" ht="12.75">
      <c r="AY143" s="103" t="s">
        <v>181</v>
      </c>
      <c r="AZ143" s="103" t="s">
        <v>182</v>
      </c>
      <c r="BA143" s="103" t="s">
        <v>376</v>
      </c>
      <c r="BB143" s="10">
        <v>284466</v>
      </c>
      <c r="BE143" s="70"/>
      <c r="BF143" s="249"/>
    </row>
    <row r="144" spans="51:58" ht="12.75">
      <c r="AY144" s="103" t="s">
        <v>146</v>
      </c>
      <c r="AZ144" s="103" t="s">
        <v>147</v>
      </c>
      <c r="BA144" s="103" t="s">
        <v>376</v>
      </c>
      <c r="BB144" s="10">
        <v>319933</v>
      </c>
      <c r="BE144" s="70"/>
      <c r="BF144" s="241"/>
    </row>
    <row r="145" spans="51:58" ht="12.75">
      <c r="AY145" s="103" t="s">
        <v>111</v>
      </c>
      <c r="AZ145" s="103" t="s">
        <v>112</v>
      </c>
      <c r="BA145" s="103" t="s">
        <v>376</v>
      </c>
      <c r="BB145" s="10">
        <v>192336</v>
      </c>
      <c r="BE145" s="248"/>
      <c r="BF145" s="249"/>
    </row>
    <row r="146" spans="51:58" ht="12.75">
      <c r="AY146" s="103" t="s">
        <v>237</v>
      </c>
      <c r="AZ146" s="103" t="s">
        <v>238</v>
      </c>
      <c r="BA146" s="103" t="s">
        <v>376</v>
      </c>
      <c r="BB146" s="10">
        <v>548313</v>
      </c>
      <c r="BF146" s="252"/>
    </row>
    <row r="147" spans="51:58" ht="12.75">
      <c r="AY147" s="103" t="s">
        <v>247</v>
      </c>
      <c r="AZ147" s="103" t="s">
        <v>248</v>
      </c>
      <c r="BA147" s="103" t="s">
        <v>376</v>
      </c>
      <c r="BB147" s="10">
        <v>287229</v>
      </c>
      <c r="BF147" s="252"/>
    </row>
    <row r="148" spans="51:58" ht="12.75">
      <c r="AY148" s="103" t="s">
        <v>222</v>
      </c>
      <c r="AZ148" s="103" t="s">
        <v>479</v>
      </c>
      <c r="BA148" s="103" t="s">
        <v>556</v>
      </c>
      <c r="BB148" s="10">
        <v>707573</v>
      </c>
      <c r="BF148" s="252"/>
    </row>
    <row r="149" spans="51:58" ht="12.75">
      <c r="AY149" s="103" t="s">
        <v>218</v>
      </c>
      <c r="AZ149" s="103" t="s">
        <v>219</v>
      </c>
      <c r="BA149" s="103" t="s">
        <v>556</v>
      </c>
      <c r="BB149" s="10">
        <v>825533</v>
      </c>
      <c r="BE149" s="248"/>
      <c r="BF149" s="249"/>
    </row>
    <row r="150" spans="51:58" ht="12.75">
      <c r="AY150" s="103" t="s">
        <v>196</v>
      </c>
      <c r="AZ150" s="103" t="s">
        <v>197</v>
      </c>
      <c r="BA150" s="103" t="s">
        <v>376</v>
      </c>
      <c r="BB150" s="10">
        <v>259945</v>
      </c>
      <c r="BF150" s="252"/>
    </row>
    <row r="151" spans="51:58" ht="12.75">
      <c r="AY151" s="103" t="s">
        <v>138</v>
      </c>
      <c r="AZ151" s="103" t="s">
        <v>139</v>
      </c>
      <c r="BA151" s="103" t="s">
        <v>376</v>
      </c>
      <c r="BB151" s="10">
        <v>246573</v>
      </c>
      <c r="BF151" s="252"/>
    </row>
    <row r="152" spans="51:58" ht="12.75">
      <c r="AY152" s="103" t="s">
        <v>266</v>
      </c>
      <c r="AZ152" s="103" t="s">
        <v>267</v>
      </c>
      <c r="BA152" s="103" t="s">
        <v>556</v>
      </c>
      <c r="BB152" s="10">
        <v>462395</v>
      </c>
      <c r="BE152" s="250"/>
      <c r="BF152" s="239"/>
    </row>
    <row r="153" spans="51:58" ht="12.75">
      <c r="AY153" s="103" t="s">
        <v>191</v>
      </c>
      <c r="AZ153" s="103" t="s">
        <v>192</v>
      </c>
      <c r="BA153" s="103" t="s">
        <v>376</v>
      </c>
      <c r="BB153" s="10">
        <v>332176</v>
      </c>
      <c r="BF153" s="252"/>
    </row>
    <row r="154" spans="51:58" ht="12.75">
      <c r="AY154" s="103" t="s">
        <v>161</v>
      </c>
      <c r="AZ154" s="103" t="s">
        <v>466</v>
      </c>
      <c r="BA154" s="103" t="s">
        <v>376</v>
      </c>
      <c r="BB154" s="10">
        <v>246213</v>
      </c>
      <c r="BE154" s="237"/>
      <c r="BF154" s="238"/>
    </row>
    <row r="155" spans="51:58" ht="12.75">
      <c r="AY155" s="103" t="s">
        <v>235</v>
      </c>
      <c r="AZ155" s="103" t="s">
        <v>236</v>
      </c>
      <c r="BA155" s="103" t="s">
        <v>556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593</v>
      </c>
      <c r="B3" s="56" t="s">
        <v>485</v>
      </c>
      <c r="C3" s="56" t="s">
        <v>24</v>
      </c>
    </row>
    <row r="4" spans="1:2" ht="12.75">
      <c r="A4" s="76">
        <v>1</v>
      </c>
      <c r="B4" s="78" t="s">
        <v>234</v>
      </c>
    </row>
    <row r="5" ht="12.75">
      <c r="A5" s="280" t="s">
        <v>593</v>
      </c>
    </row>
    <row r="6" ht="12.75">
      <c r="A6" s="280" t="s">
        <v>652</v>
      </c>
    </row>
    <row r="7" ht="12.75">
      <c r="A7" s="280" t="s">
        <v>636</v>
      </c>
    </row>
    <row r="8" ht="12.75">
      <c r="A8" s="280" t="s">
        <v>579</v>
      </c>
    </row>
    <row r="9" ht="12.75">
      <c r="A9" s="280" t="s">
        <v>584</v>
      </c>
    </row>
    <row r="10" ht="12.75">
      <c r="A10" s="280" t="s">
        <v>602</v>
      </c>
    </row>
    <row r="11" ht="12.75">
      <c r="A11" s="280" t="s">
        <v>597</v>
      </c>
    </row>
    <row r="12" ht="12.75">
      <c r="A12" s="280" t="s">
        <v>609</v>
      </c>
    </row>
    <row r="13" ht="12.75">
      <c r="A13" s="280" t="s">
        <v>608</v>
      </c>
    </row>
    <row r="14" ht="12.75">
      <c r="A14" s="280" t="s">
        <v>640</v>
      </c>
    </row>
    <row r="15" ht="12.75">
      <c r="A15" s="280" t="s">
        <v>565</v>
      </c>
    </row>
    <row r="16" ht="12.75">
      <c r="A16" s="280" t="s">
        <v>583</v>
      </c>
    </row>
    <row r="17" ht="12.75">
      <c r="A17" s="280" t="s">
        <v>585</v>
      </c>
    </row>
    <row r="18" ht="12.75">
      <c r="A18" s="280" t="s">
        <v>666</v>
      </c>
    </row>
    <row r="19" ht="12.75">
      <c r="A19" s="280" t="s">
        <v>573</v>
      </c>
    </row>
    <row r="20" ht="12.75">
      <c r="A20" s="280" t="s">
        <v>572</v>
      </c>
    </row>
    <row r="21" ht="12.75">
      <c r="A21" s="280" t="s">
        <v>629</v>
      </c>
    </row>
    <row r="22" ht="12.75">
      <c r="A22" s="280" t="s">
        <v>622</v>
      </c>
    </row>
    <row r="23" ht="12.75">
      <c r="A23" s="280" t="s">
        <v>616</v>
      </c>
    </row>
    <row r="24" ht="12.75">
      <c r="A24" s="280" t="s">
        <v>603</v>
      </c>
    </row>
    <row r="25" ht="12.75">
      <c r="A25" s="280" t="s">
        <v>615</v>
      </c>
    </row>
    <row r="26" ht="12.75">
      <c r="A26" s="280" t="s">
        <v>606</v>
      </c>
    </row>
    <row r="27" ht="12.75">
      <c r="A27" s="280" t="s">
        <v>570</v>
      </c>
    </row>
    <row r="28" ht="12.75">
      <c r="A28" s="280" t="s">
        <v>607</v>
      </c>
    </row>
    <row r="29" ht="12.75">
      <c r="A29" s="280" t="s">
        <v>562</v>
      </c>
    </row>
    <row r="30" ht="12.75">
      <c r="A30" s="280" t="s">
        <v>631</v>
      </c>
    </row>
    <row r="31" ht="12.75">
      <c r="A31" s="280" t="s">
        <v>614</v>
      </c>
    </row>
    <row r="32" ht="12.75">
      <c r="A32" s="280" t="s">
        <v>578</v>
      </c>
    </row>
    <row r="33" ht="12.75">
      <c r="A33" s="280" t="s">
        <v>613</v>
      </c>
    </row>
    <row r="34" ht="12.75">
      <c r="A34" s="280" t="s">
        <v>647</v>
      </c>
    </row>
    <row r="35" ht="12.75">
      <c r="A35" s="280" t="s">
        <v>642</v>
      </c>
    </row>
    <row r="36" ht="12.75">
      <c r="A36" s="280" t="s">
        <v>610</v>
      </c>
    </row>
    <row r="37" ht="12.75">
      <c r="A37" s="280" t="s">
        <v>641</v>
      </c>
    </row>
    <row r="38" ht="12.75">
      <c r="A38" s="280" t="s">
        <v>655</v>
      </c>
    </row>
    <row r="39" ht="12.75">
      <c r="A39" s="280" t="s">
        <v>650</v>
      </c>
    </row>
    <row r="40" ht="12.75">
      <c r="A40" s="280" t="s">
        <v>643</v>
      </c>
    </row>
    <row r="41" ht="12.75">
      <c r="A41" s="280" t="s">
        <v>637</v>
      </c>
    </row>
    <row r="42" ht="12.75">
      <c r="A42" s="280" t="s">
        <v>599</v>
      </c>
    </row>
    <row r="43" ht="12.75">
      <c r="A43" s="280" t="s">
        <v>566</v>
      </c>
    </row>
    <row r="44" ht="12.75">
      <c r="A44" s="280" t="s">
        <v>627</v>
      </c>
    </row>
    <row r="45" ht="12.75">
      <c r="A45" s="280" t="s">
        <v>569</v>
      </c>
    </row>
    <row r="46" ht="12.75">
      <c r="A46" s="280" t="s">
        <v>624</v>
      </c>
    </row>
    <row r="47" ht="12.75">
      <c r="A47" s="280" t="s">
        <v>571</v>
      </c>
    </row>
    <row r="48" ht="12.75">
      <c r="A48" s="280" t="s">
        <v>617</v>
      </c>
    </row>
    <row r="49" ht="12.75">
      <c r="A49" s="280" t="s">
        <v>611</v>
      </c>
    </row>
    <row r="50" ht="12.75">
      <c r="A50" s="280" t="s">
        <v>568</v>
      </c>
    </row>
    <row r="51" ht="12.75">
      <c r="A51" s="280" t="s">
        <v>605</v>
      </c>
    </row>
    <row r="52" ht="12.75">
      <c r="A52" s="280" t="s">
        <v>588</v>
      </c>
    </row>
    <row r="53" ht="12.75">
      <c r="A53" s="280" t="s">
        <v>563</v>
      </c>
    </row>
    <row r="54" ht="12.75">
      <c r="A54" s="280" t="s">
        <v>625</v>
      </c>
    </row>
    <row r="55" ht="12.75">
      <c r="A55" s="280" t="s">
        <v>648</v>
      </c>
    </row>
    <row r="56" ht="12.75">
      <c r="A56" s="280" t="s">
        <v>620</v>
      </c>
    </row>
    <row r="57" ht="12.75">
      <c r="A57" s="280" t="s">
        <v>604</v>
      </c>
    </row>
    <row r="58" ht="12.75">
      <c r="A58" s="280" t="s">
        <v>594</v>
      </c>
    </row>
    <row r="59" ht="12.75">
      <c r="A59" s="280" t="s">
        <v>598</v>
      </c>
    </row>
    <row r="60" ht="12.75">
      <c r="A60" s="280" t="s">
        <v>592</v>
      </c>
    </row>
    <row r="61" ht="12.75">
      <c r="A61" s="280" t="s">
        <v>582</v>
      </c>
    </row>
    <row r="62" ht="12.75">
      <c r="A62" s="280" t="s">
        <v>621</v>
      </c>
    </row>
    <row r="63" ht="12.75">
      <c r="A63" s="280" t="s">
        <v>633</v>
      </c>
    </row>
    <row r="64" ht="12.75">
      <c r="A64" s="280" t="s">
        <v>635</v>
      </c>
    </row>
    <row r="65" ht="12.75">
      <c r="A65" s="280" t="s">
        <v>595</v>
      </c>
    </row>
    <row r="66" ht="12.75">
      <c r="A66" s="280" t="s">
        <v>649</v>
      </c>
    </row>
    <row r="67" ht="12.75">
      <c r="A67" s="280" t="s">
        <v>644</v>
      </c>
    </row>
    <row r="68" ht="12.75">
      <c r="A68" s="280" t="s">
        <v>645</v>
      </c>
    </row>
    <row r="69" ht="12.75">
      <c r="A69" s="280" t="s">
        <v>586</v>
      </c>
    </row>
    <row r="70" ht="12.75">
      <c r="A70" s="280" t="s">
        <v>646</v>
      </c>
    </row>
    <row r="71" ht="12.75">
      <c r="A71" s="280" t="s">
        <v>618</v>
      </c>
    </row>
    <row r="72" ht="12.75">
      <c r="A72" s="280" t="s">
        <v>580</v>
      </c>
    </row>
    <row r="73" ht="12.75">
      <c r="A73" s="280" t="s">
        <v>612</v>
      </c>
    </row>
    <row r="74" ht="12.75">
      <c r="A74" s="280" t="s">
        <v>632</v>
      </c>
    </row>
    <row r="75" ht="12.75">
      <c r="A75" s="280" t="s">
        <v>576</v>
      </c>
    </row>
    <row r="76" ht="12.75">
      <c r="A76" s="280" t="s">
        <v>600</v>
      </c>
    </row>
    <row r="77" ht="12.75">
      <c r="A77" s="280" t="s">
        <v>654</v>
      </c>
    </row>
    <row r="78" ht="12.75">
      <c r="A78" s="280" t="s">
        <v>639</v>
      </c>
    </row>
    <row r="79" ht="12.75">
      <c r="A79" s="280" t="s">
        <v>619</v>
      </c>
    </row>
    <row r="80" ht="12.75">
      <c r="A80" s="280" t="s">
        <v>601</v>
      </c>
    </row>
    <row r="81" ht="12.75">
      <c r="A81" s="280" t="s">
        <v>634</v>
      </c>
    </row>
    <row r="82" ht="12.75">
      <c r="A82" s="280" t="s">
        <v>577</v>
      </c>
    </row>
    <row r="83" ht="12.75">
      <c r="A83" s="280" t="s">
        <v>630</v>
      </c>
    </row>
    <row r="84" ht="12.75">
      <c r="A84" s="280" t="s">
        <v>575</v>
      </c>
    </row>
    <row r="85" ht="12.75">
      <c r="A85" s="280" t="s">
        <v>651</v>
      </c>
    </row>
    <row r="86" ht="12.75">
      <c r="A86" s="280" t="s">
        <v>587</v>
      </c>
    </row>
    <row r="87" ht="12.75">
      <c r="A87" s="280" t="s">
        <v>623</v>
      </c>
    </row>
    <row r="88" ht="12.75">
      <c r="A88" s="280" t="s">
        <v>628</v>
      </c>
    </row>
    <row r="89" ht="12.75">
      <c r="A89" s="280" t="s">
        <v>564</v>
      </c>
    </row>
    <row r="90" ht="12.75">
      <c r="A90" s="280" t="s">
        <v>574</v>
      </c>
    </row>
    <row r="91" ht="12.75">
      <c r="A91" s="280" t="s">
        <v>638</v>
      </c>
    </row>
    <row r="92" ht="12.75">
      <c r="A92" s="280" t="s">
        <v>581</v>
      </c>
    </row>
    <row r="93" ht="12.75">
      <c r="A93" s="280" t="s">
        <v>626</v>
      </c>
    </row>
    <row r="94" ht="12.75">
      <c r="A94" s="280" t="s">
        <v>591</v>
      </c>
    </row>
    <row r="95" ht="12.75">
      <c r="A95" s="280" t="s">
        <v>590</v>
      </c>
    </row>
    <row r="96" ht="12.75">
      <c r="A96" s="280" t="s">
        <v>596</v>
      </c>
    </row>
    <row r="97" ht="12.75">
      <c r="A97" s="280" t="s">
        <v>653</v>
      </c>
    </row>
    <row r="98" ht="12.75">
      <c r="A98" s="280" t="s">
        <v>589</v>
      </c>
    </row>
    <row r="99" ht="12.75">
      <c r="A99" s="280" t="s">
        <v>567</v>
      </c>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