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<sst xmlns="http://schemas.openxmlformats.org/spreadsheetml/2006/main" count="1987" uniqueCount="660">
  <si>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</si>
  <si>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</si>
  <si>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</si>
  <si>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</si>
  <si>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</si>
  <si>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</si>
  <si>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</si>
  <si>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</si>
  <si>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</si>
  <si>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</si>
  <si>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</si>
  <si>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</si>
  <si>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</si>
  <si>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</si>
  <si>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</si>
  <si>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</si>
  <si>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</si>
  <si>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</si>
  <si>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</si>
  <si>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</si>
  <si>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</si>
  <si>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</si>
  <si>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</si>
  <si>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</si>
  <si>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</si>
  <si>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</si>
  <si>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</si>
  <si>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</si>
  <si>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</si>
  <si>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</si>
  <si>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</si>
  <si>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</si>
  <si>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</si>
  <si>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</si>
  <si>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</si>
  <si>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</si>
  <si>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</si>
  <si>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</si>
  <si>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</si>
  <si>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</si>
  <si>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</si>
  <si>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</si>
  <si>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</si>
  <si>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</si>
  <si>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</si>
  <si>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</si>
  <si>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</si>
  <si>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</si>
  <si>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</si>
  <si>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</si>
  <si>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</si>
  <si>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</si>
  <si>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</si>
  <si>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</si>
  <si>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</si>
  <si>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</si>
  <si>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</si>
  <si>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</si>
  <si>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</si>
  <si>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</si>
  <si>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</si>
  <si>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</si>
  <si>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</si>
  <si>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</si>
  <si>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</si>
  <si>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</si>
  <si>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</si>
  <si>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</si>
  <si>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</si>
  <si>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</si>
  <si>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</si>
  <si>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</si>
  <si>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</si>
  <si>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</si>
  <si>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</si>
  <si>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</si>
  <si>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</si>
  <si>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</si>
  <si>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</si>
  <si>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</si>
  <si>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</si>
  <si>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</si>
  <si>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</si>
  <si>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</si>
  <si>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</si>
  <si>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</si>
  <si>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</si>
  <si>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</si>
  <si>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</si>
  <si>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</si>
  <si>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</si>
  <si>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</si>
  <si>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</si>
  <si>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</si>
  <si>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</si>
  <si>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</si>
  <si>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</si>
  <si>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</si>
  <si>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</si>
  <si>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</si>
  <si>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</si>
  <si>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</si>
  <si>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</si>
  <si>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</si>
  <si>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</si>
  <si>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</si>
  <si>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</si>
  <si>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</si>
  <si>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</si>
  <si>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</si>
  <si>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</si>
  <si>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</si>
  <si>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</si>
  <si>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</si>
  <si>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</si>
  <si>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</si>
  <si>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</si>
  <si>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</si>
  <si>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</si>
  <si>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</si>
  <si>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</si>
  <si>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</si>
  <si>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</si>
  <si>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</si>
  <si>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</si>
  <si>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</si>
  <si>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</si>
  <si>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</si>
  <si>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</si>
  <si>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</si>
  <si>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</si>
  <si>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</si>
  <si>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</si>
  <si>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</si>
  <si>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</si>
  <si>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</si>
  <si>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</si>
  <si>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</si>
  <si>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</si>
  <si>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</si>
  <si>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</si>
  <si>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</si>
  <si>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</si>
  <si>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</si>
  <si>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</si>
  <si>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</si>
  <si>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</si>
  <si>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</si>
  <si>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</si>
  <si>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</si>
  <si>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</si>
  <si>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</si>
  <si>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</si>
  <si>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</si>
  <si>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</si>
  <si>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</si>
  <si>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</si>
  <si>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</si>
  <si>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</si>
  <si>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</si>
  <si>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</si>
  <si>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</si>
  <si>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</si>
  <si>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</si>
  <si>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</si>
  <si>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</si>
  <si>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</si>
  <si>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</si>
  <si>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</si>
  <si>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</si>
  <si>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</si>
  <si>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</si>
  <si>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</si>
  <si>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</si>
  <si>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</si>
  <si>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</si>
  <si>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</si>
  <si>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</si>
  <si>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</si>
  <si>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</si>
  <si>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</si>
  <si>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</si>
  <si>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</si>
  <si>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</si>
  <si>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</si>
  <si>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</si>
  <si>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</si>
  <si>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</si>
  <si>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</si>
  <si>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</si>
  <si>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</si>
  <si>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</si>
  <si>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</si>
  <si>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</si>
  <si>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</si>
  <si>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</si>
  <si>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</si>
  <si>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</si>
  <si>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</si>
  <si>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</si>
  <si>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</si>
  <si>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</si>
  <si>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</si>
  <si>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</si>
  <si>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</si>
  <si>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</si>
  <si>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</si>
  <si>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</si>
  <si>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</si>
  <si>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</si>
  <si>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</si>
  <si>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</si>
  <si>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</si>
  <si>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</si>
  <si>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</si>
  <si>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</si>
  <si>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</si>
  <si>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</si>
  <si>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</si>
  <si>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</si>
  <si>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</si>
  <si>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</si>
  <si>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</si>
  <si>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</si>
  <si>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</si>
  <si>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</si>
  <si>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</si>
  <si>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</si>
  <si>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</si>
  <si>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</si>
  <si>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</si>
  <si>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</si>
  <si>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</si>
  <si>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</si>
  <si>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</si>
  <si>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</si>
  <si>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</si>
  <si>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</si>
  <si>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</si>
  <si>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</si>
  <si>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</si>
  <si>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</si>
  <si>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</si>
  <si>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</si>
  <si>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</si>
  <si>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</si>
  <si>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</si>
  <si>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</si>
  <si>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</si>
  <si>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</si>
  <si>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</si>
  <si>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</si>
  <si>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</si>
  <si>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</si>
  <si>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</si>
  <si>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</si>
  <si>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</si>
  <si>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</si>
  <si>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</si>
  <si>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</si>
  <si>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</si>
  <si>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</si>
  <si>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</si>
  <si>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</si>
  <si>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</si>
  <si>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</si>
  <si>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</si>
  <si>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</si>
  <si>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</si>
  <si>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</si>
  <si>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</si>
  <si>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</si>
  <si>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</si>
  <si>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</si>
  <si>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</si>
  <si>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</si>
  <si>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</si>
  <si>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</si>
  <si>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</si>
  <si>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</si>
  <si>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</si>
  <si>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</si>
  <si>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D82001</t>
  </si>
  <si>
    <t>D82002</t>
  </si>
  <si>
    <t>D82004</t>
  </si>
  <si>
    <t>D82005</t>
  </si>
  <si>
    <t>D82006</t>
  </si>
  <si>
    <t>D82008</t>
  </si>
  <si>
    <t>D82009</t>
  </si>
  <si>
    <t>D82010</t>
  </si>
  <si>
    <t>D82011</t>
  </si>
  <si>
    <t>D82012</t>
  </si>
  <si>
    <t>D82013</t>
  </si>
  <si>
    <t>D82015</t>
  </si>
  <si>
    <t>D82016</t>
  </si>
  <si>
    <t>D82017</t>
  </si>
  <si>
    <t>D82018</t>
  </si>
  <si>
    <t>D82020</t>
  </si>
  <si>
    <t>D82021</t>
  </si>
  <si>
    <t>D82022</t>
  </si>
  <si>
    <t>D82023</t>
  </si>
  <si>
    <t>D82024</t>
  </si>
  <si>
    <t>D82025</t>
  </si>
  <si>
    <t>D82026</t>
  </si>
  <si>
    <t>D82027</t>
  </si>
  <si>
    <t>D82028</t>
  </si>
  <si>
    <t>D82029</t>
  </si>
  <si>
    <t>D82030</t>
  </si>
  <si>
    <t>D82031</t>
  </si>
  <si>
    <t>D82032</t>
  </si>
  <si>
    <t>D82034</t>
  </si>
  <si>
    <t>D82035</t>
  </si>
  <si>
    <t>D82036</t>
  </si>
  <si>
    <t>D82037</t>
  </si>
  <si>
    <t>D82038</t>
  </si>
  <si>
    <t>D82039</t>
  </si>
  <si>
    <t>D82040</t>
  </si>
  <si>
    <t>D82041</t>
  </si>
  <si>
    <t>D82042</t>
  </si>
  <si>
    <t>D82043</t>
  </si>
  <si>
    <t>D82044</t>
  </si>
  <si>
    <t>D82045</t>
  </si>
  <si>
    <t>D82046</t>
  </si>
  <si>
    <t>D82047</t>
  </si>
  <si>
    <t>D82048</t>
  </si>
  <si>
    <t>D82049</t>
  </si>
  <si>
    <t>D82050</t>
  </si>
  <si>
    <t>D82051</t>
  </si>
  <si>
    <t>D82053</t>
  </si>
  <si>
    <t>D82054</t>
  </si>
  <si>
    <t>D82056</t>
  </si>
  <si>
    <t>D82057</t>
  </si>
  <si>
    <t>D82059</t>
  </si>
  <si>
    <t>D82060</t>
  </si>
  <si>
    <t>D82062</t>
  </si>
  <si>
    <t>D82063</t>
  </si>
  <si>
    <t>D82064</t>
  </si>
  <si>
    <t>D82065</t>
  </si>
  <si>
    <t>D82066</t>
  </si>
  <si>
    <t>D82068</t>
  </si>
  <si>
    <t>D82069</t>
  </si>
  <si>
    <t>D82070</t>
  </si>
  <si>
    <t>D82071</t>
  </si>
  <si>
    <t>D82072</t>
  </si>
  <si>
    <t>D82073</t>
  </si>
  <si>
    <t>D82076</t>
  </si>
  <si>
    <t>D82078</t>
  </si>
  <si>
    <t>D82079</t>
  </si>
  <si>
    <t>D82080</t>
  </si>
  <si>
    <t>D82084</t>
  </si>
  <si>
    <t>D82085</t>
  </si>
  <si>
    <t>D82086</t>
  </si>
  <si>
    <t>D82087</t>
  </si>
  <si>
    <t>D82088</t>
  </si>
  <si>
    <t>D82096</t>
  </si>
  <si>
    <t>D82099</t>
  </si>
  <si>
    <t>D82100</t>
  </si>
  <si>
    <t>D82103</t>
  </si>
  <si>
    <t>D82104</t>
  </si>
  <si>
    <t>D82105</t>
  </si>
  <si>
    <t>D82106</t>
  </si>
  <si>
    <t>D82604</t>
  </si>
  <si>
    <t>D82615</t>
  </si>
  <si>
    <t>D82618</t>
  </si>
  <si>
    <t>D82620</t>
  </si>
  <si>
    <t>D82621</t>
  </si>
  <si>
    <t>D82624</t>
  </si>
  <si>
    <t>D82628</t>
  </si>
  <si>
    <t>D82629</t>
  </si>
  <si>
    <t>D82632</t>
  </si>
  <si>
    <t>5CC</t>
  </si>
  <si>
    <t>Y00297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</si>
  <si>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</si>
  <si>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</si>
  <si>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</si>
  <si>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</si>
  <si>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</si>
  <si>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</si>
  <si>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</si>
  <si>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</si>
  <si>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</si>
  <si>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</si>
  <si>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</si>
  <si>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</si>
  <si>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</si>
  <si>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</si>
  <si>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</si>
  <si>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</si>
  <si>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</si>
  <si>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</si>
  <si>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</si>
  <si>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</si>
  <si>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</si>
  <si>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</si>
  <si>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</si>
  <si>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</si>
  <si>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</si>
  <si>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</si>
  <si>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</si>
  <si>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</si>
  <si>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</si>
  <si>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</si>
  <si>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</si>
  <si>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</si>
  <si>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</si>
  <si>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</si>
  <si>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</si>
  <si>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</si>
  <si>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</si>
  <si>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</si>
  <si>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</si>
  <si>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</si>
  <si>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</si>
  <si>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</si>
  <si>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</si>
  <si>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</si>
  <si>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</si>
  <si>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</si>
  <si>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</si>
  <si>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</si>
  <si>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</si>
  <si>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</si>
  <si>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</si>
  <si>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</si>
  <si>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</si>
  <si>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</si>
  <si>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</si>
  <si>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</si>
  <si>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</si>
  <si>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</si>
  <si>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</si>
  <si>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</si>
  <si>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</si>
  <si>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</si>
  <si>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</si>
  <si>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</si>
  <si>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</si>
  <si>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</si>
  <si>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</si>
  <si>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</si>
  <si>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</si>
  <si>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</si>
  <si>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</si>
  <si>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</si>
  <si>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</si>
  <si>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</si>
  <si>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</si>
  <si>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</si>
  <si>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</si>
  <si>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</si>
  <si>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</si>
  <si>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</si>
  <si>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</si>
  <si>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</si>
  <si>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</si>
  <si>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</si>
  <si>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</si>
  <si>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</si>
  <si>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</si>
  <si>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</si>
  <si>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</si>
  <si>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</si>
  <si>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</si>
  <si>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</si>
  <si>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</si>
  <si>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</si>
  <si>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</si>
  <si>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</si>
  <si>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</si>
  <si>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</si>
  <si>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</si>
  <si>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</si>
  <si>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</si>
  <si>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</si>
  <si>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</si>
  <si>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</si>
  <si>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</si>
  <si>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</si>
  <si>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</si>
  <si>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</si>
  <si>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</si>
  <si>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</si>
  <si>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</si>
  <si>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</si>
  <si>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</si>
  <si>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</si>
  <si>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</si>
  <si>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</si>
  <si>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</si>
  <si>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</si>
  <si>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</si>
  <si>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</si>
  <si>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</si>
  <si>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</si>
  <si>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</si>
  <si>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</si>
  <si>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</si>
  <si>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</si>
  <si>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</si>
  <si>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</si>
  <si>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</si>
  <si>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</si>
  <si>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</si>
  <si>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</si>
  <si>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</si>
  <si>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</si>
  <si>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</si>
  <si>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</si>
  <si>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</si>
  <si>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</si>
  <si>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</si>
  <si>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</si>
  <si>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</si>
  <si>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</si>
  <si>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</si>
  <si>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</si>
  <si>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</si>
  <si>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</si>
  <si>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</si>
  <si>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</si>
  <si>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</si>
  <si>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</si>
  <si>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</si>
  <si>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</si>
  <si>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</si>
  <si>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</si>
  <si>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</si>
  <si>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</si>
  <si>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</si>
  <si>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</si>
  <si>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</si>
  <si>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</si>
  <si>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</si>
  <si>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</si>
  <si>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</si>
  <si>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</si>
  <si>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</si>
  <si>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</si>
  <si>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</si>
  <si>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</si>
  <si>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</si>
  <si>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</si>
  <si>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</si>
  <si>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</si>
  <si>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</si>
  <si>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</si>
  <si>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</si>
  <si>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</si>
  <si>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</si>
  <si>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</si>
  <si>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</si>
  <si>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</si>
  <si>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</si>
  <si>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</si>
  <si>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Y03222</t>
  </si>
  <si>
    <t>2010/11</t>
  </si>
  <si>
    <t>2008/09-2010/11</t>
  </si>
  <si>
    <t>2005/06-2010/11</t>
  </si>
  <si>
    <t>(D82001) HOLT MEDICAL PRACTICE</t>
  </si>
  <si>
    <t>(D82002) GROVE SURGERY</t>
  </si>
  <si>
    <t>(D82004) CROMER GROUP PRACTICE</t>
  </si>
  <si>
    <t>(D82005) SHERINGHAM MEDICAL PRACTICE</t>
  </si>
  <si>
    <t>(D82006) CHET VALLEY MEDICAL PRACTICE</t>
  </si>
  <si>
    <t>(D82008) ST. STEPHEN'S GATE MEDICAL PRACTICE</t>
  </si>
  <si>
    <t>(D82009) STALHAM STAITHE SURGERY</t>
  </si>
  <si>
    <t>(D82010) GRIMSTON MEDICAL CENTRE</t>
  </si>
  <si>
    <t>(D82011) CASTLE PARTNERSHIP</t>
  </si>
  <si>
    <t>(D82012) MAGDALEN MEDICAL PRACTICE</t>
  </si>
  <si>
    <t>(D82013) OLD CATTON MEDICAL PRACTICE</t>
  </si>
  <si>
    <t>(D82015) BRIDGE STREET SURGERY</t>
  </si>
  <si>
    <t>(D82016) MARKET SURGERY</t>
  </si>
  <si>
    <t>(D82018) HELLESDON MEDICAL PRACTICE</t>
  </si>
  <si>
    <t>(D82020) ORCHARD SURGERY</t>
  </si>
  <si>
    <t>(D82021) HUNSTANTON SURGERY</t>
  </si>
  <si>
    <t>(D82022) LAWNS PRACTICE</t>
  </si>
  <si>
    <t>(D82023) ROUNDWELL MEDICAL CENTRE</t>
  </si>
  <si>
    <t>(D82024) TAVERHAM PARTNERSHIP</t>
  </si>
  <si>
    <t>(D82026) LAKENHAM SURGERY</t>
  </si>
  <si>
    <t>(D82027) HEACHAM GROUP PRACTICE</t>
  </si>
  <si>
    <t>(D82028) LUDHAM MEDICAL PRACTICE</t>
  </si>
  <si>
    <t>(D82029) DRAYTON SURGERY</t>
  </si>
  <si>
    <t>(D82030) REEPHAM SURGERY</t>
  </si>
  <si>
    <t>(D82031) PARISH FIELDS PRACTICE</t>
  </si>
  <si>
    <t>(D82032) BRUNDALL MEDICAL CENTRE</t>
  </si>
  <si>
    <t>(D82034) ATTLEBOROUGH SURGERIES</t>
  </si>
  <si>
    <t>(D82035) UPWELL HEALTH CENTRE</t>
  </si>
  <si>
    <t>(D82036) OLD MILL AND MILLGATES MEDICAL PRACTICE</t>
  </si>
  <si>
    <t>(D82037) LONG STRATTON MEDICAL PARTNERSHIP</t>
  </si>
  <si>
    <t>(D82038) WELLS HEALTH CENTRE</t>
  </si>
  <si>
    <t>(D82039) MATTISHALL SURGERY</t>
  </si>
  <si>
    <t>(D82040) WENSUM VALLEY MEDICAL PRACTICE</t>
  </si>
  <si>
    <t>(D82041) SCHOOL LANE SURGERY</t>
  </si>
  <si>
    <t>(D82043) WATLINGTON MEDICAL CENTRE</t>
  </si>
  <si>
    <t>(D82044) VIDA HEALTHCARE</t>
  </si>
  <si>
    <t>(D82045) WYMONDHAM MEDICAL PARTNERSHIP</t>
  </si>
  <si>
    <t>(D82046) CHURCH HILL SURGERY</t>
  </si>
  <si>
    <t>(D82047) OAK STREET MEDICAL PRACTICE</t>
  </si>
  <si>
    <t>(D82048) THORPEWOOD MEDICAL GROUP</t>
  </si>
  <si>
    <t>(D82049) LITCHAM HEALTH CENTRE</t>
  </si>
  <si>
    <t>(D82050) THEATRE ROYAL SURGERY</t>
  </si>
  <si>
    <t>(D82051) ST. JAMES MEDICAL PRACTICE</t>
  </si>
  <si>
    <t>(D82053) MUNDESLEY MEDICAL CENTRE</t>
  </si>
  <si>
    <t>(D82054) FAKENHAM MEDICAL PRACTICE</t>
  </si>
  <si>
    <t>(D82056) ELMHAM SURGERY</t>
  </si>
  <si>
    <t>(D82057) CAMPINGLAND SURGERY</t>
  </si>
  <si>
    <t>(D82059) BIRCHWOOD SURGERY</t>
  </si>
  <si>
    <t>(D82060) BACON ROAD MEDICAL CENTRE</t>
  </si>
  <si>
    <t>(D82062) COLTISHALL MEDICAL PRACTICE</t>
  </si>
  <si>
    <t>(D82063) WATTON MEDICAL PRACTICE</t>
  </si>
  <si>
    <t>(D82064) HUMBLEYARD PRACTICE</t>
  </si>
  <si>
    <t>(D82065) MANOR FARM MEDICAL CENTRE</t>
  </si>
  <si>
    <t>(D82066) PASTON SURGERY</t>
  </si>
  <si>
    <t>(D82068) HOWDALE SURGERY</t>
  </si>
  <si>
    <t>(D82069) NEWMARKET ROAD SURGERY</t>
  </si>
  <si>
    <t>(D82070) GREAT MASSINGHAM SURGERY</t>
  </si>
  <si>
    <t>(D82071) EAST NORWICH MEDICAL PARTNERSHIP</t>
  </si>
  <si>
    <t>(D82072) BURNHAM SURGERY</t>
  </si>
  <si>
    <t>(D82073) YARE VALLEY MEDICAL PRACTICE</t>
  </si>
  <si>
    <t>(D82076) LAWSON ROAD SURGERY</t>
  </si>
  <si>
    <t>(D82078) HEATHGATE MEDICAL PRACTICE</t>
  </si>
  <si>
    <t>(D82079) FELTWELL SURGERY</t>
  </si>
  <si>
    <t>(D82080) BLOFIELD SURGERY</t>
  </si>
  <si>
    <t>(D82084) HARLESTON MEDICAL PRACTICE</t>
  </si>
  <si>
    <t>(D82085) HINGHAM SURGERY</t>
  </si>
  <si>
    <t>(D82086) FAIRSTEAD SURGERY</t>
  </si>
  <si>
    <t>(D82087) PROSPECT MEDICAL PRACTICE</t>
  </si>
  <si>
    <t>(D82088) UEA MEDICAL CENTRE</t>
  </si>
  <si>
    <t>(D82096) WOODCOCK RD SURGERY</t>
  </si>
  <si>
    <t>(D82099) SOUTHGATES</t>
  </si>
  <si>
    <t>(D82100) SHIPDHAM SURGERY</t>
  </si>
  <si>
    <t>(D82103) HORSFORD MEDICAL CENTRE</t>
  </si>
  <si>
    <t>(D82104) ACLE MEDICAL PARTNERSHIP</t>
  </si>
  <si>
    <t>(D82105) ST. CLEMENTS SURGERY</t>
  </si>
  <si>
    <t>(D82106) WEST POTTERGATE HEALTH CENTRE</t>
  </si>
  <si>
    <t>(D82604) BOUGHTON SURGERY</t>
  </si>
  <si>
    <t>(D82615) SAXLINGHAM SURGERY</t>
  </si>
  <si>
    <t>(D82618) WOOTTON SURGERY</t>
  </si>
  <si>
    <t>(D82620) HARRIS HEALTH CENTRE</t>
  </si>
  <si>
    <t>(D82621) PLOWRIGHT MEDICAL CENTRE</t>
  </si>
  <si>
    <t>(D82624) WINDMILL SURGERY</t>
  </si>
  <si>
    <t>(D82628) ALDBOROUGH SURGERY</t>
  </si>
  <si>
    <t>(D82629) WALKER-GREGORY PRACTICE</t>
  </si>
  <si>
    <t>(D82632) OLD PALACE MEDICAL PRACTICE</t>
  </si>
  <si>
    <t>(Y00297) DOWNHAM MARKET HC</t>
  </si>
  <si>
    <t>(Y03222) ST. JOHN'S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</si>
  <si>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</si>
  <si>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</si>
  <si>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</si>
  <si>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</si>
  <si>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</si>
  <si>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</si>
  <si>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</si>
  <si>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</si>
  <si>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</si>
  <si>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</si>
  <si>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(D82017) TRINITY + BOWTHORPE SURGERY</t>
  </si>
  <si>
    <t>(D82025) HOVETON + WROXHAM MEDICAL CENTRE</t>
  </si>
  <si>
    <t>(D82042) E HARLING + KENNINGHALL MEDICAL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</si>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</sst>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0.9221202341150988</c:v>
                </c:pt>
                <c:pt idx="3">
                  <c:v>1</c:v>
                </c:pt>
                <c:pt idx="4">
                  <c:v>1</c:v>
                </c:pt>
                <c:pt idx="5">
                  <c:v>1</c:v>
                </c:pt>
                <c:pt idx="6">
                  <c:v>0.916666695770498</c:v>
                </c:pt>
                <c:pt idx="7">
                  <c:v>0.7495754446830205</c:v>
                </c:pt>
                <c:pt idx="8">
                  <c:v>0.795995692024138</c:v>
                </c:pt>
                <c:pt idx="9">
                  <c:v>0.7258798372086595</c:v>
                </c:pt>
                <c:pt idx="10">
                  <c:v>0.8119701169541615</c:v>
                </c:pt>
                <c:pt idx="11">
                  <c:v>0.8221661865284244</c:v>
                </c:pt>
                <c:pt idx="12">
                  <c:v>1</c:v>
                </c:pt>
                <c:pt idx="13">
                  <c:v>0</c:v>
                </c:pt>
                <c:pt idx="14">
                  <c:v>1</c:v>
                </c:pt>
                <c:pt idx="15">
                  <c:v>0.8677804804750272</c:v>
                </c:pt>
                <c:pt idx="16">
                  <c:v>1</c:v>
                </c:pt>
                <c:pt idx="17">
                  <c:v>1</c:v>
                </c:pt>
                <c:pt idx="18">
                  <c:v>1</c:v>
                </c:pt>
                <c:pt idx="19">
                  <c:v>1</c:v>
                </c:pt>
                <c:pt idx="20">
                  <c:v>1</c:v>
                </c:pt>
                <c:pt idx="21">
                  <c:v>0.9817547674323908</c:v>
                </c:pt>
                <c:pt idx="22">
                  <c:v>0.9999258117736388</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0.5635208529325968</c:v>
                </c:pt>
                <c:pt idx="3">
                  <c:v>0.5775862161987042</c:v>
                </c:pt>
                <c:pt idx="4">
                  <c:v>0.5604423038434934</c:v>
                </c:pt>
                <c:pt idx="5">
                  <c:v>0.5600725367529619</c:v>
                </c:pt>
                <c:pt idx="6">
                  <c:v>0.6111111326695047</c:v>
                </c:pt>
                <c:pt idx="7">
                  <c:v>0.5595314215624598</c:v>
                </c:pt>
                <c:pt idx="8">
                  <c:v>0.6027787713227755</c:v>
                </c:pt>
                <c:pt idx="9">
                  <c:v>0.548488168685686</c:v>
                </c:pt>
                <c:pt idx="10">
                  <c:v>0.5668531955419086</c:v>
                </c:pt>
                <c:pt idx="11">
                  <c:v>0.6065422650785712</c:v>
                </c:pt>
                <c:pt idx="12">
                  <c:v>0.5836655449577416</c:v>
                </c:pt>
                <c:pt idx="13">
                  <c:v>0</c:v>
                </c:pt>
                <c:pt idx="14">
                  <c:v>0.5447822975211063</c:v>
                </c:pt>
                <c:pt idx="15">
                  <c:v>0.5742682169906317</c:v>
                </c:pt>
                <c:pt idx="16">
                  <c:v>0.5863155155164012</c:v>
                </c:pt>
                <c:pt idx="17">
                  <c:v>0.6187529290459299</c:v>
                </c:pt>
                <c:pt idx="18">
                  <c:v>0.6739170128898553</c:v>
                </c:pt>
                <c:pt idx="19">
                  <c:v>0.5734128376158208</c:v>
                </c:pt>
                <c:pt idx="20">
                  <c:v>0.5655752604163562</c:v>
                </c:pt>
                <c:pt idx="21">
                  <c:v>0.6878596155366895</c:v>
                </c:pt>
                <c:pt idx="22">
                  <c:v>0.5944281473339386</c:v>
                </c:pt>
                <c:pt idx="23">
                  <c:v>0.6184337618162995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0.41023736038209047</c:v>
                </c:pt>
                <c:pt idx="3">
                  <c:v>0.4482758558675305</c:v>
                </c:pt>
                <c:pt idx="4">
                  <c:v>0.41828322296553283</c:v>
                </c:pt>
                <c:pt idx="5">
                  <c:v>0.44873344135090537</c:v>
                </c:pt>
                <c:pt idx="6">
                  <c:v>0.41666670223801605</c:v>
                </c:pt>
                <c:pt idx="7">
                  <c:v>0.4029590302400267</c:v>
                </c:pt>
                <c:pt idx="8">
                  <c:v>0.43287682694420015</c:v>
                </c:pt>
                <c:pt idx="9">
                  <c:v>0.4550908065074726</c:v>
                </c:pt>
                <c:pt idx="10">
                  <c:v>0.3858033262769592</c:v>
                </c:pt>
                <c:pt idx="11">
                  <c:v>0.39711212695371656</c:v>
                </c:pt>
                <c:pt idx="12">
                  <c:v>0.41391705565791725</c:v>
                </c:pt>
                <c:pt idx="13">
                  <c:v>0</c:v>
                </c:pt>
                <c:pt idx="14">
                  <c:v>0.4672459121807723</c:v>
                </c:pt>
                <c:pt idx="15">
                  <c:v>0.4217444619053172</c:v>
                </c:pt>
                <c:pt idx="16">
                  <c:v>0.39719277407786696</c:v>
                </c:pt>
                <c:pt idx="17">
                  <c:v>0.3929885295660005</c:v>
                </c:pt>
                <c:pt idx="18">
                  <c:v>0.3899474422318736</c:v>
                </c:pt>
                <c:pt idx="19">
                  <c:v>0.4425005457101327</c:v>
                </c:pt>
                <c:pt idx="20">
                  <c:v>0.4731433208195377</c:v>
                </c:pt>
                <c:pt idx="21">
                  <c:v>0.34963002753585387</c:v>
                </c:pt>
                <c:pt idx="22">
                  <c:v>0.4106798337692068</c:v>
                </c:pt>
                <c:pt idx="23">
                  <c:v>0.43647017383880093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0.34482756760259153</c:v>
                </c:pt>
                <c:pt idx="4">
                  <c:v>0.129788802202435</c:v>
                </c:pt>
                <c:pt idx="5">
                  <c:v>0.23736650986806038</c:v>
                </c:pt>
                <c:pt idx="6">
                  <c:v>0</c:v>
                </c:pt>
                <c:pt idx="7">
                  <c:v>0</c:v>
                </c:pt>
                <c:pt idx="8">
                  <c:v>0</c:v>
                </c:pt>
                <c:pt idx="9">
                  <c:v>0</c:v>
                </c:pt>
                <c:pt idx="10">
                  <c:v>0</c:v>
                </c:pt>
                <c:pt idx="11">
                  <c:v>0</c:v>
                </c:pt>
                <c:pt idx="12">
                  <c:v>0.16983574127898862</c:v>
                </c:pt>
                <c:pt idx="13">
                  <c:v>0</c:v>
                </c:pt>
                <c:pt idx="14">
                  <c:v>0.3190067059265872</c:v>
                </c:pt>
                <c:pt idx="15">
                  <c:v>0</c:v>
                </c:pt>
                <c:pt idx="16">
                  <c:v>0.16502999526667006</c:v>
                </c:pt>
                <c:pt idx="17">
                  <c:v>0.1211096052277211</c:v>
                </c:pt>
                <c:pt idx="18">
                  <c:v>0.3518137693905226</c:v>
                </c:pt>
                <c:pt idx="19">
                  <c:v>0.3150420285262727</c:v>
                </c:pt>
                <c:pt idx="20">
                  <c:v>0.35683883974778496</c:v>
                </c:pt>
                <c:pt idx="21">
                  <c:v>0</c:v>
                </c:pt>
                <c:pt idx="22">
                  <c:v>0</c:v>
                </c:pt>
                <c:pt idx="23">
                  <c:v>0.19241255187683504</c:v>
                </c:pt>
                <c:pt idx="24">
                  <c:v>0</c:v>
                </c:pt>
                <c:pt idx="25">
                  <c:v>0</c:v>
                </c:pt>
                <c:pt idx="26">
                  <c:v>0</c:v>
                </c:pt>
              </c:numCache>
            </c:numRef>
          </c:val>
        </c:ser>
        <c:overlap val="100"/>
        <c:gapWidth val="100"/>
        <c:axId val="8733662"/>
        <c:axId val="1149409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0.36160448290013075</c:v>
                </c:pt>
                <c:pt idx="3">
                  <c:v>0.6210665643230051</c:v>
                </c:pt>
                <c:pt idx="4">
                  <c:v>0.4048734177610484</c:v>
                </c:pt>
                <c:pt idx="5">
                  <c:v>0.44865778438879644</c:v>
                </c:pt>
                <c:pt idx="6">
                  <c:v>0.3872424074257314</c:v>
                </c:pt>
                <c:pt idx="7">
                  <c:v>0.34952219547036323</c:v>
                </c:pt>
                <c:pt idx="8">
                  <c:v>0.35724530003872956</c:v>
                </c:pt>
                <c:pt idx="9">
                  <c:v>0.4402463789750343</c:v>
                </c:pt>
                <c:pt idx="10">
                  <c:v>0.2218847569146407</c:v>
                </c:pt>
                <c:pt idx="11">
                  <c:v>0.2906135218904622</c:v>
                </c:pt>
                <c:pt idx="12">
                  <c:v>0.4223097845342311</c:v>
                </c:pt>
                <c:pt idx="13">
                  <c:v>0.5</c:v>
                </c:pt>
                <c:pt idx="14">
                  <c:v>0.48628150982029594</c:v>
                </c:pt>
                <c:pt idx="15">
                  <c:v>0.5086932877880855</c:v>
                </c:pt>
                <c:pt idx="16">
                  <c:v>0.5470655994367047</c:v>
                </c:pt>
                <c:pt idx="17">
                  <c:v>0.38023795624602075</c:v>
                </c:pt>
                <c:pt idx="18">
                  <c:v>0.6047568606635692</c:v>
                </c:pt>
                <c:pt idx="19">
                  <c:v>0.46293587721038415</c:v>
                </c:pt>
                <c:pt idx="20">
                  <c:v>0.5345631538838655</c:v>
                </c:pt>
                <c:pt idx="21">
                  <c:v>0.423104403971879</c:v>
                </c:pt>
                <c:pt idx="22">
                  <c:v>0.45164988613955326</c:v>
                </c:pt>
                <c:pt idx="23">
                  <c:v>0.47783286759985294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0.49251836062323434</c:v>
                </c:pt>
                <c:pt idx="6">
                  <c:v>0.5277777910318782</c:v>
                </c:pt>
                <c:pt idx="7">
                  <c:v>-999</c:v>
                </c:pt>
                <c:pt idx="8">
                  <c:v>0.6096112742837159</c:v>
                </c:pt>
                <c:pt idx="9">
                  <c:v>-999</c:v>
                </c:pt>
                <c:pt idx="10">
                  <c:v>0.5605429270189264</c:v>
                </c:pt>
                <c:pt idx="11">
                  <c:v>0.6045703136906312</c:v>
                </c:pt>
                <c:pt idx="12">
                  <c:v>-999</c:v>
                </c:pt>
                <c:pt idx="13">
                  <c:v>-999</c:v>
                </c:pt>
                <c:pt idx="14">
                  <c:v>-999</c:v>
                </c:pt>
                <c:pt idx="15">
                  <c:v>0.4415496156276121</c:v>
                </c:pt>
                <c:pt idx="16">
                  <c:v>0.5269658140728799</c:v>
                </c:pt>
                <c:pt idx="17">
                  <c:v>0.403688823747912</c:v>
                </c:pt>
                <c:pt idx="18">
                  <c:v>-999</c:v>
                </c:pt>
                <c:pt idx="19">
                  <c:v>-999</c:v>
                </c:pt>
                <c:pt idx="20">
                  <c:v>-999</c:v>
                </c:pt>
                <c:pt idx="21">
                  <c:v>0.6735118324800775</c:v>
                </c:pt>
                <c:pt idx="22">
                  <c:v>0.48133117589242314</c:v>
                </c:pt>
                <c:pt idx="23">
                  <c:v>0.629413233714264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0.509437300685547</c:v>
                </c:pt>
                <c:pt idx="3">
                  <c:v>0.4482758507291987</c:v>
                </c:pt>
                <c:pt idx="4">
                  <c:v>0.6289080882613498</c:v>
                </c:pt>
                <c:pt idx="5">
                  <c:v>-999</c:v>
                </c:pt>
                <c:pt idx="6">
                  <c:v>-999</c:v>
                </c:pt>
                <c:pt idx="7">
                  <c:v>0.6277774804969257</c:v>
                </c:pt>
                <c:pt idx="8">
                  <c:v>-999</c:v>
                </c:pt>
                <c:pt idx="9">
                  <c:v>0.5801879377999755</c:v>
                </c:pt>
                <c:pt idx="10">
                  <c:v>-999</c:v>
                </c:pt>
                <c:pt idx="11">
                  <c:v>-999</c:v>
                </c:pt>
                <c:pt idx="12">
                  <c:v>0.4249772372865687</c:v>
                </c:pt>
                <c:pt idx="13">
                  <c:v>0.4233673970039519</c:v>
                </c:pt>
                <c:pt idx="14">
                  <c:v>0.596812412553843</c:v>
                </c:pt>
                <c:pt idx="15">
                  <c:v>-999</c:v>
                </c:pt>
                <c:pt idx="16">
                  <c:v>-999</c:v>
                </c:pt>
                <c:pt idx="17">
                  <c:v>-999</c:v>
                </c:pt>
                <c:pt idx="18">
                  <c:v>-999</c:v>
                </c:pt>
                <c:pt idx="19">
                  <c:v>0.4545141207271233</c:v>
                </c:pt>
                <c:pt idx="20">
                  <c:v>0.4656322615842274</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6337992"/>
        <c:axId val="58606473"/>
      </c:scatterChart>
      <c:catAx>
        <c:axId val="8733662"/>
        <c:scaling>
          <c:orientation val="maxMin"/>
        </c:scaling>
        <c:axPos val="l"/>
        <c:delete val="0"/>
        <c:numFmt formatCode="General" sourceLinked="1"/>
        <c:majorTickMark val="out"/>
        <c:minorTickMark val="none"/>
        <c:tickLblPos val="none"/>
        <c:spPr>
          <a:ln w="3175">
            <a:noFill/>
          </a:ln>
        </c:spPr>
        <c:crossAx val="11494095"/>
        <c:crosses val="autoZero"/>
        <c:auto val="1"/>
        <c:lblOffset val="100"/>
        <c:tickLblSkip val="1"/>
        <c:noMultiLvlLbl val="0"/>
      </c:catAx>
      <c:valAx>
        <c:axId val="11494095"/>
        <c:scaling>
          <c:orientation val="minMax"/>
          <c:max val="1"/>
          <c:min val="0"/>
        </c:scaling>
        <c:axPos val="t"/>
        <c:delete val="0"/>
        <c:numFmt formatCode="General" sourceLinked="1"/>
        <c:majorTickMark val="none"/>
        <c:minorTickMark val="none"/>
        <c:tickLblPos val="none"/>
        <c:spPr>
          <a:ln w="3175">
            <a:noFill/>
          </a:ln>
        </c:spPr>
        <c:crossAx val="8733662"/>
        <c:crossesAt val="1"/>
        <c:crossBetween val="between"/>
        <c:dispUnits/>
        <c:majorUnit val="1"/>
      </c:valAx>
      <c:valAx>
        <c:axId val="36337992"/>
        <c:scaling>
          <c:orientation val="minMax"/>
          <c:max val="1"/>
          <c:min val="0"/>
        </c:scaling>
        <c:axPos val="t"/>
        <c:delete val="0"/>
        <c:numFmt formatCode="General" sourceLinked="1"/>
        <c:majorTickMark val="none"/>
        <c:minorTickMark val="none"/>
        <c:tickLblPos val="none"/>
        <c:spPr>
          <a:ln w="3175">
            <a:noFill/>
          </a:ln>
        </c:spPr>
        <c:crossAx val="58606473"/>
        <c:crosses val="max"/>
        <c:crossBetween val="midCat"/>
        <c:dispUnits/>
        <c:majorUnit val="0.1"/>
        <c:minorUnit val="0.020000000000000004"/>
      </c:valAx>
      <c:valAx>
        <c:axId val="58606473"/>
        <c:scaling>
          <c:orientation val="maxMin"/>
          <c:max val="29"/>
          <c:min val="0"/>
        </c:scaling>
        <c:axPos val="l"/>
        <c:delete val="0"/>
        <c:numFmt formatCode="General" sourceLinked="1"/>
        <c:majorTickMark val="none"/>
        <c:minorTickMark val="none"/>
        <c:tickLblPos val="none"/>
        <c:spPr>
          <a:ln w="3175">
            <a:noFill/>
          </a:ln>
        </c:spPr>
        <c:crossAx val="3633799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(D82104) ACLE MEDICAL PARTNERSHIP, NORFOLK PCT (5PQ)</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526</v>
      </c>
      <c r="Q3" s="65"/>
      <c r="R3" s="66"/>
      <c r="S3" s="66"/>
      <c r="T3" s="66"/>
      <c r="U3" s="66"/>
      <c r="V3" s="66"/>
      <c r="W3" s="66"/>
      <c r="X3" s="66"/>
      <c r="Y3" s="66"/>
      <c r="Z3" s="66"/>
      <c r="AA3" s="66"/>
      <c r="AB3" s="66"/>
      <c r="AC3" s="66"/>
    </row>
    <row r="4" spans="2:29" ht="18" customHeight="1">
      <c r="B4" s="319" t="s">
        <v>648</v>
      </c>
      <c r="C4" s="320"/>
      <c r="D4" s="320"/>
      <c r="E4" s="320"/>
      <c r="F4" s="320"/>
      <c r="G4" s="321"/>
      <c r="H4" s="112"/>
      <c r="I4" s="112"/>
      <c r="J4" s="112"/>
      <c r="K4" s="112"/>
      <c r="L4" s="113"/>
      <c r="M4" s="65"/>
      <c r="N4" s="65"/>
      <c r="O4" s="65"/>
      <c r="P4" s="134" t="s">
        <v>527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528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423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647</v>
      </c>
      <c r="C8" s="115"/>
      <c r="D8" s="115"/>
      <c r="E8" s="128">
        <f>VLOOKUP('Hide - Control'!A$3,'All practice data'!A:CA,4,FALSE)</f>
        <v>9139</v>
      </c>
      <c r="F8" s="310" t="str">
        <f>VLOOKUP('Hide - Control'!B4,'Hide - Calculation'!AY:BA,3,FALSE)</f>
        <v>Please note: Bowel screening indicators are based on less than 30 but over 12 months of data.</v>
      </c>
      <c r="G8" s="310"/>
      <c r="H8" s="310"/>
      <c r="I8" s="115"/>
      <c r="J8" s="115"/>
      <c r="K8" s="115"/>
      <c r="L8" s="115"/>
      <c r="M8" s="109"/>
      <c r="N8" s="314" t="s">
        <v>536</v>
      </c>
      <c r="O8" s="314"/>
      <c r="P8" s="314"/>
      <c r="Q8" s="314" t="s">
        <v>32</v>
      </c>
      <c r="R8" s="314"/>
      <c r="S8" s="314"/>
      <c r="T8" s="314" t="s">
        <v>651</v>
      </c>
      <c r="U8" s="314"/>
      <c r="V8" s="314" t="s">
        <v>33</v>
      </c>
      <c r="W8" s="314"/>
      <c r="X8" s="314"/>
      <c r="Y8" s="135"/>
      <c r="Z8" s="314" t="s">
        <v>529</v>
      </c>
      <c r="AA8" s="314"/>
      <c r="AB8" s="161"/>
      <c r="AC8" s="109"/>
    </row>
    <row r="9" spans="2:29" s="61" customFormat="1" ht="19.5" customHeight="1" thickBot="1">
      <c r="B9" s="114" t="s">
        <v>521</v>
      </c>
      <c r="C9" s="114"/>
      <c r="D9" s="114"/>
      <c r="E9" s="129">
        <f>VLOOKUP('Hide - Control'!B4,'Hide - Calculation'!AY:BB,4,FALSE)</f>
        <v>748575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518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499</v>
      </c>
      <c r="E11" s="317"/>
      <c r="F11" s="318"/>
      <c r="G11" s="263" t="s">
        <v>497</v>
      </c>
      <c r="H11" s="255" t="s">
        <v>498</v>
      </c>
      <c r="I11" s="255" t="s">
        <v>509</v>
      </c>
      <c r="J11" s="255" t="s">
        <v>510</v>
      </c>
      <c r="K11" s="255" t="s">
        <v>381</v>
      </c>
      <c r="L11" s="256" t="s">
        <v>423</v>
      </c>
      <c r="M11" s="257" t="s">
        <v>519</v>
      </c>
      <c r="N11" s="334" t="s">
        <v>517</v>
      </c>
      <c r="O11" s="334"/>
      <c r="P11" s="334"/>
      <c r="Q11" s="334"/>
      <c r="R11" s="334"/>
      <c r="S11" s="334"/>
      <c r="T11" s="334"/>
      <c r="U11" s="334"/>
      <c r="V11" s="334"/>
      <c r="W11" s="334"/>
      <c r="X11" s="334"/>
      <c r="Y11" s="334"/>
      <c r="Z11" s="334"/>
      <c r="AA11" s="258" t="s">
        <v>520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379</v>
      </c>
      <c r="C13" s="163">
        <v>1</v>
      </c>
      <c r="D13" s="312" t="s">
        <v>375</v>
      </c>
      <c r="E13" s="313"/>
      <c r="F13" s="313"/>
      <c r="G13" s="166">
        <f>IF(VLOOKUP('Hide - Control'!A$3,'All practice data'!A:CA,C13+4,FALSE)=" "," ",VLOOKUP('Hide - Control'!A$3,'All practice data'!A:CA,C13+4,FALSE))</f>
        <v>2051</v>
      </c>
      <c r="H13" s="190">
        <f>IF(VLOOKUP('Hide - Control'!A$3,'All practice data'!A:CA,C13+30,FALSE)=" "," ",VLOOKUP('Hide - Control'!A$3,'All practice data'!A:CA,C13+30,FALSE))</f>
        <v>0.2244228033701718</v>
      </c>
      <c r="I13" s="191">
        <f>IF(LEFT(G13,1)=" "," n/a",+((2*G13+1.96^2-1.96*SQRT(1.96^2+4*G13*(1-G13/E$8)))/(2*(E$8+1.96^2))))</f>
        <v>0.21598593267002913</v>
      </c>
      <c r="J13" s="191">
        <f>IF(LEFT(G13,1)=" "," n/a",+((2*G13+1.96^2+1.96*SQRT(1.96^2+4*G13*(1-G13/E$8)))/(2*(E$8+1.96^2))))</f>
        <v>0.23309125576119122</v>
      </c>
      <c r="K13" s="190">
        <f>IF('Hide - Calculation'!N7="","",'Hide - Calculation'!N7)</f>
        <v>0.21496710416457937</v>
      </c>
      <c r="L13" s="192">
        <f>'Hide - Calculation'!O7</f>
        <v>0.1599882305185145</v>
      </c>
      <c r="M13" s="208">
        <f>IF(ISBLANK('Hide - Calculation'!K7),"",'Hide - Calculation'!U7)</f>
        <v>0.0023789070546627045</v>
      </c>
      <c r="N13" s="173"/>
      <c r="O13" s="173"/>
      <c r="P13" s="173"/>
      <c r="Q13" s="173"/>
      <c r="R13" s="173"/>
      <c r="S13" s="173"/>
      <c r="T13" s="173"/>
      <c r="U13" s="173"/>
      <c r="V13" s="173"/>
      <c r="W13" s="173"/>
      <c r="X13" s="173"/>
      <c r="Y13" s="173"/>
      <c r="Z13" s="173"/>
      <c r="AA13" s="226">
        <f>IF(ISBLANK('Hide - Calculation'!K7),"",'Hide - Calculation'!T7)</f>
        <v>0.4042952358722687</v>
      </c>
      <c r="AB13" s="233" t="s">
        <v>645</v>
      </c>
      <c r="AC13" s="209" t="s">
        <v>646</v>
      </c>
    </row>
    <row r="14" spans="2:29" ht="33.75" customHeight="1">
      <c r="B14" s="306"/>
      <c r="C14" s="137">
        <v>2</v>
      </c>
      <c r="D14" s="132" t="s">
        <v>530</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v>
      </c>
      <c r="I14" s="120">
        <f>IF(LEFT(G14,1)=" "," n/a",+((2*H14*E8+1.96^2-1.96*SQRT(1.96^2+4*H14*E8*(1-H14*E8/E$8)))/(2*(E$8+1.96^2))))</f>
        <v>0.09401631753485035</v>
      </c>
      <c r="J14" s="120">
        <f>IF(LEFT(G14,1)=" "," n/a",+((2*H14*E8+1.96^2+1.96*SQRT(1.96^2+4*H14*E8*(1-H14*E8/E$8)))/(2*(E$8+1.96^2))))</f>
        <v>0.10631982303658864</v>
      </c>
      <c r="K14" s="119">
        <f>IF('Hide - Calculation'!N8="","",'Hide - Calculation'!N8)</f>
        <v>0.12333827605784323</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0.25999999046325684</v>
      </c>
      <c r="AB14" s="234" t="s">
        <v>39</v>
      </c>
      <c r="AC14" s="130" t="s">
        <v>646</v>
      </c>
    </row>
    <row r="15" spans="2:39" s="63" customFormat="1" ht="33.75" customHeight="1">
      <c r="B15" s="306"/>
      <c r="C15" s="137">
        <v>3</v>
      </c>
      <c r="D15" s="132" t="s">
        <v>384</v>
      </c>
      <c r="E15" s="85"/>
      <c r="F15" s="85"/>
      <c r="G15" s="121">
        <f>IF(VLOOKUP('Hide - Control'!A$3,'All practice data'!A:CA,C15+4,FALSE)=" "," ",VLOOKUP('Hide - Control'!A$3,'All practice data'!A:CA,C15+4,FALSE))</f>
        <v>67</v>
      </c>
      <c r="H15" s="122">
        <f>IF(VLOOKUP('Hide - Control'!A$3,'All practice data'!A:CA,C15+30,FALSE)=" "," ",VLOOKUP('Hide - Control'!A$3,'All practice data'!A:CA,C15+30,FALSE))</f>
        <v>733.1217857533647</v>
      </c>
      <c r="I15" s="123">
        <f>IF(LEFT(G15,1)=" "," n/a",IF(G15&lt;5,100000*VLOOKUP(G15,'Hide - Calculation'!AQ:AR,2,FALSE)/$E$8,100000*(G15*(1-1/(9*G15)-1.96/(3*SQRT(G15)))^3)/$E$8))</f>
        <v>568.1303786595524</v>
      </c>
      <c r="J15" s="123">
        <f>IF(LEFT(G15,1)=" "," n/a",IF(G15&lt;5,100000*VLOOKUP(G15,'Hide - Calculation'!AQ:AS,3,FALSE)/$E$8,100000*((G15+1)*(1-1/(9*(G15+1))+1.96/(3*SQRT(G15+1)))^3)/$E$8))</f>
        <v>931.056663617967</v>
      </c>
      <c r="K15" s="122">
        <f>IF('Hide - Calculation'!N9="","",'Hide - Calculation'!N9)</f>
        <v>565.6079885115051</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1209.341064453125</v>
      </c>
      <c r="AB15" s="234" t="s">
        <v>500</v>
      </c>
      <c r="AC15" s="131">
        <v>2009</v>
      </c>
      <c r="AD15" s="64"/>
      <c r="AE15" s="64"/>
      <c r="AF15" s="64"/>
      <c r="AG15" s="64"/>
      <c r="AH15" s="64"/>
      <c r="AI15" s="64"/>
      <c r="AJ15" s="64"/>
      <c r="AK15" s="64"/>
      <c r="AL15" s="64"/>
      <c r="AM15" s="64"/>
    </row>
    <row r="16" spans="2:29" s="63" customFormat="1" ht="33.75" customHeight="1">
      <c r="B16" s="306"/>
      <c r="C16" s="137">
        <v>4</v>
      </c>
      <c r="D16" s="132" t="s">
        <v>522</v>
      </c>
      <c r="E16" s="85"/>
      <c r="F16" s="85"/>
      <c r="G16" s="121">
        <f>IF(VLOOKUP('Hide - Control'!A$3,'All practice data'!A:CA,C16+4,FALSE)=" "," ",VLOOKUP('Hide - Control'!A$3,'All practice data'!A:CA,C16+4,FALSE))</f>
        <v>25</v>
      </c>
      <c r="H16" s="122">
        <f>IF(VLOOKUP('Hide - Control'!A$3,'All practice data'!A:CA,C16+30,FALSE)=" "," ",VLOOKUP('Hide - Control'!A$3,'All practice data'!A:CA,C16+30,FALSE))</f>
        <v>273.5529051318525</v>
      </c>
      <c r="I16" s="123">
        <f>IF(LEFT(G16,1)=" "," n/a",IF(G16&lt;5,100000*VLOOKUP(G16,'Hide - Calculation'!AQ:AR,2,FALSE)/$E$8,100000*(G16*(1-1/(9*G16)-1.96/(3*SQRT(G16)))^3)/$E$8))</f>
        <v>176.97922330187436</v>
      </c>
      <c r="J16" s="123">
        <f>IF(LEFT(G16,1)=" "," n/a",IF(G16&lt;5,100000*VLOOKUP(G16,'Hide - Calculation'!AQ:AS,3,FALSE)/$E$8,100000*((G16+1)*(1-1/(9*(G16+1))+1.96/(3*SQRT(G16+1)))^3)/$E$8))</f>
        <v>403.837210230503</v>
      </c>
      <c r="K16" s="122">
        <f>IF('Hide - Calculation'!N10="","",'Hide - Calculation'!N10)</f>
        <v>285.07497578732927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729.7748413085938</v>
      </c>
      <c r="AB16" s="234" t="s">
        <v>378</v>
      </c>
      <c r="AC16" s="131" t="s">
        <v>555</v>
      </c>
    </row>
    <row r="17" spans="2:29" s="63" customFormat="1" ht="33.75" customHeight="1" thickBot="1">
      <c r="B17" s="309"/>
      <c r="C17" s="180">
        <v>5</v>
      </c>
      <c r="D17" s="195" t="s">
        <v>383</v>
      </c>
      <c r="E17" s="182"/>
      <c r="F17" s="182"/>
      <c r="G17" s="140">
        <f>IF(VLOOKUP('Hide - Control'!A$3,'All practice data'!A:CA,C17+4,FALSE)=" "," ",VLOOKUP('Hide - Control'!A$3,'All practice data'!A:CA,C17+4,FALSE))</f>
        <v>194</v>
      </c>
      <c r="H17" s="141">
        <f>IF(VLOOKUP('Hide - Control'!A$3,'All practice data'!A:CA,C17+30,FALSE)=" "," ",VLOOKUP('Hide - Control'!A$3,'All practice data'!A:CA,C17+30,FALSE))</f>
        <v>0.021</v>
      </c>
      <c r="I17" s="142">
        <f>IF(LEFT(G17,1)=" "," n/a",+((2*G17+1.96^2-1.96*SQRT(1.96^2+4*G17*(1-G17/E$8)))/(2*(E$8+1.96^2))))</f>
        <v>0.018467371375190268</v>
      </c>
      <c r="J17" s="142">
        <f>IF(LEFT(G17,1)=" "," n/a",+((2*G17+1.96^2+1.96*SQRT(1.96^2+4*G17*(1-G17/E$8)))/(2*(E$8+1.96^2))))</f>
        <v>0.02439037648298109</v>
      </c>
      <c r="K17" s="141">
        <f>IF('Hide - Calculation'!N11="","",'Hide - Calculation'!N11)</f>
        <v>0.019797615469391846</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0.03500000014901161</v>
      </c>
      <c r="AB17" s="235" t="s">
        <v>523</v>
      </c>
      <c r="AC17" s="189" t="s">
        <v>555</v>
      </c>
    </row>
    <row r="18" spans="2:29" s="63" customFormat="1" ht="33.75" customHeight="1">
      <c r="B18" s="308" t="s">
        <v>13</v>
      </c>
      <c r="C18" s="163">
        <v>6</v>
      </c>
      <c r="D18" s="164" t="s">
        <v>531</v>
      </c>
      <c r="E18" s="165"/>
      <c r="F18" s="165"/>
      <c r="G18" s="219">
        <f>IF(OR(VLOOKUP('Hide - Control'!A$3,'All practice data'!A:CA,C18+4,FALSE)=" ",VLOOKUP('Hide - Control'!A$3,'All practice data'!A:CA,C18+52,FALSE)=0)," n/a",VLOOKUP('Hide - Control'!A$3,'All practice data'!A:CA,C18+4,FALSE))</f>
        <v>1177</v>
      </c>
      <c r="H18" s="220">
        <f>IF(OR(VLOOKUP('Hide - Control'!A$3,'All practice data'!A:CA,C18+30,FALSE)=" ",VLOOKUP('Hide - Control'!A$3,'All practice data'!A:CA,C18+52,FALSE)=0)," n/a",VLOOKUP('Hide - Control'!A$3,'All practice data'!A:CA,C18+30,FALSE))</f>
        <v>0.821354</v>
      </c>
      <c r="I18" s="191">
        <f>IF(OR(LEFT(H18,1)=" ",VLOOKUP('Hide - Control'!A$3,'All practice data'!A:CA,C18+52,FALSE)=0)," n/a",+((2*G18+1.96^2-1.96*SQRT(1.96^2+4*G18*(1-G18/(VLOOKUP('Hide - Control'!A$3,'All practice data'!A:CA,C18+52,FALSE)))))/(2*(((VLOOKUP('Hide - Control'!A$3,'All practice data'!A:CA,C18+52,FALSE)))+1.96^2))))</f>
        <v>0.8006692224018903</v>
      </c>
      <c r="J18" s="191">
        <f>IF(OR(LEFT(H18,1)=" ",VLOOKUP('Hide - Control'!A$3,'All practice data'!A:CA,C18+52,FALSE)=0)," n/a",+((2*G18+1.96^2+1.96*SQRT(1.96^2+4*G18*(1-G18/(VLOOKUP('Hide - Control'!A$3,'All practice data'!A:CA,C18+52,FALSE)))))/(2*((VLOOKUP('Hide - Control'!A$3,'All practice data'!A:CA,C18+52,FALSE))+1.96^2))))</f>
        <v>0.8403200139899293</v>
      </c>
      <c r="K18" s="220">
        <f>IF('Hide - Calculation'!N12="","",'Hide - Calculation'!N12)</f>
        <v>0.7779423294712083</v>
      </c>
      <c r="L18" s="192">
        <f>'Hide - Calculation'!O12</f>
        <v>0.7248631360507991</v>
      </c>
      <c r="M18" s="193">
        <f>IF(ISBLANK('Hide - Calculation'!K12),"",'Hide - Calculation'!U12)</f>
        <v>0.6036589741706848</v>
      </c>
      <c r="N18" s="194"/>
      <c r="O18" s="173"/>
      <c r="P18" s="173"/>
      <c r="Q18" s="173"/>
      <c r="R18" s="173"/>
      <c r="S18" s="173"/>
      <c r="T18" s="173"/>
      <c r="U18" s="173"/>
      <c r="V18" s="173"/>
      <c r="W18" s="173"/>
      <c r="X18" s="173"/>
      <c r="Y18" s="173"/>
      <c r="Z18" s="174"/>
      <c r="AA18" s="193">
        <f>IF(ISBLANK('Hide - Calculation'!K12),"",'Hide - Calculation'!T12)</f>
        <v>0.8635900020599365</v>
      </c>
      <c r="AB18" s="233" t="s">
        <v>48</v>
      </c>
      <c r="AC18" s="175" t="s">
        <v>556</v>
      </c>
    </row>
    <row r="19" spans="2:29" s="63" customFormat="1" ht="33.75" customHeight="1">
      <c r="B19" s="306"/>
      <c r="C19" s="137">
        <v>7</v>
      </c>
      <c r="D19" s="132" t="s">
        <v>532</v>
      </c>
      <c r="E19" s="85"/>
      <c r="F19" s="85"/>
      <c r="G19" s="221">
        <f>IF(OR(VLOOKUP('Hide - Control'!A$3,'All practice data'!A:CA,C19+4,FALSE)=" ",VLOOKUP('Hide - Control'!A$3,'All practice data'!A:CA,C19+52,FALSE)=0)," n/a",VLOOKUP('Hide - Control'!A$3,'All practice data'!A:CA,C19+4,FALSE))</f>
        <v>473</v>
      </c>
      <c r="H19" s="218">
        <f>IF(OR(VLOOKUP('Hide - Control'!A$3,'All practice data'!A:CA,C19+30,FALSE)=" ",VLOOKUP('Hide - Control'!A$3,'All practice data'!A:CA,C19+52,FALSE)=0)," n/a",VLOOKUP('Hide - Control'!A$3,'All practice data'!A:CA,C19+30,FALSE))</f>
        <v>0.822609</v>
      </c>
      <c r="I19" s="120">
        <f>IF(OR(LEFT(H19,1)=" ",VLOOKUP('Hide - Control'!A$3,'All practice data'!A:CA,C19+52,FALSE)=0)," n/a",+((2*G19+1.96^2-1.96*SQRT(1.96^2+4*G19*(1-G19/(VLOOKUP('Hide - Control'!A$3,'All practice data'!A:CA,C19+52,FALSE)))))/(2*(((VLOOKUP('Hide - Control'!A$3,'All practice data'!A:CA,C19+52,FALSE)))+1.96^2))))</f>
        <v>0.7892741128719897</v>
      </c>
      <c r="J19" s="120">
        <f>IF(OR(LEFT(H19,1)=" ",VLOOKUP('Hide - Control'!A$3,'All practice data'!A:CA,C19+52,FALSE)=0)," n/a",+((2*G19+1.96^2+1.96*SQRT(1.96^2+4*G19*(1-G19/(VLOOKUP('Hide - Control'!A$3,'All practice data'!A:CA,C19+52,FALSE)))))/(2*((VLOOKUP('Hide - Control'!A$3,'All practice data'!A:CA,C19+52,FALSE))+1.96^2))))</f>
        <v>0.8516611619942259</v>
      </c>
      <c r="K19" s="218">
        <f>IF('Hide - Calculation'!N13="","",'Hide - Calculation'!N13)</f>
        <v>0.8001430205949657</v>
      </c>
      <c r="L19" s="155">
        <f>'Hide - Calculation'!O13</f>
        <v>0.7467412166569077</v>
      </c>
      <c r="M19" s="152">
        <f>IF(ISBLANK('Hide - Calculation'!K13),"",'Hide - Calculation'!U13)</f>
        <v>0.6393439769744873</v>
      </c>
      <c r="N19" s="160"/>
      <c r="O19" s="84"/>
      <c r="P19" s="84"/>
      <c r="Q19" s="84"/>
      <c r="R19" s="84"/>
      <c r="S19" s="84"/>
      <c r="T19" s="84"/>
      <c r="U19" s="84"/>
      <c r="V19" s="84"/>
      <c r="W19" s="84"/>
      <c r="X19" s="84"/>
      <c r="Y19" s="84"/>
      <c r="Z19" s="88"/>
      <c r="AA19" s="152">
        <f>IF(ISBLANK('Hide - Calculation'!K13),"",'Hide - Calculation'!T13)</f>
        <v>0.8786410093307495</v>
      </c>
      <c r="AB19" s="234" t="s">
        <v>48</v>
      </c>
      <c r="AC19" s="131" t="s">
        <v>555</v>
      </c>
    </row>
    <row r="20" spans="2:29" s="63" customFormat="1" ht="33.75" customHeight="1">
      <c r="B20" s="306"/>
      <c r="C20" s="137">
        <v>8</v>
      </c>
      <c r="D20" s="132" t="s">
        <v>533</v>
      </c>
      <c r="E20" s="85"/>
      <c r="F20" s="85"/>
      <c r="G20" s="221">
        <f>IF(OR(VLOOKUP('Hide - Control'!A$3,'All practice data'!A:CA,C20+4,FALSE)=" ",VLOOKUP('Hide - Control'!A$3,'All practice data'!A:CA,C20+52,FALSE)=0)," n/a",VLOOKUP('Hide - Control'!A$3,'All practice data'!A:CA,C20+4,FALSE))</f>
        <v>1841</v>
      </c>
      <c r="H20" s="218">
        <f>IF(OR(VLOOKUP('Hide - Control'!A$3,'All practice data'!A:CA,C20+30,FALSE)=" ",VLOOKUP('Hide - Control'!A$3,'All practice data'!A:CA,C20+52,FALSE)=0)," n/a",VLOOKUP('Hide - Control'!A$3,'All practice data'!A:CA,C20+30,FALSE))</f>
        <v>0.827788</v>
      </c>
      <c r="I20" s="120">
        <f>IF(OR(LEFT(H20,1)=" ",VLOOKUP('Hide - Control'!A$3,'All practice data'!A:CA,C20+52,FALSE)=0)," n/a",+((2*G20+1.96^2-1.96*SQRT(1.96^2+4*G20*(1-G20/(VLOOKUP('Hide - Control'!A$3,'All practice data'!A:CA,C20+52,FALSE)))))/(2*(((VLOOKUP('Hide - Control'!A$3,'All practice data'!A:CA,C20+52,FALSE)))+1.96^2))))</f>
        <v>0.8115338280548259</v>
      </c>
      <c r="J20" s="120">
        <f>IF(OR(LEFT(H20,1)=" ",VLOOKUP('Hide - Control'!A$3,'All practice data'!A:CA,C20+52,FALSE)=0)," n/a",+((2*G20+1.96^2+1.96*SQRT(1.96^2+4*G20*(1-G20/(VLOOKUP('Hide - Control'!A$3,'All practice data'!A:CA,C20+52,FALSE)))))/(2*((VLOOKUP('Hide - Control'!A$3,'All practice data'!A:CA,C20+52,FALSE))+1.96^2))))</f>
        <v>0.8429112635531233</v>
      </c>
      <c r="K20" s="218">
        <f>IF('Hide - Calculation'!N14="","",'Hide - Calculation'!N14)</f>
        <v>0.7789549260262202</v>
      </c>
      <c r="L20" s="155">
        <f>'Hide - Calculation'!O14</f>
        <v>0.7559681673907895</v>
      </c>
      <c r="M20" s="152">
        <f>IF(ISBLANK('Hide - Calculation'!K14),"",'Hide - Calculation'!U14)</f>
        <v>0.5300279855728149</v>
      </c>
      <c r="N20" s="160"/>
      <c r="O20" s="84"/>
      <c r="P20" s="84"/>
      <c r="Q20" s="84"/>
      <c r="R20" s="84"/>
      <c r="S20" s="84"/>
      <c r="T20" s="84"/>
      <c r="U20" s="84"/>
      <c r="V20" s="84"/>
      <c r="W20" s="84"/>
      <c r="X20" s="84"/>
      <c r="Y20" s="84"/>
      <c r="Z20" s="88"/>
      <c r="AA20" s="152">
        <f>IF(ISBLANK('Hide - Calculation'!K14),"",'Hide - Calculation'!T14)</f>
        <v>0.9025589823722839</v>
      </c>
      <c r="AB20" s="234" t="s">
        <v>48</v>
      </c>
      <c r="AC20" s="131" t="s">
        <v>557</v>
      </c>
    </row>
    <row r="21" spans="2:29" s="63" customFormat="1" ht="33.75" customHeight="1">
      <c r="B21" s="306"/>
      <c r="C21" s="137">
        <v>9</v>
      </c>
      <c r="D21" s="132" t="s">
        <v>534</v>
      </c>
      <c r="E21" s="85"/>
      <c r="F21" s="85"/>
      <c r="G21" s="221">
        <f>IF(OR(VLOOKUP('Hide - Control'!A$3,'All practice data'!A:CA,C21+4,FALSE)=" ",VLOOKUP('Hide - Control'!A$3,'All practice data'!A:CA,C21+52,FALSE)=0)," n/a",VLOOKUP('Hide - Control'!A$3,'All practice data'!A:CA,C21+4,FALSE))</f>
        <v>920</v>
      </c>
      <c r="H21" s="218">
        <f>IF(OR(VLOOKUP('Hide - Control'!A$3,'All practice data'!A:CA,C21+30,FALSE)=" ",VLOOKUP('Hide - Control'!A$3,'All practice data'!A:CA,C21+52,FALSE)=0)," n/a",VLOOKUP('Hide - Control'!A$3,'All practice data'!A:CA,C21+30,FALSE))</f>
        <v>0.638003</v>
      </c>
      <c r="I21" s="120">
        <f>IF(OR(LEFT(H21,1)=" ",VLOOKUP('Hide - Control'!A$3,'All practice data'!A:CA,C21+52,FALSE)=0)," n/a",+((2*G21+1.96^2-1.96*SQRT(1.96^2+4*G21*(1-G21/(VLOOKUP('Hide - Control'!A$3,'All practice data'!A:CA,C21+52,FALSE)))))/(2*(((VLOOKUP('Hide - Control'!A$3,'All practice data'!A:CA,C21+52,FALSE)))+1.96^2))))</f>
        <v>0.6128614699620233</v>
      </c>
      <c r="J21" s="120">
        <f>IF(OR(LEFT(H21,1)=" ",VLOOKUP('Hide - Control'!A$3,'All practice data'!A:CA,C21+52,FALSE)=0)," n/a",+((2*G21+1.96^2+1.96*SQRT(1.96^2+4*G21*(1-G21/(VLOOKUP('Hide - Control'!A$3,'All practice data'!A:CA,C21+52,FALSE)))))/(2*((VLOOKUP('Hide - Control'!A$3,'All practice data'!A:CA,C21+52,FALSE))+1.96^2))))</f>
        <v>0.6624107313634885</v>
      </c>
      <c r="K21" s="218">
        <f>IF('Hide - Calculation'!N15="","",'Hide - Calculation'!N15)</f>
        <v>0.6139105961256325</v>
      </c>
      <c r="L21" s="155">
        <f>'Hide - Calculation'!O15</f>
        <v>0.5147293797466616</v>
      </c>
      <c r="M21" s="152">
        <f>IF(ISBLANK('Hide - Calculation'!K15),"",'Hide - Calculation'!U15)</f>
        <v>0.43396198749542236</v>
      </c>
      <c r="N21" s="160"/>
      <c r="O21" s="84"/>
      <c r="P21" s="84"/>
      <c r="Q21" s="84"/>
      <c r="R21" s="84"/>
      <c r="S21" s="84"/>
      <c r="T21" s="84"/>
      <c r="U21" s="84"/>
      <c r="V21" s="84"/>
      <c r="W21" s="84"/>
      <c r="X21" s="84"/>
      <c r="Y21" s="84"/>
      <c r="Z21" s="88"/>
      <c r="AA21" s="152">
        <f>IF(ISBLANK('Hide - Calculation'!K15),"",'Hide - Calculation'!T15)</f>
        <v>0.7295240163803101</v>
      </c>
      <c r="AB21" s="234" t="s">
        <v>48</v>
      </c>
      <c r="AC21" s="131" t="s">
        <v>556</v>
      </c>
    </row>
    <row r="22" spans="2:29" s="63" customFormat="1" ht="33.75" customHeight="1" thickBot="1">
      <c r="B22" s="309"/>
      <c r="C22" s="180">
        <v>10</v>
      </c>
      <c r="D22" s="195" t="s">
        <v>535</v>
      </c>
      <c r="E22" s="182"/>
      <c r="F22" s="182"/>
      <c r="G22" s="222">
        <f>IF(OR(VLOOKUP('Hide - Control'!A$3,'All practice data'!A:CA,C22+4,FALSE)=" ",VLOOKUP('Hide - Control'!A$3,'All practice data'!A:CA,C22+52,FALSE)=0)," n/a",VLOOKUP('Hide - Control'!A$3,'All practice data'!A:CA,C22+4,FALSE))</f>
        <v>488</v>
      </c>
      <c r="H22" s="223">
        <f>IF(OR(VLOOKUP('Hide - Control'!A$3,'All practice data'!A:CA,C22+30,FALSE)=" ",VLOOKUP('Hide - Control'!A$3,'All practice data'!A:CA,C22+52,FALSE)=0)," n/a",VLOOKUP('Hide - Control'!A$3,'All practice data'!A:CA,C22+30,FALSE))</f>
        <v>0.681564</v>
      </c>
      <c r="I22" s="196">
        <f>IF(OR(LEFT(H22,1)=" ",VLOOKUP('Hide - Control'!A$3,'All practice data'!A:CA,C22+52,FALSE)=0)," n/a",+((2*G22+1.96^2-1.96*SQRT(1.96^2+4*G22*(1-G22/(VLOOKUP('Hide - Control'!A$3,'All practice data'!A:CA,C22+52,FALSE)))))/(2*(((VLOOKUP('Hide - Control'!A$3,'All practice data'!A:CA,C22+52,FALSE)))+1.96^2))))</f>
        <v>0.6465483640710074</v>
      </c>
      <c r="J22" s="196">
        <f>IF(OR(LEFT(H22,1)=" ",VLOOKUP('Hide - Control'!A$3,'All practice data'!A:CA,C22+52,FALSE)=0)," n/a",+((2*G22+1.96^2+1.96*SQRT(1.96^2+4*G22*(1-G22/(VLOOKUP('Hide - Control'!A$3,'All practice data'!A:CA,C22+52,FALSE)))))/(2*((VLOOKUP('Hide - Control'!A$3,'All practice data'!A:CA,C22+52,FALSE))+1.96^2))))</f>
        <v>0.714642208966172</v>
      </c>
      <c r="K22" s="223">
        <f>IF('Hide - Calculation'!N16="","",'Hide - Calculation'!N16)</f>
        <v>0.6510411427421788</v>
      </c>
      <c r="L22" s="197">
        <f>'Hide - Calculation'!O16</f>
        <v>0.5752927626212945</v>
      </c>
      <c r="M22" s="198">
        <f>IF(ISBLANK('Hide - Calculation'!K16),"",'Hide - Calculation'!U16)</f>
        <v>0.47692298889160156</v>
      </c>
      <c r="N22" s="199"/>
      <c r="O22" s="91"/>
      <c r="P22" s="91"/>
      <c r="Q22" s="91"/>
      <c r="R22" s="91"/>
      <c r="S22" s="91"/>
      <c r="T22" s="91"/>
      <c r="U22" s="91"/>
      <c r="V22" s="91"/>
      <c r="W22" s="91"/>
      <c r="X22" s="91"/>
      <c r="Y22" s="91"/>
      <c r="Z22" s="188"/>
      <c r="AA22" s="198">
        <f>IF(ISBLANK('Hide - Calculation'!K16),"",'Hide - Calculation'!T16)</f>
        <v>0.7552180290222168</v>
      </c>
      <c r="AB22" s="235" t="s">
        <v>48</v>
      </c>
      <c r="AC22" s="189" t="s">
        <v>555</v>
      </c>
    </row>
    <row r="23" spans="2:29" s="63" customFormat="1" ht="33.75" customHeight="1">
      <c r="B23" s="308" t="s">
        <v>373</v>
      </c>
      <c r="C23" s="163">
        <v>11</v>
      </c>
      <c r="D23" s="179" t="s">
        <v>385</v>
      </c>
      <c r="E23" s="165"/>
      <c r="F23" s="165"/>
      <c r="G23" s="118">
        <f>IF(VLOOKUP('Hide - Control'!A$3,'All practice data'!A:CA,C23+4,FALSE)=" "," ",VLOOKUP('Hide - Control'!A$3,'All practice data'!A:CA,C23+4,FALSE))</f>
        <v>167</v>
      </c>
      <c r="H23" s="216">
        <f>IF(VLOOKUP('Hide - Control'!A$3,'All practice data'!A:CA,C23+30,FALSE)=" "," ",VLOOKUP('Hide - Control'!A$3,'All practice data'!A:CA,C23+30,FALSE))</f>
        <v>1827.3334062807746</v>
      </c>
      <c r="I23" s="215">
        <f>IF(LEFT(G23,1)=" "," n/a",IF(G23&lt;5,100000*VLOOKUP(G23,'Hide - Calculation'!AQ:AR,2,FALSE)/$E$8,100000*(G23*(1-1/(9*G23)-1.96/(3*SQRT(G23)))^3)/$E$8))</f>
        <v>1560.672951585327</v>
      </c>
      <c r="J23" s="215">
        <f>IF(LEFT(G23,1)=" "," n/a",IF(G23&lt;5,100000*VLOOKUP(G23,'Hide - Calculation'!AQ:AS,3,FALSE)/$E$8,100000*((G23+1)*(1-1/(9*(G23+1))+1.96/(3*SQRT(G23+1)))^3)/$E$8))</f>
        <v>2126.4799182065726</v>
      </c>
      <c r="K23" s="216">
        <f>IF('Hide - Calculation'!N17="","",'Hide - Calculation'!N17)</f>
        <v>2362.889490031059</v>
      </c>
      <c r="L23" s="217">
        <f>'Hide - Calculation'!O17</f>
        <v>1812.1669120472948</v>
      </c>
      <c r="M23" s="170">
        <f>IF(ISBLANK('Hide - Calculation'!K17),"",'Hide - Calculation'!U17)</f>
        <v>376.6602783203125</v>
      </c>
      <c r="N23" s="171"/>
      <c r="O23" s="172"/>
      <c r="P23" s="172"/>
      <c r="Q23" s="172"/>
      <c r="R23" s="173"/>
      <c r="S23" s="173"/>
      <c r="T23" s="173"/>
      <c r="U23" s="173"/>
      <c r="V23" s="173"/>
      <c r="W23" s="173"/>
      <c r="X23" s="173"/>
      <c r="Y23" s="173"/>
      <c r="Z23" s="174"/>
      <c r="AA23" s="170">
        <f>IF(ISBLANK('Hide - Calculation'!K17),"",'Hide - Calculation'!T17)</f>
        <v>5096.7744140625</v>
      </c>
      <c r="AB23" s="233" t="s">
        <v>26</v>
      </c>
      <c r="AC23" s="175" t="s">
        <v>555</v>
      </c>
    </row>
    <row r="24" spans="2:29" s="63" customFormat="1" ht="33.75" customHeight="1">
      <c r="B24" s="306"/>
      <c r="C24" s="137">
        <v>12</v>
      </c>
      <c r="D24" s="147" t="s">
        <v>541</v>
      </c>
      <c r="E24" s="85"/>
      <c r="F24" s="85"/>
      <c r="G24" s="118">
        <f>IF(VLOOKUP('Hide - Control'!A$3,'All practice data'!A:CA,C24+4,FALSE)=" "," ",VLOOKUP('Hide - Control'!A$3,'All practice data'!A:CA,C24+4,FALSE))</f>
        <v>167</v>
      </c>
      <c r="H24" s="119">
        <f>IF(VLOOKUP('Hide - Control'!A$3,'All practice data'!A:CA,C24+30,FALSE)=" "," ",VLOOKUP('Hide - Control'!A$3,'All practice data'!A:CA,C24+30,FALSE))</f>
        <v>0.8179319762999999</v>
      </c>
      <c r="I24" s="212">
        <f>IF(LEFT(VLOOKUP('Hide - Control'!A$3,'All practice data'!A:CA,C24+44,FALSE),1)=" "," n/a",VLOOKUP('Hide - Control'!A$3,'All practice data'!A:CA,C24+44,FALSE))</f>
        <v>0.6985810852000001</v>
      </c>
      <c r="J24" s="212">
        <f>IF(LEFT(VLOOKUP('Hide - Control'!A$3,'All practice data'!A:CA,C24+45,FALSE),1)=" "," n/a",VLOOKUP('Hide - Control'!A$3,'All practice data'!A:CA,C24+45,FALSE))</f>
        <v>0.9518256378</v>
      </c>
      <c r="K24" s="152" t="s">
        <v>650</v>
      </c>
      <c r="L24" s="213">
        <v>1</v>
      </c>
      <c r="M24" s="152">
        <f>IF(ISBLANK('Hide - Calculation'!K18),"",'Hide - Calculation'!U18)</f>
        <v>0.5016873478889465</v>
      </c>
      <c r="N24" s="86"/>
      <c r="O24" s="87"/>
      <c r="P24" s="87"/>
      <c r="Q24" s="87"/>
      <c r="R24" s="84"/>
      <c r="S24" s="84"/>
      <c r="T24" s="84"/>
      <c r="U24" s="84"/>
      <c r="V24" s="84"/>
      <c r="W24" s="84"/>
      <c r="X24" s="84"/>
      <c r="Y24" s="84"/>
      <c r="Z24" s="88"/>
      <c r="AA24" s="152">
        <f>IF(ISBLANK('Hide - Calculation'!K18),"",'Hide - Calculation'!T18)</f>
        <v>2.1879279613494873</v>
      </c>
      <c r="AB24" s="234" t="s">
        <v>26</v>
      </c>
      <c r="AC24" s="131" t="s">
        <v>555</v>
      </c>
    </row>
    <row r="25" spans="2:29" s="63" customFormat="1" ht="33.75" customHeight="1">
      <c r="B25" s="306"/>
      <c r="C25" s="137">
        <v>13</v>
      </c>
      <c r="D25" s="147" t="s">
        <v>380</v>
      </c>
      <c r="E25" s="85"/>
      <c r="F25" s="85"/>
      <c r="G25" s="118">
        <f>IF(VLOOKUP('Hide - Control'!A$3,'All practice data'!A:CA,C25+4,FALSE)=" "," ",VLOOKUP('Hide - Control'!A$3,'All practice data'!A:CA,C25+4,FALSE))</f>
        <v>28</v>
      </c>
      <c r="H25" s="119">
        <f>IF(VLOOKUP('Hide - Control'!A$3,'All practice data'!A:CA,C25+30,FALSE)=" "," ",VLOOKUP('Hide - Control'!A$3,'All practice data'!A:CA,C25+30,FALSE))</f>
        <v>0.16766467065868262</v>
      </c>
      <c r="I25" s="120">
        <f>IF(LEFT(G25,1)=" "," n/a",IF(G25=0," n/a",+((2*G25+1.96^2-1.96*SQRT(1.96^2+4*G25*(1-G25/G23)))/(2*(G23+1.96^2)))))</f>
        <v>0.1186232023496248</v>
      </c>
      <c r="J25" s="120">
        <f>IF(LEFT(G25,1)=" "," n/a",IF(G25=0," n/a",+((2*G25+1.96^2+1.96*SQRT(1.96^2+4*G25*(1-G25/G23)))/(2*(G23+1.96^2)))))</f>
        <v>0.2316521404240322</v>
      </c>
      <c r="K25" s="125">
        <f>IF('Hide - Calculation'!N19="","",'Hide - Calculation'!N19)</f>
        <v>0.1150497512437811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0.380952388048172</v>
      </c>
      <c r="AB25" s="234" t="s">
        <v>26</v>
      </c>
      <c r="AC25" s="131" t="s">
        <v>555</v>
      </c>
    </row>
    <row r="26" spans="2:29" s="63" customFormat="1" ht="33.75" customHeight="1">
      <c r="B26" s="306"/>
      <c r="C26" s="137">
        <v>14</v>
      </c>
      <c r="D26" s="147" t="s">
        <v>524</v>
      </c>
      <c r="E26" s="85"/>
      <c r="F26" s="85"/>
      <c r="G26" s="121">
        <f>IF(VLOOKUP('Hide - Control'!A$3,'All practice data'!A:CA,C26+4,FALSE)=" "," ",VLOOKUP('Hide - Control'!A$3,'All practice data'!A:CA,C26+4,FALSE))</f>
        <v>69</v>
      </c>
      <c r="H26" s="119">
        <f>IF(VLOOKUP('Hide - Control'!A$3,'All practice data'!A:CA,C26+30,FALSE)=" "," ",VLOOKUP('Hide - Control'!A$3,'All practice data'!A:CA,C26+30,FALSE))</f>
        <v>0.4057971014492754</v>
      </c>
      <c r="I26" s="120">
        <f>IF(OR(LEFT(G26,1)=" ",LEFT(G25,1)=" ")," n/a",IF(G26=0," n/a",+((2*G25+1.96^2-1.96*SQRT(1.96^2+4*G25*(1-G25/G26)))/(2*(G26+1.96^2)))))</f>
        <v>0.2978872907861346</v>
      </c>
      <c r="J26" s="120">
        <f>IF(OR(LEFT(G26,1)=" ",LEFT(G25,1)=" ")," n/a",IF(G26=0," n/a",+((2*G25+1.96^2+1.96*SQRT(1.96^2+4*G25*(1-G25/G26)))/(2*(G26+1.96^2)))))</f>
        <v>0.5236432631830259</v>
      </c>
      <c r="K26" s="125">
        <f>IF('Hide - Calculation'!N20="","",'Hide - Calculation'!N20)</f>
        <v>0.4528259902091678</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0.7083333134651184</v>
      </c>
      <c r="AB26" s="234" t="s">
        <v>26</v>
      </c>
      <c r="AC26" s="131" t="s">
        <v>555</v>
      </c>
    </row>
    <row r="27" spans="2:29" s="63" customFormat="1" ht="33.75" customHeight="1">
      <c r="B27" s="306"/>
      <c r="C27" s="137">
        <v>15</v>
      </c>
      <c r="D27" s="147" t="s">
        <v>511</v>
      </c>
      <c r="E27" s="85"/>
      <c r="F27" s="85"/>
      <c r="G27" s="121">
        <f>IF(VLOOKUP('Hide - Control'!A$3,'All practice data'!A:CA,C27+4,FALSE)=" "," ",VLOOKUP('Hide - Control'!A$3,'All practice data'!A:CA,C27+4,FALSE))</f>
        <v>33</v>
      </c>
      <c r="H27" s="122">
        <f>IF(VLOOKUP('Hide - Control'!A$3,'All practice data'!A:CA,C27+30,FALSE)=" "," ",VLOOKUP('Hide - Control'!A$3,'All practice data'!A:CA,C27+30,FALSE))</f>
        <v>361.0898347740453</v>
      </c>
      <c r="I27" s="123">
        <f>IF(LEFT(G27,1)=" "," n/a",IF(G27&lt;5,100000*VLOOKUP(G27,'Hide - Calculation'!AQ:AR,2,FALSE)/$E$8,100000*(G27*(1-1/(9*G27)-1.96/(3*SQRT(G27)))^3)/$E$8))</f>
        <v>248.51531066085212</v>
      </c>
      <c r="J27" s="123">
        <f>IF(LEFT(G27,1)=" "," n/a",IF(G27&lt;5,100000*VLOOKUP(G27,'Hide - Calculation'!AQ:AS,3,FALSE)/$E$8,100000*((G27+1)*(1-1/(9*(G27+1))+1.96/(3*SQRT(G27+1)))^3)/$E$8))</f>
        <v>507.12353756111503</v>
      </c>
      <c r="K27" s="122">
        <f>IF('Hide - Calculation'!N21="","",'Hide - Calculation'!N21)</f>
        <v>344.6548442039876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752.6881713867188</v>
      </c>
      <c r="AB27" s="234" t="s">
        <v>26</v>
      </c>
      <c r="AC27" s="131" t="s">
        <v>555</v>
      </c>
    </row>
    <row r="28" spans="2:29" s="63" customFormat="1" ht="33.75" customHeight="1">
      <c r="B28" s="306"/>
      <c r="C28" s="137">
        <v>16</v>
      </c>
      <c r="D28" s="147" t="s">
        <v>512</v>
      </c>
      <c r="E28" s="85"/>
      <c r="F28" s="85"/>
      <c r="G28" s="121">
        <f>IF(VLOOKUP('Hide - Control'!A$3,'All practice data'!A:CA,C28+4,FALSE)=" "," ",VLOOKUP('Hide - Control'!A$3,'All practice data'!A:CA,C28+4,FALSE))</f>
        <v>28</v>
      </c>
      <c r="H28" s="122">
        <f>IF(VLOOKUP('Hide - Control'!A$3,'All practice data'!A:CA,C28+30,FALSE)=" "," ",VLOOKUP('Hide - Control'!A$3,'All practice data'!A:CA,C28+30,FALSE))</f>
        <v>306.3792537476748</v>
      </c>
      <c r="I28" s="123">
        <f>IF(LEFT(G28,1)=" "," n/a",IF(G28&lt;5,100000*VLOOKUP(G28,'Hide - Calculation'!AQ:AR,2,FALSE)/$E$8,100000*(G28*(1-1/(9*G28)-1.96/(3*SQRT(G28)))^3)/$E$8))</f>
        <v>203.540228991815</v>
      </c>
      <c r="J28" s="123">
        <f>IF(LEFT(G28,1)=" "," n/a",IF(G28&lt;5,100000*VLOOKUP(G28,'Hide - Calculation'!AQ:AS,3,FALSE)/$E$8,100000*((G28+1)*(1-1/(9*(G28+1))+1.96/(3*SQRT(G28+1)))^3)/$E$8))</f>
        <v>442.8225380787405</v>
      </c>
      <c r="K28" s="122">
        <f>IF('Hide - Calculation'!N22="","",'Hide - Calculation'!N22)</f>
        <v>427.7460508299102</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914.7809448242188</v>
      </c>
      <c r="AB28" s="234" t="s">
        <v>26</v>
      </c>
      <c r="AC28" s="131" t="s">
        <v>555</v>
      </c>
    </row>
    <row r="29" spans="2:29" s="63" customFormat="1" ht="33.75" customHeight="1">
      <c r="B29" s="306"/>
      <c r="C29" s="137">
        <v>17</v>
      </c>
      <c r="D29" s="147" t="s">
        <v>513</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51.43105233276559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175.50018310546875</v>
      </c>
      <c r="AB29" s="234" t="s">
        <v>26</v>
      </c>
      <c r="AC29" s="131" t="s">
        <v>555</v>
      </c>
    </row>
    <row r="30" spans="2:29" s="63" customFormat="1" ht="33.75" customHeight="1" thickBot="1">
      <c r="B30" s="309"/>
      <c r="C30" s="180">
        <v>18</v>
      </c>
      <c r="D30" s="181" t="s">
        <v>514</v>
      </c>
      <c r="E30" s="182"/>
      <c r="F30" s="182"/>
      <c r="G30" s="183">
        <f>IF(VLOOKUP('Hide - Control'!A$3,'All practice data'!A:CA,C30+4,FALSE)=" "," ",VLOOKUP('Hide - Control'!A$3,'All practice data'!A:CA,C30+4,FALSE))</f>
        <v>28</v>
      </c>
      <c r="H30" s="184">
        <f>IF(VLOOKUP('Hide - Control'!A$3,'All practice data'!A:CA,C30+30,FALSE)=" "," ",VLOOKUP('Hide - Control'!A$3,'All practice data'!A:CA,C30+30,FALSE))</f>
        <v>306.3792537476748</v>
      </c>
      <c r="I30" s="185">
        <f>IF(LEFT(G30,1)=" "," n/a",IF(G30&lt;5,100000*VLOOKUP(G30,'Hide - Calculation'!AQ:AR,2,FALSE)/$E$8,100000*(G30*(1-1/(9*G30)-1.96/(3*SQRT(G30)))^3)/$E$8))</f>
        <v>203.540228991815</v>
      </c>
      <c r="J30" s="185">
        <f>IF(LEFT(G30,1)=" "," n/a",IF(G30&lt;5,100000*VLOOKUP(G30,'Hide - Calculation'!AQ:AS,3,FALSE)/$E$8,100000*((G30+1)*(1-1/(9*(G30+1))+1.96/(3*SQRT(G30+1)))^3)/$E$8))</f>
        <v>442.8225380787405</v>
      </c>
      <c r="K30" s="184">
        <f>IF('Hide - Calculation'!N24="","",'Hide - Calculation'!N24)</f>
        <v>449.52075610326284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1397.8494873046875</v>
      </c>
      <c r="AB30" s="235" t="s">
        <v>26</v>
      </c>
      <c r="AC30" s="189" t="s">
        <v>555</v>
      </c>
    </row>
    <row r="31" spans="2:29" s="63" customFormat="1" ht="33.75" customHeight="1">
      <c r="B31" s="304" t="s">
        <v>382</v>
      </c>
      <c r="C31" s="163">
        <v>19</v>
      </c>
      <c r="D31" s="164" t="s">
        <v>386</v>
      </c>
      <c r="E31" s="165"/>
      <c r="F31" s="165"/>
      <c r="G31" s="166">
        <f>IF(VLOOKUP('Hide - Control'!A$3,'All practice data'!A:CA,C31+4,FALSE)=" "," ",VLOOKUP('Hide - Control'!A$3,'All practice data'!A:CA,C31+4,FALSE))</f>
        <v>34</v>
      </c>
      <c r="H31" s="167">
        <f>IF(VLOOKUP('Hide - Control'!A$3,'All practice data'!A:CA,C31+30,FALSE)=" "," ",VLOOKUP('Hide - Control'!A$3,'All practice data'!A:CA,C31+30,FALSE))</f>
        <v>372.0319509793194</v>
      </c>
      <c r="I31" s="168">
        <f>IF(LEFT(G31,1)=" "," n/a",IF(G31&lt;5,100000*VLOOKUP(G31,'Hide - Calculation'!AQ:AR,2,FALSE)/$E$8,100000*(G31*(1-1/(9*G31)-1.96/(3*SQRT(G31)))^3)/$E$8))</f>
        <v>257.601342371816</v>
      </c>
      <c r="J31" s="168">
        <f>IF(LEFT(G31,1)=" "," n/a",IF(G31&lt;5,100000*VLOOKUP(G31,'Hide - Calculation'!AQ:AS,3,FALSE)/$E$8,100000*((G31+1)*(1-1/(9*(G31+1))+1.96/(3*SQRT(G31+1)))^3)/$E$8))</f>
        <v>519.8964955354638</v>
      </c>
      <c r="K31" s="167">
        <f>IF('Hide - Calculation'!N25="","",'Hide - Calculation'!N25)</f>
        <v>559.3293925124403</v>
      </c>
      <c r="L31" s="169">
        <f>'Hide - Calculation'!O25</f>
        <v>562.6134400960308</v>
      </c>
      <c r="M31" s="170">
        <f>IF(ISBLANK('Hide - Calculation'!K25),"",'Hide - Calculation'!U25)</f>
        <v>71.23775482177734</v>
      </c>
      <c r="N31" s="171"/>
      <c r="O31" s="172"/>
      <c r="P31" s="172"/>
      <c r="Q31" s="172"/>
      <c r="R31" s="173"/>
      <c r="S31" s="173"/>
      <c r="T31" s="173"/>
      <c r="U31" s="173"/>
      <c r="V31" s="173"/>
      <c r="W31" s="173"/>
      <c r="X31" s="173"/>
      <c r="Y31" s="173"/>
      <c r="Z31" s="174"/>
      <c r="AA31" s="170">
        <f>IF(ISBLANK('Hide - Calculation'!K25),"",'Hide - Calculation'!T25)</f>
        <v>1849.46240234375</v>
      </c>
      <c r="AB31" s="233" t="s">
        <v>47</v>
      </c>
      <c r="AC31" s="175" t="s">
        <v>555</v>
      </c>
    </row>
    <row r="32" spans="2:29" s="63" customFormat="1" ht="33.75" customHeight="1">
      <c r="B32" s="305"/>
      <c r="C32" s="137">
        <v>20</v>
      </c>
      <c r="D32" s="132" t="s">
        <v>387</v>
      </c>
      <c r="E32" s="85"/>
      <c r="F32" s="85"/>
      <c r="G32" s="121">
        <f>IF(VLOOKUP('Hide - Control'!A$3,'All practice data'!A:CA,C32+4,FALSE)=" "," ",VLOOKUP('Hide - Control'!A$3,'All practice data'!A:CA,C32+4,FALSE))</f>
        <v>56</v>
      </c>
      <c r="H32" s="122">
        <f>IF(VLOOKUP('Hide - Control'!A$3,'All practice data'!A:CA,C32+30,FALSE)=" "," ",VLOOKUP('Hide - Control'!A$3,'All practice data'!A:CA,C32+30,FALSE))</f>
        <v>612.7585074953496</v>
      </c>
      <c r="I32" s="123">
        <f>IF(LEFT(G32,1)=" "," n/a",IF(G32&lt;5,100000*VLOOKUP(G32,'Hide - Calculation'!AQ:AR,2,FALSE)/$E$8,100000*(G32*(1-1/(9*G32)-1.96/(3*SQRT(G32)))^3)/$E$8))</f>
        <v>462.83951482809346</v>
      </c>
      <c r="J32" s="123">
        <f>IF(LEFT(G32,1)=" "," n/a",IF(G32&lt;5,100000*VLOOKUP(G32,'Hide - Calculation'!AQ:AS,3,FALSE)/$E$8,100000*((G32+1)*(1-1/(9*(G32+1))+1.96/(3*SQRT(G32+1)))^3)/$E$8))</f>
        <v>795.7362033351279</v>
      </c>
      <c r="K32" s="122">
        <f>IF('Hide - Calculation'!N26="","",'Hide - Calculation'!N26)</f>
        <v>476.9061216310991</v>
      </c>
      <c r="L32" s="156">
        <f>'Hide - Calculation'!O26</f>
        <v>405.57105879375996</v>
      </c>
      <c r="M32" s="148">
        <f>IF(ISBLANK('Hide - Calculation'!K26),"",'Hide - Calculation'!U26)</f>
        <v>55.493896484375</v>
      </c>
      <c r="N32" s="86"/>
      <c r="O32" s="87"/>
      <c r="P32" s="87"/>
      <c r="Q32" s="87"/>
      <c r="R32" s="84"/>
      <c r="S32" s="84"/>
      <c r="T32" s="84"/>
      <c r="U32" s="84"/>
      <c r="V32" s="84"/>
      <c r="W32" s="84"/>
      <c r="X32" s="84"/>
      <c r="Y32" s="84"/>
      <c r="Z32" s="88"/>
      <c r="AA32" s="148">
        <f>IF(ISBLANK('Hide - Calculation'!K26),"",'Hide - Calculation'!T26)</f>
        <v>867.7991333007812</v>
      </c>
      <c r="AB32" s="234" t="s">
        <v>47</v>
      </c>
      <c r="AC32" s="131" t="s">
        <v>555</v>
      </c>
    </row>
    <row r="33" spans="2:29" s="63" customFormat="1" ht="33.75" customHeight="1">
      <c r="B33" s="305"/>
      <c r="C33" s="137">
        <v>21</v>
      </c>
      <c r="D33" s="132" t="s">
        <v>389</v>
      </c>
      <c r="E33" s="85"/>
      <c r="F33" s="85"/>
      <c r="G33" s="121">
        <f>IF(VLOOKUP('Hide - Control'!A$3,'All practice data'!A:CA,C33+4,FALSE)=" "," ",VLOOKUP('Hide - Control'!A$3,'All practice data'!A:CA,C33+4,FALSE))</f>
        <v>102</v>
      </c>
      <c r="H33" s="122">
        <f>IF(VLOOKUP('Hide - Control'!A$3,'All practice data'!A:CA,C33+30,FALSE)=" "," ",VLOOKUP('Hide - Control'!A$3,'All practice data'!A:CA,C33+30,FALSE))</f>
        <v>1116.0958529379582</v>
      </c>
      <c r="I33" s="123">
        <f>IF(LEFT(G33,1)=" "," n/a",IF(G33&lt;5,100000*VLOOKUP(G33,'Hide - Calculation'!AQ:AR,2,FALSE)/$E$8,100000*(G33*(1-1/(9*G33)-1.96/(3*SQRT(G33)))^3)/$E$8))</f>
        <v>910.0189178732737</v>
      </c>
      <c r="J33" s="123">
        <f>IF(LEFT(G33,1)=" "," n/a",IF(G33&lt;5,100000*VLOOKUP(G33,'Hide - Calculation'!AQ:AS,3,FALSE)/$E$8,100000*((G33+1)*(1-1/(9*(G33+1))+1.96/(3*SQRT(G33+1)))^3)/$E$8))</f>
        <v>1354.8811705546166</v>
      </c>
      <c r="K33" s="122">
        <f>IF('Hide - Calculation'!N27="","",'Hide - Calculation'!N27)</f>
        <v>1167.6852686771533</v>
      </c>
      <c r="L33" s="156">
        <f>'Hide - Calculation'!O27</f>
        <v>1059.3522061277838</v>
      </c>
      <c r="M33" s="148">
        <f>IF(ISBLANK('Hide - Calculation'!K27),"",'Hide - Calculation'!U27)</f>
        <v>195.90382385253906</v>
      </c>
      <c r="N33" s="86"/>
      <c r="O33" s="87"/>
      <c r="P33" s="87"/>
      <c r="Q33" s="87"/>
      <c r="R33" s="84"/>
      <c r="S33" s="84"/>
      <c r="T33" s="84"/>
      <c r="U33" s="84"/>
      <c r="V33" s="84"/>
      <c r="W33" s="84"/>
      <c r="X33" s="84"/>
      <c r="Y33" s="84"/>
      <c r="Z33" s="88"/>
      <c r="AA33" s="148">
        <f>IF(ISBLANK('Hide - Calculation'!K27),"",'Hide - Calculation'!T27)</f>
        <v>2107.52685546875</v>
      </c>
      <c r="AB33" s="234" t="s">
        <v>47</v>
      </c>
      <c r="AC33" s="131" t="s">
        <v>555</v>
      </c>
    </row>
    <row r="34" spans="2:29" s="63" customFormat="1" ht="33.75" customHeight="1">
      <c r="B34" s="305"/>
      <c r="C34" s="137">
        <v>22</v>
      </c>
      <c r="D34" s="132" t="s">
        <v>388</v>
      </c>
      <c r="E34" s="85"/>
      <c r="F34" s="85"/>
      <c r="G34" s="118">
        <f>IF(VLOOKUP('Hide - Control'!A$3,'All practice data'!A:CA,C34+4,FALSE)=" "," ",VLOOKUP('Hide - Control'!A$3,'All practice data'!A:CA,C34+4,FALSE))</f>
        <v>74</v>
      </c>
      <c r="H34" s="122">
        <f>IF(VLOOKUP('Hide - Control'!A$3,'All practice data'!A:CA,C34+30,FALSE)=" "," ",VLOOKUP('Hide - Control'!A$3,'All practice data'!A:CA,C34+30,FALSE))</f>
        <v>809.7165991902834</v>
      </c>
      <c r="I34" s="123">
        <f>IF(LEFT(G34,1)=" "," n/a",IF(G34&lt;5,100000*VLOOKUP(G34,'Hide - Calculation'!AQ:AR,2,FALSE)/$E$8,100000*(G34*(1-1/(9*G34)-1.96/(3*SQRT(G34)))^3)/$E$8))</f>
        <v>635.7741122599808</v>
      </c>
      <c r="J34" s="123">
        <f>IF(LEFT(G34,1)=" "," n/a",IF(G34&lt;5,100000*VLOOKUP(G34,'Hide - Calculation'!AQ:AS,3,FALSE)/$E$8,100000*((G34+1)*(1-1/(9*(G34+1))+1.96/(3*SQRT(G34+1)))^3)/$E$8))</f>
        <v>1016.5427221006398</v>
      </c>
      <c r="K34" s="122">
        <f>IF('Hide - Calculation'!N28="","",'Hide - Calculation'!N28)</f>
        <v>637.2107003306282</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1364.14697265625</v>
      </c>
      <c r="AB34" s="234" t="s">
        <v>47</v>
      </c>
      <c r="AC34" s="131" t="s">
        <v>555</v>
      </c>
    </row>
    <row r="35" spans="2:29" s="63" customFormat="1" ht="33.75" customHeight="1">
      <c r="B35" s="305"/>
      <c r="C35" s="137">
        <v>23</v>
      </c>
      <c r="D35" s="138" t="s">
        <v>515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374</v>
      </c>
      <c r="AC35" s="131">
        <v>2008</v>
      </c>
    </row>
    <row r="36" spans="2:29" ht="33.75" customHeight="1">
      <c r="B36" s="306"/>
      <c r="C36" s="137">
        <v>24</v>
      </c>
      <c r="D36" s="224" t="s">
        <v>516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374</v>
      </c>
      <c r="AC36" s="131">
        <v>2008</v>
      </c>
    </row>
    <row r="37" spans="2:29" ht="33.75" customHeight="1" thickBot="1">
      <c r="B37" s="307"/>
      <c r="C37" s="176">
        <v>25</v>
      </c>
      <c r="D37" s="177" t="s">
        <v>390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374</v>
      </c>
      <c r="AC37" s="149">
        <v>2008</v>
      </c>
    </row>
    <row r="38" spans="2:29" ht="16.5" customHeight="1">
      <c r="B38" s="69"/>
      <c r="C38" s="69"/>
      <c r="D38" s="65" t="s">
        <v>372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649</v>
      </c>
      <c r="C39" s="244"/>
      <c r="D39" s="244"/>
      <c r="E39" s="303" t="s">
        <v>653</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540</v>
      </c>
      <c r="BE2" s="341"/>
      <c r="BF2" s="341"/>
      <c r="BG2" s="341"/>
      <c r="BH2" s="341"/>
      <c r="BI2" s="341"/>
      <c r="BJ2" s="342"/>
    </row>
    <row r="3" spans="1:82" s="72" customFormat="1" ht="76.5" customHeight="1">
      <c r="A3" s="266" t="s">
        <v>276</v>
      </c>
      <c r="B3" s="275" t="s">
        <v>277</v>
      </c>
      <c r="C3" s="276" t="s">
        <v>49</v>
      </c>
      <c r="D3" s="274" t="s">
        <v>525</v>
      </c>
      <c r="E3" s="267" t="s">
        <v>397</v>
      </c>
      <c r="F3" s="267" t="s">
        <v>508</v>
      </c>
      <c r="G3" s="267" t="s">
        <v>399</v>
      </c>
      <c r="H3" s="267" t="s">
        <v>400</v>
      </c>
      <c r="I3" s="267" t="s">
        <v>401</v>
      </c>
      <c r="J3" s="267" t="s">
        <v>549</v>
      </c>
      <c r="K3" s="267" t="s">
        <v>550</v>
      </c>
      <c r="L3" s="267" t="s">
        <v>551</v>
      </c>
      <c r="M3" s="267" t="s">
        <v>402</v>
      </c>
      <c r="N3" s="267" t="s">
        <v>403</v>
      </c>
      <c r="O3" s="267" t="s">
        <v>404</v>
      </c>
      <c r="P3" s="267" t="s">
        <v>539</v>
      </c>
      <c r="Q3" s="267" t="s">
        <v>405</v>
      </c>
      <c r="R3" s="267" t="s">
        <v>406</v>
      </c>
      <c r="S3" s="267" t="s">
        <v>407</v>
      </c>
      <c r="T3" s="267" t="s">
        <v>408</v>
      </c>
      <c r="U3" s="267" t="s">
        <v>409</v>
      </c>
      <c r="V3" s="267" t="s">
        <v>410</v>
      </c>
      <c r="W3" s="267" t="s">
        <v>411</v>
      </c>
      <c r="X3" s="267" t="s">
        <v>412</v>
      </c>
      <c r="Y3" s="267" t="s">
        <v>413</v>
      </c>
      <c r="Z3" s="267" t="s">
        <v>414</v>
      </c>
      <c r="AA3" s="267" t="s">
        <v>415</v>
      </c>
      <c r="AB3" s="267" t="s">
        <v>416</v>
      </c>
      <c r="AC3" s="267" t="s">
        <v>417</v>
      </c>
      <c r="AD3" s="268" t="s">
        <v>418</v>
      </c>
      <c r="AE3" s="268" t="s">
        <v>397</v>
      </c>
      <c r="AF3" s="269" t="s">
        <v>398</v>
      </c>
      <c r="AG3" s="268" t="s">
        <v>399</v>
      </c>
      <c r="AH3" s="268" t="s">
        <v>400</v>
      </c>
      <c r="AI3" s="268" t="s">
        <v>401</v>
      </c>
      <c r="AJ3" s="268" t="s">
        <v>549</v>
      </c>
      <c r="AK3" s="268" t="s">
        <v>550</v>
      </c>
      <c r="AL3" s="268" t="s">
        <v>551</v>
      </c>
      <c r="AM3" s="268" t="s">
        <v>402</v>
      </c>
      <c r="AN3" s="268" t="s">
        <v>403</v>
      </c>
      <c r="AO3" s="268" t="s">
        <v>404</v>
      </c>
      <c r="AP3" s="268" t="s">
        <v>539</v>
      </c>
      <c r="AQ3" s="268" t="s">
        <v>405</v>
      </c>
      <c r="AR3" s="268" t="s">
        <v>406</v>
      </c>
      <c r="AS3" s="268" t="s">
        <v>407</v>
      </c>
      <c r="AT3" s="268" t="s">
        <v>408</v>
      </c>
      <c r="AU3" s="268" t="s">
        <v>409</v>
      </c>
      <c r="AV3" s="268" t="s">
        <v>410</v>
      </c>
      <c r="AW3" s="268" t="s">
        <v>411</v>
      </c>
      <c r="AX3" s="268" t="s">
        <v>412</v>
      </c>
      <c r="AY3" s="270" t="s">
        <v>413</v>
      </c>
      <c r="AZ3" s="271" t="s">
        <v>414</v>
      </c>
      <c r="BA3" s="271" t="s">
        <v>415</v>
      </c>
      <c r="BB3" s="271" t="s">
        <v>416</v>
      </c>
      <c r="BC3" s="272" t="s">
        <v>417</v>
      </c>
      <c r="BD3" s="273" t="s">
        <v>537</v>
      </c>
      <c r="BE3" s="273" t="s">
        <v>538</v>
      </c>
      <c r="BF3" s="273" t="s">
        <v>545</v>
      </c>
      <c r="BG3" s="273" t="s">
        <v>546</v>
      </c>
      <c r="BH3" s="273" t="s">
        <v>544</v>
      </c>
      <c r="BI3" s="273" t="s">
        <v>547</v>
      </c>
      <c r="BJ3" s="273" t="s">
        <v>548</v>
      </c>
      <c r="BK3" s="73"/>
      <c r="BL3" s="73"/>
      <c r="BM3" s="73"/>
      <c r="BN3" s="73"/>
      <c r="BO3" s="73"/>
      <c r="BP3" s="73"/>
      <c r="BQ3" s="73"/>
      <c r="BR3" s="73"/>
      <c r="BS3" s="73"/>
      <c r="BT3" s="73"/>
      <c r="BU3" s="73"/>
      <c r="BV3" s="73"/>
      <c r="BW3" s="73"/>
      <c r="BX3" s="73"/>
      <c r="BY3" s="73"/>
      <c r="BZ3" s="73"/>
      <c r="CA3" s="73"/>
      <c r="CB3" s="73"/>
      <c r="CC3" s="73"/>
      <c r="CD3" s="73"/>
    </row>
    <row r="4" spans="1:66" ht="12.75">
      <c r="A4" s="79" t="s">
        <v>631</v>
      </c>
      <c r="B4" s="79" t="s">
        <v>358</v>
      </c>
      <c r="C4" s="79" t="s">
        <v>243</v>
      </c>
      <c r="D4" s="99">
        <v>9139</v>
      </c>
      <c r="E4" s="99">
        <v>2051</v>
      </c>
      <c r="F4" s="99" t="s">
        <v>394</v>
      </c>
      <c r="G4" s="99">
        <v>67</v>
      </c>
      <c r="H4" s="99">
        <v>25</v>
      </c>
      <c r="I4" s="99">
        <v>194</v>
      </c>
      <c r="J4" s="99">
        <v>1177</v>
      </c>
      <c r="K4" s="99">
        <v>473</v>
      </c>
      <c r="L4" s="99">
        <v>1841</v>
      </c>
      <c r="M4" s="99">
        <v>920</v>
      </c>
      <c r="N4" s="99">
        <v>488</v>
      </c>
      <c r="O4" s="99">
        <v>167</v>
      </c>
      <c r="P4" s="159">
        <v>167</v>
      </c>
      <c r="Q4" s="99">
        <v>28</v>
      </c>
      <c r="R4" s="99">
        <v>69</v>
      </c>
      <c r="S4" s="99">
        <v>33</v>
      </c>
      <c r="T4" s="99">
        <v>28</v>
      </c>
      <c r="U4" s="99" t="s">
        <v>652</v>
      </c>
      <c r="V4" s="99">
        <v>28</v>
      </c>
      <c r="W4" s="99">
        <v>34</v>
      </c>
      <c r="X4" s="99">
        <v>56</v>
      </c>
      <c r="Y4" s="99">
        <v>102</v>
      </c>
      <c r="Z4" s="99">
        <v>74</v>
      </c>
      <c r="AA4" s="99" t="s">
        <v>652</v>
      </c>
      <c r="AB4" s="99" t="s">
        <v>652</v>
      </c>
      <c r="AC4" s="99" t="s">
        <v>652</v>
      </c>
      <c r="AD4" s="98" t="s">
        <v>372</v>
      </c>
      <c r="AE4" s="100">
        <v>0.2244228033701718</v>
      </c>
      <c r="AF4" s="100">
        <v>0.1</v>
      </c>
      <c r="AG4" s="98">
        <v>733.1217857533647</v>
      </c>
      <c r="AH4" s="98">
        <v>273.5529051318525</v>
      </c>
      <c r="AI4" s="100">
        <v>0.021</v>
      </c>
      <c r="AJ4" s="100">
        <v>0.821354</v>
      </c>
      <c r="AK4" s="100">
        <v>0.822609</v>
      </c>
      <c r="AL4" s="100">
        <v>0.827788</v>
      </c>
      <c r="AM4" s="100">
        <v>0.638003</v>
      </c>
      <c r="AN4" s="100">
        <v>0.681564</v>
      </c>
      <c r="AO4" s="98">
        <v>1827.3334062807746</v>
      </c>
      <c r="AP4" s="158">
        <v>0.8179319762999999</v>
      </c>
      <c r="AQ4" s="100">
        <v>0.16766467065868262</v>
      </c>
      <c r="AR4" s="100">
        <v>0.4057971014492754</v>
      </c>
      <c r="AS4" s="98">
        <v>361.0898347740453</v>
      </c>
      <c r="AT4" s="98">
        <v>306.3792537476748</v>
      </c>
      <c r="AU4" s="98" t="s">
        <v>652</v>
      </c>
      <c r="AV4" s="98">
        <v>306.3792537476748</v>
      </c>
      <c r="AW4" s="98">
        <v>372.0319509793194</v>
      </c>
      <c r="AX4" s="98">
        <v>612.7585074953496</v>
      </c>
      <c r="AY4" s="98">
        <v>1116.0958529379582</v>
      </c>
      <c r="AZ4" s="98">
        <v>809.7165991902834</v>
      </c>
      <c r="BA4" s="100" t="s">
        <v>652</v>
      </c>
      <c r="BB4" s="100" t="s">
        <v>652</v>
      </c>
      <c r="BC4" s="100" t="s">
        <v>652</v>
      </c>
      <c r="BD4" s="158">
        <v>0.6985810852000001</v>
      </c>
      <c r="BE4" s="158">
        <v>0.9518256378</v>
      </c>
      <c r="BF4" s="162">
        <v>1433</v>
      </c>
      <c r="BG4" s="162">
        <v>575</v>
      </c>
      <c r="BH4" s="162">
        <v>2224</v>
      </c>
      <c r="BI4" s="162">
        <v>1442</v>
      </c>
      <c r="BJ4" s="162">
        <v>716</v>
      </c>
      <c r="BK4" s="97"/>
      <c r="BL4" s="97"/>
      <c r="BM4" s="97"/>
      <c r="BN4" s="97"/>
    </row>
    <row r="5" spans="1:66" ht="12.75">
      <c r="A5" s="79" t="s">
        <v>640</v>
      </c>
      <c r="B5" s="79" t="s">
        <v>367</v>
      </c>
      <c r="C5" s="79" t="s">
        <v>243</v>
      </c>
      <c r="D5" s="99">
        <v>2814</v>
      </c>
      <c r="E5" s="99">
        <v>708</v>
      </c>
      <c r="F5" s="99" t="s">
        <v>394</v>
      </c>
      <c r="G5" s="99">
        <v>13</v>
      </c>
      <c r="H5" s="99" t="s">
        <v>652</v>
      </c>
      <c r="I5" s="99">
        <v>45</v>
      </c>
      <c r="J5" s="99">
        <v>395</v>
      </c>
      <c r="K5" s="99">
        <v>147</v>
      </c>
      <c r="L5" s="99">
        <v>541</v>
      </c>
      <c r="M5" s="99">
        <v>341</v>
      </c>
      <c r="N5" s="99">
        <v>174</v>
      </c>
      <c r="O5" s="99">
        <v>46</v>
      </c>
      <c r="P5" s="159">
        <v>46</v>
      </c>
      <c r="Q5" s="99" t="s">
        <v>652</v>
      </c>
      <c r="R5" s="99">
        <v>13</v>
      </c>
      <c r="S5" s="99">
        <v>8</v>
      </c>
      <c r="T5" s="99">
        <v>9</v>
      </c>
      <c r="U5" s="99" t="s">
        <v>652</v>
      </c>
      <c r="V5" s="99">
        <v>7</v>
      </c>
      <c r="W5" s="99">
        <v>12</v>
      </c>
      <c r="X5" s="99">
        <v>9</v>
      </c>
      <c r="Y5" s="99">
        <v>18</v>
      </c>
      <c r="Z5" s="99">
        <v>9</v>
      </c>
      <c r="AA5" s="99" t="s">
        <v>652</v>
      </c>
      <c r="AB5" s="99" t="s">
        <v>652</v>
      </c>
      <c r="AC5" s="99" t="s">
        <v>652</v>
      </c>
      <c r="AD5" s="98" t="s">
        <v>372</v>
      </c>
      <c r="AE5" s="100">
        <v>0.2515991471215352</v>
      </c>
      <c r="AF5" s="100">
        <v>0.1</v>
      </c>
      <c r="AG5" s="98">
        <v>461.9758351101635</v>
      </c>
      <c r="AH5" s="98" t="s">
        <v>652</v>
      </c>
      <c r="AI5" s="100">
        <v>0.016</v>
      </c>
      <c r="AJ5" s="100">
        <v>0.791583</v>
      </c>
      <c r="AK5" s="100">
        <v>0.765625</v>
      </c>
      <c r="AL5" s="100">
        <v>0.797935</v>
      </c>
      <c r="AM5" s="100">
        <v>0.610018</v>
      </c>
      <c r="AN5" s="100">
        <v>0.651685</v>
      </c>
      <c r="AO5" s="98">
        <v>1634.6837242359632</v>
      </c>
      <c r="AP5" s="158">
        <v>0.6761475372</v>
      </c>
      <c r="AQ5" s="100" t="s">
        <v>652</v>
      </c>
      <c r="AR5" s="100" t="s">
        <v>652</v>
      </c>
      <c r="AS5" s="98">
        <v>284.29282160625445</v>
      </c>
      <c r="AT5" s="98">
        <v>319.8294243070362</v>
      </c>
      <c r="AU5" s="98" t="s">
        <v>652</v>
      </c>
      <c r="AV5" s="98">
        <v>248.75621890547265</v>
      </c>
      <c r="AW5" s="98">
        <v>426.43923240938165</v>
      </c>
      <c r="AX5" s="98">
        <v>319.8294243070362</v>
      </c>
      <c r="AY5" s="98">
        <v>639.6588486140724</v>
      </c>
      <c r="AZ5" s="98">
        <v>319.8294243070362</v>
      </c>
      <c r="BA5" s="100" t="s">
        <v>652</v>
      </c>
      <c r="BB5" s="100" t="s">
        <v>652</v>
      </c>
      <c r="BC5" s="100" t="s">
        <v>652</v>
      </c>
      <c r="BD5" s="158">
        <v>0.49502498629999997</v>
      </c>
      <c r="BE5" s="158">
        <v>0.9018860626</v>
      </c>
      <c r="BF5" s="162">
        <v>499</v>
      </c>
      <c r="BG5" s="162">
        <v>192</v>
      </c>
      <c r="BH5" s="162">
        <v>678</v>
      </c>
      <c r="BI5" s="162">
        <v>559</v>
      </c>
      <c r="BJ5" s="162">
        <v>267</v>
      </c>
      <c r="BK5" s="97"/>
      <c r="BL5" s="97"/>
      <c r="BM5" s="97"/>
      <c r="BN5" s="97"/>
    </row>
    <row r="6" spans="1:66" ht="12.75">
      <c r="A6" s="79" t="s">
        <v>584</v>
      </c>
      <c r="B6" s="79" t="s">
        <v>310</v>
      </c>
      <c r="C6" s="79" t="s">
        <v>243</v>
      </c>
      <c r="D6" s="99">
        <v>17008</v>
      </c>
      <c r="E6" s="99">
        <v>3487</v>
      </c>
      <c r="F6" s="99" t="s">
        <v>394</v>
      </c>
      <c r="G6" s="99">
        <v>106</v>
      </c>
      <c r="H6" s="99">
        <v>48</v>
      </c>
      <c r="I6" s="99">
        <v>377</v>
      </c>
      <c r="J6" s="99">
        <v>1742</v>
      </c>
      <c r="K6" s="99">
        <v>666</v>
      </c>
      <c r="L6" s="99">
        <v>3148</v>
      </c>
      <c r="M6" s="99">
        <v>1368</v>
      </c>
      <c r="N6" s="99">
        <v>691</v>
      </c>
      <c r="O6" s="99">
        <v>335</v>
      </c>
      <c r="P6" s="159">
        <v>335</v>
      </c>
      <c r="Q6" s="99">
        <v>47</v>
      </c>
      <c r="R6" s="99">
        <v>110</v>
      </c>
      <c r="S6" s="99">
        <v>40</v>
      </c>
      <c r="T6" s="99">
        <v>65</v>
      </c>
      <c r="U6" s="99" t="s">
        <v>652</v>
      </c>
      <c r="V6" s="99">
        <v>68</v>
      </c>
      <c r="W6" s="99">
        <v>80</v>
      </c>
      <c r="X6" s="99">
        <v>75</v>
      </c>
      <c r="Y6" s="99">
        <v>239</v>
      </c>
      <c r="Z6" s="99">
        <v>107</v>
      </c>
      <c r="AA6" s="99" t="s">
        <v>652</v>
      </c>
      <c r="AB6" s="99" t="s">
        <v>652</v>
      </c>
      <c r="AC6" s="99" t="s">
        <v>652</v>
      </c>
      <c r="AD6" s="98" t="s">
        <v>372</v>
      </c>
      <c r="AE6" s="100">
        <v>0.2050211665098777</v>
      </c>
      <c r="AF6" s="100">
        <v>0.09</v>
      </c>
      <c r="AG6" s="98">
        <v>623.236124176858</v>
      </c>
      <c r="AH6" s="98">
        <v>282.2201317027281</v>
      </c>
      <c r="AI6" s="100">
        <v>0.022000000000000002</v>
      </c>
      <c r="AJ6" s="100">
        <v>0.780816</v>
      </c>
      <c r="AK6" s="100">
        <v>0.82939</v>
      </c>
      <c r="AL6" s="100">
        <v>0.768742</v>
      </c>
      <c r="AM6" s="100">
        <v>0.620408</v>
      </c>
      <c r="AN6" s="100">
        <v>0.645191</v>
      </c>
      <c r="AO6" s="98">
        <v>1969.6613358419568</v>
      </c>
      <c r="AP6" s="158">
        <v>0.9477422333</v>
      </c>
      <c r="AQ6" s="100">
        <v>0.14029850746268657</v>
      </c>
      <c r="AR6" s="100">
        <v>0.42727272727272725</v>
      </c>
      <c r="AS6" s="98">
        <v>235.18344308560677</v>
      </c>
      <c r="AT6" s="98">
        <v>382.173095014111</v>
      </c>
      <c r="AU6" s="98" t="s">
        <v>652</v>
      </c>
      <c r="AV6" s="98">
        <v>399.8118532455315</v>
      </c>
      <c r="AW6" s="98">
        <v>470.36688617121354</v>
      </c>
      <c r="AX6" s="98">
        <v>440.9689557855127</v>
      </c>
      <c r="AY6" s="98">
        <v>1405.2210724365004</v>
      </c>
      <c r="AZ6" s="98">
        <v>629.1157102539981</v>
      </c>
      <c r="BA6" s="100" t="s">
        <v>652</v>
      </c>
      <c r="BB6" s="100" t="s">
        <v>652</v>
      </c>
      <c r="BC6" s="100" t="s">
        <v>652</v>
      </c>
      <c r="BD6" s="158">
        <v>0.8489595032</v>
      </c>
      <c r="BE6" s="158">
        <v>1.054863434</v>
      </c>
      <c r="BF6" s="162">
        <v>2231</v>
      </c>
      <c r="BG6" s="162">
        <v>803</v>
      </c>
      <c r="BH6" s="162">
        <v>4095</v>
      </c>
      <c r="BI6" s="162">
        <v>2205</v>
      </c>
      <c r="BJ6" s="162">
        <v>1071</v>
      </c>
      <c r="BK6" s="97"/>
      <c r="BL6" s="97"/>
      <c r="BM6" s="97"/>
      <c r="BN6" s="97"/>
    </row>
    <row r="7" spans="1:66" ht="12.75">
      <c r="A7" s="79" t="s">
        <v>606</v>
      </c>
      <c r="B7" s="79" t="s">
        <v>333</v>
      </c>
      <c r="C7" s="79" t="s">
        <v>243</v>
      </c>
      <c r="D7" s="99">
        <v>4791</v>
      </c>
      <c r="E7" s="99">
        <v>886</v>
      </c>
      <c r="F7" s="99" t="s">
        <v>392</v>
      </c>
      <c r="G7" s="99">
        <v>25</v>
      </c>
      <c r="H7" s="99">
        <v>10</v>
      </c>
      <c r="I7" s="99">
        <v>81</v>
      </c>
      <c r="J7" s="99">
        <v>403</v>
      </c>
      <c r="K7" s="99">
        <v>160</v>
      </c>
      <c r="L7" s="99">
        <v>919</v>
      </c>
      <c r="M7" s="99">
        <v>257</v>
      </c>
      <c r="N7" s="99">
        <v>126</v>
      </c>
      <c r="O7" s="99">
        <v>106</v>
      </c>
      <c r="P7" s="159">
        <v>106</v>
      </c>
      <c r="Q7" s="99">
        <v>13</v>
      </c>
      <c r="R7" s="99">
        <v>30</v>
      </c>
      <c r="S7" s="99">
        <v>17</v>
      </c>
      <c r="T7" s="99">
        <v>23</v>
      </c>
      <c r="U7" s="99" t="s">
        <v>652</v>
      </c>
      <c r="V7" s="99">
        <v>26</v>
      </c>
      <c r="W7" s="99">
        <v>19</v>
      </c>
      <c r="X7" s="99">
        <v>36</v>
      </c>
      <c r="Y7" s="99">
        <v>53</v>
      </c>
      <c r="Z7" s="99">
        <v>26</v>
      </c>
      <c r="AA7" s="99" t="s">
        <v>652</v>
      </c>
      <c r="AB7" s="99" t="s">
        <v>652</v>
      </c>
      <c r="AC7" s="99" t="s">
        <v>652</v>
      </c>
      <c r="AD7" s="98" t="s">
        <v>372</v>
      </c>
      <c r="AE7" s="100">
        <v>0.1849300772281361</v>
      </c>
      <c r="AF7" s="100">
        <v>0.19</v>
      </c>
      <c r="AG7" s="98">
        <v>521.8117303276978</v>
      </c>
      <c r="AH7" s="98">
        <v>208.7246921310791</v>
      </c>
      <c r="AI7" s="100">
        <v>0.017</v>
      </c>
      <c r="AJ7" s="100">
        <v>0.740809</v>
      </c>
      <c r="AK7" s="100">
        <v>0.747664</v>
      </c>
      <c r="AL7" s="100">
        <v>0.80192</v>
      </c>
      <c r="AM7" s="100">
        <v>0.529897</v>
      </c>
      <c r="AN7" s="100">
        <v>0.577982</v>
      </c>
      <c r="AO7" s="98">
        <v>2212.4817365894387</v>
      </c>
      <c r="AP7" s="158">
        <v>1.173013</v>
      </c>
      <c r="AQ7" s="100">
        <v>0.12264150943396226</v>
      </c>
      <c r="AR7" s="100">
        <v>0.43333333333333335</v>
      </c>
      <c r="AS7" s="98">
        <v>354.8319766228345</v>
      </c>
      <c r="AT7" s="98">
        <v>480.06679190148196</v>
      </c>
      <c r="AU7" s="98" t="s">
        <v>652</v>
      </c>
      <c r="AV7" s="98">
        <v>542.6841995408057</v>
      </c>
      <c r="AW7" s="98">
        <v>396.5769150490503</v>
      </c>
      <c r="AX7" s="98">
        <v>751.4088916718848</v>
      </c>
      <c r="AY7" s="98">
        <v>1106.2408682947193</v>
      </c>
      <c r="AZ7" s="98">
        <v>542.6841995408057</v>
      </c>
      <c r="BA7" s="100" t="s">
        <v>652</v>
      </c>
      <c r="BB7" s="100" t="s">
        <v>652</v>
      </c>
      <c r="BC7" s="100" t="s">
        <v>652</v>
      </c>
      <c r="BD7" s="158">
        <v>0.9603669739</v>
      </c>
      <c r="BE7" s="158">
        <v>1.4187254329999999</v>
      </c>
      <c r="BF7" s="162">
        <v>544</v>
      </c>
      <c r="BG7" s="162">
        <v>214</v>
      </c>
      <c r="BH7" s="162">
        <v>1146</v>
      </c>
      <c r="BI7" s="162">
        <v>485</v>
      </c>
      <c r="BJ7" s="162">
        <v>218</v>
      </c>
      <c r="BK7" s="97"/>
      <c r="BL7" s="97"/>
      <c r="BM7" s="97"/>
      <c r="BN7" s="97"/>
    </row>
    <row r="8" spans="1:66" ht="12.75">
      <c r="A8" s="79" t="s">
        <v>605</v>
      </c>
      <c r="B8" s="79" t="s">
        <v>332</v>
      </c>
      <c r="C8" s="79" t="s">
        <v>243</v>
      </c>
      <c r="D8" s="99">
        <v>10821</v>
      </c>
      <c r="E8" s="99">
        <v>2694</v>
      </c>
      <c r="F8" s="99" t="s">
        <v>395</v>
      </c>
      <c r="G8" s="99">
        <v>65</v>
      </c>
      <c r="H8" s="99">
        <v>34</v>
      </c>
      <c r="I8" s="99">
        <v>176</v>
      </c>
      <c r="J8" s="99">
        <v>1250</v>
      </c>
      <c r="K8" s="99">
        <v>347</v>
      </c>
      <c r="L8" s="99">
        <v>2012</v>
      </c>
      <c r="M8" s="99">
        <v>950</v>
      </c>
      <c r="N8" s="99">
        <v>511</v>
      </c>
      <c r="O8" s="99">
        <v>288</v>
      </c>
      <c r="P8" s="159">
        <v>288</v>
      </c>
      <c r="Q8" s="99">
        <v>30</v>
      </c>
      <c r="R8" s="99">
        <v>75</v>
      </c>
      <c r="S8" s="99">
        <v>34</v>
      </c>
      <c r="T8" s="99">
        <v>62</v>
      </c>
      <c r="U8" s="99" t="s">
        <v>652</v>
      </c>
      <c r="V8" s="99">
        <v>40</v>
      </c>
      <c r="W8" s="99">
        <v>56</v>
      </c>
      <c r="X8" s="99">
        <v>88</v>
      </c>
      <c r="Y8" s="99">
        <v>106</v>
      </c>
      <c r="Z8" s="99">
        <v>85</v>
      </c>
      <c r="AA8" s="99" t="s">
        <v>652</v>
      </c>
      <c r="AB8" s="99" t="s">
        <v>652</v>
      </c>
      <c r="AC8" s="99" t="s">
        <v>652</v>
      </c>
      <c r="AD8" s="98" t="s">
        <v>372</v>
      </c>
      <c r="AE8" s="100">
        <v>0.24896035486553922</v>
      </c>
      <c r="AF8" s="100">
        <v>0.13</v>
      </c>
      <c r="AG8" s="98">
        <v>600.6838554662231</v>
      </c>
      <c r="AH8" s="98">
        <v>314.20386285925514</v>
      </c>
      <c r="AI8" s="100">
        <v>0.016</v>
      </c>
      <c r="AJ8" s="100">
        <v>0.765462</v>
      </c>
      <c r="AK8" s="100">
        <v>0.795872</v>
      </c>
      <c r="AL8" s="100">
        <v>0.813587</v>
      </c>
      <c r="AM8" s="100">
        <v>0.602792</v>
      </c>
      <c r="AN8" s="100">
        <v>0.645202</v>
      </c>
      <c r="AO8" s="98">
        <v>2661.491544219573</v>
      </c>
      <c r="AP8" s="158">
        <v>1.160563736</v>
      </c>
      <c r="AQ8" s="100">
        <v>0.10416666666666667</v>
      </c>
      <c r="AR8" s="100">
        <v>0.4</v>
      </c>
      <c r="AS8" s="98">
        <v>314.20386285925514</v>
      </c>
      <c r="AT8" s="98">
        <v>572.9599852139359</v>
      </c>
      <c r="AU8" s="98" t="s">
        <v>652</v>
      </c>
      <c r="AV8" s="98">
        <v>369.65160336382957</v>
      </c>
      <c r="AW8" s="98">
        <v>517.5122447093614</v>
      </c>
      <c r="AX8" s="98">
        <v>813.2335274004251</v>
      </c>
      <c r="AY8" s="98">
        <v>979.5767489141484</v>
      </c>
      <c r="AZ8" s="98">
        <v>785.5096571481379</v>
      </c>
      <c r="BA8" s="100" t="s">
        <v>652</v>
      </c>
      <c r="BB8" s="100" t="s">
        <v>652</v>
      </c>
      <c r="BC8" s="100" t="s">
        <v>652</v>
      </c>
      <c r="BD8" s="158">
        <v>1.030384521</v>
      </c>
      <c r="BE8" s="158">
        <v>1.302636871</v>
      </c>
      <c r="BF8" s="162">
        <v>1633</v>
      </c>
      <c r="BG8" s="162">
        <v>436</v>
      </c>
      <c r="BH8" s="162">
        <v>2473</v>
      </c>
      <c r="BI8" s="162">
        <v>1576</v>
      </c>
      <c r="BJ8" s="162">
        <v>792</v>
      </c>
      <c r="BK8" s="97"/>
      <c r="BL8" s="97"/>
      <c r="BM8" s="97"/>
      <c r="BN8" s="97"/>
    </row>
    <row r="9" spans="1:66" ht="12.75">
      <c r="A9" s="79" t="s">
        <v>621</v>
      </c>
      <c r="B9" s="79" t="s">
        <v>348</v>
      </c>
      <c r="C9" s="79" t="s">
        <v>243</v>
      </c>
      <c r="D9" s="99">
        <v>5484</v>
      </c>
      <c r="E9" s="99">
        <v>1270</v>
      </c>
      <c r="F9" s="99" t="s">
        <v>396</v>
      </c>
      <c r="G9" s="99">
        <v>25</v>
      </c>
      <c r="H9" s="99">
        <v>16</v>
      </c>
      <c r="I9" s="99">
        <v>87</v>
      </c>
      <c r="J9" s="99">
        <v>740</v>
      </c>
      <c r="K9" s="99">
        <v>299</v>
      </c>
      <c r="L9" s="99">
        <v>1168</v>
      </c>
      <c r="M9" s="99">
        <v>617</v>
      </c>
      <c r="N9" s="99">
        <v>321</v>
      </c>
      <c r="O9" s="99">
        <v>160</v>
      </c>
      <c r="P9" s="159">
        <v>160</v>
      </c>
      <c r="Q9" s="99">
        <v>22</v>
      </c>
      <c r="R9" s="99">
        <v>42</v>
      </c>
      <c r="S9" s="99">
        <v>12</v>
      </c>
      <c r="T9" s="99">
        <v>30</v>
      </c>
      <c r="U9" s="99" t="s">
        <v>652</v>
      </c>
      <c r="V9" s="99">
        <v>27</v>
      </c>
      <c r="W9" s="99">
        <v>28</v>
      </c>
      <c r="X9" s="99">
        <v>33</v>
      </c>
      <c r="Y9" s="99">
        <v>67</v>
      </c>
      <c r="Z9" s="99">
        <v>35</v>
      </c>
      <c r="AA9" s="99" t="s">
        <v>652</v>
      </c>
      <c r="AB9" s="99" t="s">
        <v>652</v>
      </c>
      <c r="AC9" s="99" t="s">
        <v>652</v>
      </c>
      <c r="AD9" s="98" t="s">
        <v>372</v>
      </c>
      <c r="AE9" s="100">
        <v>0.23158278628738146</v>
      </c>
      <c r="AF9" s="100">
        <v>0.07</v>
      </c>
      <c r="AG9" s="98">
        <v>455.87162654996354</v>
      </c>
      <c r="AH9" s="98">
        <v>291.75784099197665</v>
      </c>
      <c r="AI9" s="100">
        <v>0.016</v>
      </c>
      <c r="AJ9" s="100">
        <v>0.851554</v>
      </c>
      <c r="AK9" s="100">
        <v>0.819178</v>
      </c>
      <c r="AL9" s="100">
        <v>0.858824</v>
      </c>
      <c r="AM9" s="100">
        <v>0.676535</v>
      </c>
      <c r="AN9" s="100">
        <v>0.710177</v>
      </c>
      <c r="AO9" s="98">
        <v>2917.5784099197667</v>
      </c>
      <c r="AP9" s="158">
        <v>1.309652557</v>
      </c>
      <c r="AQ9" s="100">
        <v>0.1375</v>
      </c>
      <c r="AR9" s="100">
        <v>0.5238095238095238</v>
      </c>
      <c r="AS9" s="98">
        <v>218.8183807439825</v>
      </c>
      <c r="AT9" s="98">
        <v>547.0459518599563</v>
      </c>
      <c r="AU9" s="98" t="s">
        <v>652</v>
      </c>
      <c r="AV9" s="98">
        <v>492.3413566739606</v>
      </c>
      <c r="AW9" s="98">
        <v>510.57622173595917</v>
      </c>
      <c r="AX9" s="98">
        <v>601.7505470459519</v>
      </c>
      <c r="AY9" s="98">
        <v>1221.7359591539023</v>
      </c>
      <c r="AZ9" s="98">
        <v>638.220277169949</v>
      </c>
      <c r="BA9" s="100" t="s">
        <v>652</v>
      </c>
      <c r="BB9" s="100" t="s">
        <v>652</v>
      </c>
      <c r="BC9" s="100" t="s">
        <v>652</v>
      </c>
      <c r="BD9" s="158">
        <v>1.114583969</v>
      </c>
      <c r="BE9" s="158">
        <v>1.529038544</v>
      </c>
      <c r="BF9" s="162">
        <v>869</v>
      </c>
      <c r="BG9" s="162">
        <v>365</v>
      </c>
      <c r="BH9" s="162">
        <v>1360</v>
      </c>
      <c r="BI9" s="162">
        <v>912</v>
      </c>
      <c r="BJ9" s="162">
        <v>452</v>
      </c>
      <c r="BK9" s="97"/>
      <c r="BL9" s="97"/>
      <c r="BM9" s="97"/>
      <c r="BN9" s="97"/>
    </row>
    <row r="10" spans="1:66" ht="12.75">
      <c r="A10" s="79" t="s">
        <v>634</v>
      </c>
      <c r="B10" s="79" t="s">
        <v>361</v>
      </c>
      <c r="C10" s="79" t="s">
        <v>243</v>
      </c>
      <c r="D10" s="99">
        <v>3280</v>
      </c>
      <c r="E10" s="99">
        <v>818</v>
      </c>
      <c r="F10" s="99" t="s">
        <v>394</v>
      </c>
      <c r="G10" s="99">
        <v>22</v>
      </c>
      <c r="H10" s="99">
        <v>8</v>
      </c>
      <c r="I10" s="99">
        <v>72</v>
      </c>
      <c r="J10" s="99">
        <v>367</v>
      </c>
      <c r="K10" s="99">
        <v>108</v>
      </c>
      <c r="L10" s="99">
        <v>543</v>
      </c>
      <c r="M10" s="99">
        <v>318</v>
      </c>
      <c r="N10" s="99">
        <v>172</v>
      </c>
      <c r="O10" s="99">
        <v>66</v>
      </c>
      <c r="P10" s="159">
        <v>66</v>
      </c>
      <c r="Q10" s="99" t="s">
        <v>652</v>
      </c>
      <c r="R10" s="99">
        <v>19</v>
      </c>
      <c r="S10" s="99">
        <v>10</v>
      </c>
      <c r="T10" s="99">
        <v>15</v>
      </c>
      <c r="U10" s="99" t="s">
        <v>652</v>
      </c>
      <c r="V10" s="99">
        <v>8</v>
      </c>
      <c r="W10" s="99">
        <v>32</v>
      </c>
      <c r="X10" s="99">
        <v>6</v>
      </c>
      <c r="Y10" s="99">
        <v>48</v>
      </c>
      <c r="Z10" s="99">
        <v>36</v>
      </c>
      <c r="AA10" s="99" t="s">
        <v>652</v>
      </c>
      <c r="AB10" s="99" t="s">
        <v>652</v>
      </c>
      <c r="AC10" s="99" t="s">
        <v>652</v>
      </c>
      <c r="AD10" s="98" t="s">
        <v>372</v>
      </c>
      <c r="AE10" s="100">
        <v>0.24939024390243902</v>
      </c>
      <c r="AF10" s="100">
        <v>0.11</v>
      </c>
      <c r="AG10" s="98">
        <v>670.7317073170732</v>
      </c>
      <c r="AH10" s="98">
        <v>243.90243902439025</v>
      </c>
      <c r="AI10" s="100">
        <v>0.022000000000000002</v>
      </c>
      <c r="AJ10" s="100">
        <v>0.723866</v>
      </c>
      <c r="AK10" s="100">
        <v>0.755245</v>
      </c>
      <c r="AL10" s="100">
        <v>0.717305</v>
      </c>
      <c r="AM10" s="100">
        <v>0.596623</v>
      </c>
      <c r="AN10" s="100">
        <v>0.616487</v>
      </c>
      <c r="AO10" s="98">
        <v>2012.1951219512196</v>
      </c>
      <c r="AP10" s="158">
        <v>0.8692506409</v>
      </c>
      <c r="AQ10" s="100" t="s">
        <v>652</v>
      </c>
      <c r="AR10" s="100" t="s">
        <v>652</v>
      </c>
      <c r="AS10" s="98">
        <v>304.8780487804878</v>
      </c>
      <c r="AT10" s="98">
        <v>457.3170731707317</v>
      </c>
      <c r="AU10" s="98" t="s">
        <v>652</v>
      </c>
      <c r="AV10" s="98">
        <v>243.90243902439025</v>
      </c>
      <c r="AW10" s="98">
        <v>975.609756097561</v>
      </c>
      <c r="AX10" s="98">
        <v>182.9268292682927</v>
      </c>
      <c r="AY10" s="98">
        <v>1463.4146341463415</v>
      </c>
      <c r="AZ10" s="98">
        <v>1097.560975609756</v>
      </c>
      <c r="BA10" s="100" t="s">
        <v>652</v>
      </c>
      <c r="BB10" s="100" t="s">
        <v>652</v>
      </c>
      <c r="BC10" s="100" t="s">
        <v>652</v>
      </c>
      <c r="BD10" s="158">
        <v>0.6722783661</v>
      </c>
      <c r="BE10" s="158">
        <v>1.105899963</v>
      </c>
      <c r="BF10" s="162">
        <v>507</v>
      </c>
      <c r="BG10" s="162">
        <v>143</v>
      </c>
      <c r="BH10" s="162">
        <v>757</v>
      </c>
      <c r="BI10" s="162">
        <v>533</v>
      </c>
      <c r="BJ10" s="162">
        <v>279</v>
      </c>
      <c r="BK10" s="97"/>
      <c r="BL10" s="97"/>
      <c r="BM10" s="97"/>
      <c r="BN10" s="97"/>
    </row>
    <row r="11" spans="1:66" ht="12.75">
      <c r="A11" s="79" t="s">
        <v>569</v>
      </c>
      <c r="B11" s="79" t="s">
        <v>293</v>
      </c>
      <c r="C11" s="79" t="s">
        <v>243</v>
      </c>
      <c r="D11" s="99">
        <v>8547</v>
      </c>
      <c r="E11" s="99">
        <v>2551</v>
      </c>
      <c r="F11" s="99" t="s">
        <v>394</v>
      </c>
      <c r="G11" s="99">
        <v>65</v>
      </c>
      <c r="H11" s="99">
        <v>28</v>
      </c>
      <c r="I11" s="99">
        <v>231</v>
      </c>
      <c r="J11" s="99">
        <v>992</v>
      </c>
      <c r="K11" s="99">
        <v>247</v>
      </c>
      <c r="L11" s="99">
        <v>1411</v>
      </c>
      <c r="M11" s="99">
        <v>749</v>
      </c>
      <c r="N11" s="99">
        <v>414</v>
      </c>
      <c r="O11" s="99">
        <v>148</v>
      </c>
      <c r="P11" s="159">
        <v>148</v>
      </c>
      <c r="Q11" s="99">
        <v>30</v>
      </c>
      <c r="R11" s="99">
        <v>67</v>
      </c>
      <c r="S11" s="99">
        <v>13</v>
      </c>
      <c r="T11" s="99">
        <v>29</v>
      </c>
      <c r="U11" s="99">
        <v>15</v>
      </c>
      <c r="V11" s="99">
        <v>24</v>
      </c>
      <c r="W11" s="99">
        <v>103</v>
      </c>
      <c r="X11" s="99">
        <v>35</v>
      </c>
      <c r="Y11" s="99">
        <v>142</v>
      </c>
      <c r="Z11" s="99">
        <v>97</v>
      </c>
      <c r="AA11" s="99" t="s">
        <v>652</v>
      </c>
      <c r="AB11" s="99" t="s">
        <v>652</v>
      </c>
      <c r="AC11" s="99" t="s">
        <v>652</v>
      </c>
      <c r="AD11" s="98" t="s">
        <v>372</v>
      </c>
      <c r="AE11" s="100">
        <v>0.29846729846729847</v>
      </c>
      <c r="AF11" s="100">
        <v>0.12</v>
      </c>
      <c r="AG11" s="98">
        <v>760.5007605007605</v>
      </c>
      <c r="AH11" s="98">
        <v>327.6003276003276</v>
      </c>
      <c r="AI11" s="100">
        <v>0.027000000000000003</v>
      </c>
      <c r="AJ11" s="100">
        <v>0.78419</v>
      </c>
      <c r="AK11" s="100">
        <v>0.77918</v>
      </c>
      <c r="AL11" s="100">
        <v>0.759419</v>
      </c>
      <c r="AM11" s="100">
        <v>0.616461</v>
      </c>
      <c r="AN11" s="100">
        <v>0.648903</v>
      </c>
      <c r="AO11" s="98">
        <v>1731.6017316017317</v>
      </c>
      <c r="AP11" s="158">
        <v>0.6923154449000001</v>
      </c>
      <c r="AQ11" s="100">
        <v>0.20270270270270271</v>
      </c>
      <c r="AR11" s="100">
        <v>0.44776119402985076</v>
      </c>
      <c r="AS11" s="98">
        <v>152.1001521001521</v>
      </c>
      <c r="AT11" s="98">
        <v>339.3003393003393</v>
      </c>
      <c r="AU11" s="98">
        <v>175.5001755001755</v>
      </c>
      <c r="AV11" s="98">
        <v>280.8002808002808</v>
      </c>
      <c r="AW11" s="98">
        <v>1205.101205101205</v>
      </c>
      <c r="AX11" s="98">
        <v>409.5004095004095</v>
      </c>
      <c r="AY11" s="98">
        <v>1661.4016614016614</v>
      </c>
      <c r="AZ11" s="98">
        <v>1134.9011349011348</v>
      </c>
      <c r="BA11" s="100" t="s">
        <v>652</v>
      </c>
      <c r="BB11" s="100" t="s">
        <v>652</v>
      </c>
      <c r="BC11" s="100" t="s">
        <v>652</v>
      </c>
      <c r="BD11" s="158">
        <v>0.5852723694</v>
      </c>
      <c r="BE11" s="158">
        <v>0.8132697296000001</v>
      </c>
      <c r="BF11" s="162">
        <v>1265</v>
      </c>
      <c r="BG11" s="162">
        <v>317</v>
      </c>
      <c r="BH11" s="162">
        <v>1858</v>
      </c>
      <c r="BI11" s="162">
        <v>1215</v>
      </c>
      <c r="BJ11" s="162">
        <v>638</v>
      </c>
      <c r="BK11" s="97"/>
      <c r="BL11" s="97"/>
      <c r="BM11" s="97"/>
      <c r="BN11" s="97"/>
    </row>
    <row r="12" spans="1:66" ht="12.75">
      <c r="A12" s="79" t="s">
        <v>583</v>
      </c>
      <c r="B12" s="79" t="s">
        <v>309</v>
      </c>
      <c r="C12" s="79" t="s">
        <v>243</v>
      </c>
      <c r="D12" s="99">
        <v>7961</v>
      </c>
      <c r="E12" s="99">
        <v>1848</v>
      </c>
      <c r="F12" s="99" t="s">
        <v>396</v>
      </c>
      <c r="G12" s="99">
        <v>49</v>
      </c>
      <c r="H12" s="99">
        <v>27</v>
      </c>
      <c r="I12" s="99">
        <v>136</v>
      </c>
      <c r="J12" s="99">
        <v>1052</v>
      </c>
      <c r="K12" s="99">
        <v>429</v>
      </c>
      <c r="L12" s="99">
        <v>1558</v>
      </c>
      <c r="M12" s="99">
        <v>808</v>
      </c>
      <c r="N12" s="99">
        <v>421</v>
      </c>
      <c r="O12" s="99">
        <v>225</v>
      </c>
      <c r="P12" s="159">
        <v>225</v>
      </c>
      <c r="Q12" s="99">
        <v>23</v>
      </c>
      <c r="R12" s="99">
        <v>45</v>
      </c>
      <c r="S12" s="99">
        <v>27</v>
      </c>
      <c r="T12" s="99">
        <v>36</v>
      </c>
      <c r="U12" s="99" t="s">
        <v>652</v>
      </c>
      <c r="V12" s="99">
        <v>69</v>
      </c>
      <c r="W12" s="99">
        <v>34</v>
      </c>
      <c r="X12" s="99">
        <v>43</v>
      </c>
      <c r="Y12" s="99">
        <v>87</v>
      </c>
      <c r="Z12" s="99">
        <v>46</v>
      </c>
      <c r="AA12" s="99" t="s">
        <v>652</v>
      </c>
      <c r="AB12" s="99" t="s">
        <v>652</v>
      </c>
      <c r="AC12" s="99" t="s">
        <v>652</v>
      </c>
      <c r="AD12" s="98" t="s">
        <v>372</v>
      </c>
      <c r="AE12" s="100">
        <v>0.23213164175354856</v>
      </c>
      <c r="AF12" s="100">
        <v>0.08</v>
      </c>
      <c r="AG12" s="98">
        <v>615.5005652556212</v>
      </c>
      <c r="AH12" s="98">
        <v>339.1533726918729</v>
      </c>
      <c r="AI12" s="100">
        <v>0.017</v>
      </c>
      <c r="AJ12" s="100">
        <v>0.842949</v>
      </c>
      <c r="AK12" s="100">
        <v>0.83953</v>
      </c>
      <c r="AL12" s="100">
        <v>0.810614</v>
      </c>
      <c r="AM12" s="100">
        <v>0.676151</v>
      </c>
      <c r="AN12" s="100">
        <v>0.71843</v>
      </c>
      <c r="AO12" s="98">
        <v>2826.2781057656075</v>
      </c>
      <c r="AP12" s="158">
        <v>1.24092453</v>
      </c>
      <c r="AQ12" s="100">
        <v>0.10222222222222223</v>
      </c>
      <c r="AR12" s="100">
        <v>0.5111111111111111</v>
      </c>
      <c r="AS12" s="98">
        <v>339.1533726918729</v>
      </c>
      <c r="AT12" s="98">
        <v>452.2044969224972</v>
      </c>
      <c r="AU12" s="98" t="s">
        <v>652</v>
      </c>
      <c r="AV12" s="98">
        <v>866.7252857681195</v>
      </c>
      <c r="AW12" s="98">
        <v>427.0820248712473</v>
      </c>
      <c r="AX12" s="98">
        <v>540.1331491018716</v>
      </c>
      <c r="AY12" s="98">
        <v>1092.8275342293682</v>
      </c>
      <c r="AZ12" s="98">
        <v>577.8168571787464</v>
      </c>
      <c r="BA12" s="100" t="s">
        <v>652</v>
      </c>
      <c r="BB12" s="100" t="s">
        <v>652</v>
      </c>
      <c r="BC12" s="100" t="s">
        <v>652</v>
      </c>
      <c r="BD12" s="158">
        <v>1.084065323</v>
      </c>
      <c r="BE12" s="158">
        <v>1.414103241</v>
      </c>
      <c r="BF12" s="162">
        <v>1248</v>
      </c>
      <c r="BG12" s="162">
        <v>511</v>
      </c>
      <c r="BH12" s="162">
        <v>1922</v>
      </c>
      <c r="BI12" s="162">
        <v>1195</v>
      </c>
      <c r="BJ12" s="162">
        <v>586</v>
      </c>
      <c r="BK12" s="97"/>
      <c r="BL12" s="97"/>
      <c r="BM12" s="97"/>
      <c r="BN12" s="97"/>
    </row>
    <row r="13" spans="1:66" ht="12.75">
      <c r="A13" s="79" t="s">
        <v>616</v>
      </c>
      <c r="B13" s="79" t="s">
        <v>343</v>
      </c>
      <c r="C13" s="79" t="s">
        <v>243</v>
      </c>
      <c r="D13" s="99">
        <v>4599</v>
      </c>
      <c r="E13" s="99">
        <v>1510</v>
      </c>
      <c r="F13" s="99" t="s">
        <v>394</v>
      </c>
      <c r="G13" s="99">
        <v>39</v>
      </c>
      <c r="H13" s="99">
        <v>22</v>
      </c>
      <c r="I13" s="99">
        <v>143</v>
      </c>
      <c r="J13" s="99">
        <v>594</v>
      </c>
      <c r="K13" s="99">
        <v>147</v>
      </c>
      <c r="L13" s="99">
        <v>725</v>
      </c>
      <c r="M13" s="99">
        <v>531</v>
      </c>
      <c r="N13" s="99">
        <v>295</v>
      </c>
      <c r="O13" s="99">
        <v>70</v>
      </c>
      <c r="P13" s="159">
        <v>70</v>
      </c>
      <c r="Q13" s="99">
        <v>14</v>
      </c>
      <c r="R13" s="99">
        <v>28</v>
      </c>
      <c r="S13" s="99">
        <v>7</v>
      </c>
      <c r="T13" s="99">
        <v>18</v>
      </c>
      <c r="U13" s="99">
        <v>7</v>
      </c>
      <c r="V13" s="99">
        <v>7</v>
      </c>
      <c r="W13" s="99">
        <v>54</v>
      </c>
      <c r="X13" s="99">
        <v>16</v>
      </c>
      <c r="Y13" s="99">
        <v>66</v>
      </c>
      <c r="Z13" s="99">
        <v>24</v>
      </c>
      <c r="AA13" s="99" t="s">
        <v>652</v>
      </c>
      <c r="AB13" s="99" t="s">
        <v>652</v>
      </c>
      <c r="AC13" s="99" t="s">
        <v>652</v>
      </c>
      <c r="AD13" s="98" t="s">
        <v>372</v>
      </c>
      <c r="AE13" s="100">
        <v>0.3283322461404653</v>
      </c>
      <c r="AF13" s="100">
        <v>0.12</v>
      </c>
      <c r="AG13" s="98">
        <v>848.0104370515329</v>
      </c>
      <c r="AH13" s="98">
        <v>478.36486192650574</v>
      </c>
      <c r="AI13" s="100">
        <v>0.031</v>
      </c>
      <c r="AJ13" s="100">
        <v>0.733333</v>
      </c>
      <c r="AK13" s="100">
        <v>0.742424</v>
      </c>
      <c r="AL13" s="100">
        <v>0.733064</v>
      </c>
      <c r="AM13" s="100">
        <v>0.586093</v>
      </c>
      <c r="AN13" s="100">
        <v>0.612033</v>
      </c>
      <c r="AO13" s="98">
        <v>1522.0700152207</v>
      </c>
      <c r="AP13" s="158">
        <v>0.567162056</v>
      </c>
      <c r="AQ13" s="100">
        <v>0.2</v>
      </c>
      <c r="AR13" s="100">
        <v>0.5</v>
      </c>
      <c r="AS13" s="98">
        <v>152.20700152207002</v>
      </c>
      <c r="AT13" s="98">
        <v>391.3894324853229</v>
      </c>
      <c r="AU13" s="98">
        <v>152.20700152207002</v>
      </c>
      <c r="AV13" s="98">
        <v>152.20700152207002</v>
      </c>
      <c r="AW13" s="98">
        <v>1174.1682974559687</v>
      </c>
      <c r="AX13" s="98">
        <v>347.9017177647315</v>
      </c>
      <c r="AY13" s="98">
        <v>1435.0945857795173</v>
      </c>
      <c r="AZ13" s="98">
        <v>521.8525766470972</v>
      </c>
      <c r="BA13" s="100" t="s">
        <v>652</v>
      </c>
      <c r="BB13" s="100" t="s">
        <v>652</v>
      </c>
      <c r="BC13" s="100" t="s">
        <v>652</v>
      </c>
      <c r="BD13" s="158">
        <v>0.442130661</v>
      </c>
      <c r="BE13" s="158">
        <v>0.7165751647999999</v>
      </c>
      <c r="BF13" s="162">
        <v>810</v>
      </c>
      <c r="BG13" s="162">
        <v>198</v>
      </c>
      <c r="BH13" s="162">
        <v>989</v>
      </c>
      <c r="BI13" s="162">
        <v>906</v>
      </c>
      <c r="BJ13" s="162">
        <v>482</v>
      </c>
      <c r="BK13" s="97"/>
      <c r="BL13" s="97"/>
      <c r="BM13" s="97"/>
      <c r="BN13" s="97"/>
    </row>
    <row r="14" spans="1:66" ht="12.75">
      <c r="A14" s="79" t="s">
        <v>604</v>
      </c>
      <c r="B14" s="79" t="s">
        <v>331</v>
      </c>
      <c r="C14" s="79" t="s">
        <v>243</v>
      </c>
      <c r="D14" s="99">
        <v>6018</v>
      </c>
      <c r="E14" s="99">
        <v>1828</v>
      </c>
      <c r="F14" s="99" t="s">
        <v>395</v>
      </c>
      <c r="G14" s="99">
        <v>53</v>
      </c>
      <c r="H14" s="99">
        <v>17</v>
      </c>
      <c r="I14" s="99">
        <v>210</v>
      </c>
      <c r="J14" s="99">
        <v>732</v>
      </c>
      <c r="K14" s="99">
        <v>193</v>
      </c>
      <c r="L14" s="99">
        <v>982</v>
      </c>
      <c r="M14" s="99">
        <v>576</v>
      </c>
      <c r="N14" s="99">
        <v>347</v>
      </c>
      <c r="O14" s="99">
        <v>218</v>
      </c>
      <c r="P14" s="159">
        <v>218</v>
      </c>
      <c r="Q14" s="99">
        <v>29</v>
      </c>
      <c r="R14" s="99">
        <v>48</v>
      </c>
      <c r="S14" s="99">
        <v>16</v>
      </c>
      <c r="T14" s="99">
        <v>51</v>
      </c>
      <c r="U14" s="99">
        <v>6</v>
      </c>
      <c r="V14" s="99">
        <v>33</v>
      </c>
      <c r="W14" s="99">
        <v>76</v>
      </c>
      <c r="X14" s="99">
        <v>28</v>
      </c>
      <c r="Y14" s="99">
        <v>124</v>
      </c>
      <c r="Z14" s="99">
        <v>61</v>
      </c>
      <c r="AA14" s="99" t="s">
        <v>652</v>
      </c>
      <c r="AB14" s="99" t="s">
        <v>652</v>
      </c>
      <c r="AC14" s="99" t="s">
        <v>652</v>
      </c>
      <c r="AD14" s="98" t="s">
        <v>372</v>
      </c>
      <c r="AE14" s="100">
        <v>0.30375540046527083</v>
      </c>
      <c r="AF14" s="100">
        <v>0.13</v>
      </c>
      <c r="AG14" s="98">
        <v>880.6912595546693</v>
      </c>
      <c r="AH14" s="98">
        <v>282.4858757062147</v>
      </c>
      <c r="AI14" s="100">
        <v>0.035</v>
      </c>
      <c r="AJ14" s="100">
        <v>0.775424</v>
      </c>
      <c r="AK14" s="100">
        <v>0.821277</v>
      </c>
      <c r="AL14" s="100">
        <v>0.76124</v>
      </c>
      <c r="AM14" s="100">
        <v>0.596273</v>
      </c>
      <c r="AN14" s="100">
        <v>0.646182</v>
      </c>
      <c r="AO14" s="98">
        <v>3622.465935526753</v>
      </c>
      <c r="AP14" s="158">
        <v>1.4217629999999999</v>
      </c>
      <c r="AQ14" s="100">
        <v>0.13302752293577982</v>
      </c>
      <c r="AR14" s="100">
        <v>0.6041666666666666</v>
      </c>
      <c r="AS14" s="98">
        <v>265.8690594882021</v>
      </c>
      <c r="AT14" s="98">
        <v>847.457627118644</v>
      </c>
      <c r="AU14" s="98">
        <v>99.70089730807577</v>
      </c>
      <c r="AV14" s="98">
        <v>548.3549351944167</v>
      </c>
      <c r="AW14" s="98">
        <v>1262.8780325689597</v>
      </c>
      <c r="AX14" s="98">
        <v>465.2708541043536</v>
      </c>
      <c r="AY14" s="98">
        <v>2060.485211033566</v>
      </c>
      <c r="AZ14" s="98">
        <v>1013.6257892987703</v>
      </c>
      <c r="BA14" s="100" t="s">
        <v>652</v>
      </c>
      <c r="BB14" s="100" t="s">
        <v>652</v>
      </c>
      <c r="BC14" s="100" t="s">
        <v>652</v>
      </c>
      <c r="BD14" s="158">
        <v>1.2392813870000001</v>
      </c>
      <c r="BE14" s="158">
        <v>1.623549347</v>
      </c>
      <c r="BF14" s="162">
        <v>944</v>
      </c>
      <c r="BG14" s="162">
        <v>235</v>
      </c>
      <c r="BH14" s="162">
        <v>1290</v>
      </c>
      <c r="BI14" s="162">
        <v>966</v>
      </c>
      <c r="BJ14" s="162">
        <v>537</v>
      </c>
      <c r="BK14" s="97"/>
      <c r="BL14" s="97"/>
      <c r="BM14" s="97"/>
      <c r="BN14" s="97"/>
    </row>
    <row r="15" spans="1:66" ht="12.75">
      <c r="A15" s="79" t="s">
        <v>566</v>
      </c>
      <c r="B15" s="79" t="s">
        <v>290</v>
      </c>
      <c r="C15" s="79" t="s">
        <v>243</v>
      </c>
      <c r="D15" s="99">
        <v>16918</v>
      </c>
      <c r="E15" s="99">
        <v>3424</v>
      </c>
      <c r="F15" s="99" t="s">
        <v>395</v>
      </c>
      <c r="G15" s="99">
        <v>89</v>
      </c>
      <c r="H15" s="99">
        <v>47</v>
      </c>
      <c r="I15" s="99">
        <v>294</v>
      </c>
      <c r="J15" s="99">
        <v>1520</v>
      </c>
      <c r="K15" s="99">
        <v>610</v>
      </c>
      <c r="L15" s="99">
        <v>3174</v>
      </c>
      <c r="M15" s="99">
        <v>1038</v>
      </c>
      <c r="N15" s="99">
        <v>548</v>
      </c>
      <c r="O15" s="99">
        <v>439</v>
      </c>
      <c r="P15" s="159">
        <v>439</v>
      </c>
      <c r="Q15" s="99">
        <v>50</v>
      </c>
      <c r="R15" s="99">
        <v>96</v>
      </c>
      <c r="S15" s="99">
        <v>56</v>
      </c>
      <c r="T15" s="99">
        <v>75</v>
      </c>
      <c r="U15" s="99">
        <v>8</v>
      </c>
      <c r="V15" s="99">
        <v>96</v>
      </c>
      <c r="W15" s="99">
        <v>76</v>
      </c>
      <c r="X15" s="99">
        <v>89</v>
      </c>
      <c r="Y15" s="99">
        <v>207</v>
      </c>
      <c r="Z15" s="99">
        <v>93</v>
      </c>
      <c r="AA15" s="99" t="s">
        <v>652</v>
      </c>
      <c r="AB15" s="99" t="s">
        <v>652</v>
      </c>
      <c r="AC15" s="99" t="s">
        <v>652</v>
      </c>
      <c r="AD15" s="98" t="s">
        <v>372</v>
      </c>
      <c r="AE15" s="100">
        <v>0.20238798912400993</v>
      </c>
      <c r="AF15" s="100">
        <v>0.16</v>
      </c>
      <c r="AG15" s="98">
        <v>526.0669109823856</v>
      </c>
      <c r="AH15" s="98">
        <v>277.81061591204633</v>
      </c>
      <c r="AI15" s="100">
        <v>0.017</v>
      </c>
      <c r="AJ15" s="100">
        <v>0.747664</v>
      </c>
      <c r="AK15" s="100">
        <v>0.81225</v>
      </c>
      <c r="AL15" s="100">
        <v>0.765188</v>
      </c>
      <c r="AM15" s="100">
        <v>0.588435</v>
      </c>
      <c r="AN15" s="100">
        <v>0.63061</v>
      </c>
      <c r="AO15" s="98">
        <v>2594.8693699018795</v>
      </c>
      <c r="AP15" s="158">
        <v>1.2878561400000001</v>
      </c>
      <c r="AQ15" s="100">
        <v>0.11389521640091116</v>
      </c>
      <c r="AR15" s="100">
        <v>0.5208333333333334</v>
      </c>
      <c r="AS15" s="98">
        <v>331.008393427119</v>
      </c>
      <c r="AT15" s="98">
        <v>443.31481262560584</v>
      </c>
      <c r="AU15" s="98">
        <v>47.28691334673129</v>
      </c>
      <c r="AV15" s="98">
        <v>567.4429601607756</v>
      </c>
      <c r="AW15" s="98">
        <v>449.2256767939473</v>
      </c>
      <c r="AX15" s="98">
        <v>526.0669109823856</v>
      </c>
      <c r="AY15" s="98">
        <v>1223.548882846672</v>
      </c>
      <c r="AZ15" s="98">
        <v>549.7103676557513</v>
      </c>
      <c r="BA15" s="100" t="s">
        <v>652</v>
      </c>
      <c r="BB15" s="100" t="s">
        <v>652</v>
      </c>
      <c r="BC15" s="100" t="s">
        <v>652</v>
      </c>
      <c r="BD15" s="158">
        <v>1.1701847840000001</v>
      </c>
      <c r="BE15" s="158">
        <v>1.414154053</v>
      </c>
      <c r="BF15" s="162">
        <v>2033</v>
      </c>
      <c r="BG15" s="162">
        <v>751</v>
      </c>
      <c r="BH15" s="162">
        <v>4148</v>
      </c>
      <c r="BI15" s="162">
        <v>1764</v>
      </c>
      <c r="BJ15" s="162">
        <v>869</v>
      </c>
      <c r="BK15" s="97"/>
      <c r="BL15" s="97"/>
      <c r="BM15" s="97"/>
      <c r="BN15" s="97"/>
    </row>
    <row r="16" spans="1:66" ht="12.75">
      <c r="A16" s="79" t="s">
        <v>562</v>
      </c>
      <c r="B16" s="79" t="s">
        <v>286</v>
      </c>
      <c r="C16" s="79" t="s">
        <v>243</v>
      </c>
      <c r="D16" s="99">
        <v>7848</v>
      </c>
      <c r="E16" s="99">
        <v>1757</v>
      </c>
      <c r="F16" s="99" t="s">
        <v>394</v>
      </c>
      <c r="G16" s="99">
        <v>50</v>
      </c>
      <c r="H16" s="99">
        <v>22</v>
      </c>
      <c r="I16" s="99">
        <v>148</v>
      </c>
      <c r="J16" s="99">
        <v>996</v>
      </c>
      <c r="K16" s="99">
        <v>340</v>
      </c>
      <c r="L16" s="99">
        <v>1538</v>
      </c>
      <c r="M16" s="99">
        <v>798</v>
      </c>
      <c r="N16" s="99">
        <v>406</v>
      </c>
      <c r="O16" s="99">
        <v>171</v>
      </c>
      <c r="P16" s="159">
        <v>171</v>
      </c>
      <c r="Q16" s="99">
        <v>20</v>
      </c>
      <c r="R16" s="99">
        <v>50</v>
      </c>
      <c r="S16" s="99">
        <v>27</v>
      </c>
      <c r="T16" s="99">
        <v>29</v>
      </c>
      <c r="U16" s="99" t="s">
        <v>652</v>
      </c>
      <c r="V16" s="99">
        <v>19</v>
      </c>
      <c r="W16" s="99">
        <v>35</v>
      </c>
      <c r="X16" s="99">
        <v>53</v>
      </c>
      <c r="Y16" s="99">
        <v>88</v>
      </c>
      <c r="Z16" s="99">
        <v>66</v>
      </c>
      <c r="AA16" s="99" t="s">
        <v>652</v>
      </c>
      <c r="AB16" s="99" t="s">
        <v>652</v>
      </c>
      <c r="AC16" s="99" t="s">
        <v>652</v>
      </c>
      <c r="AD16" s="98" t="s">
        <v>372</v>
      </c>
      <c r="AE16" s="100">
        <v>0.22387869520897044</v>
      </c>
      <c r="AF16" s="100">
        <v>0.1</v>
      </c>
      <c r="AG16" s="98">
        <v>637.10499490316</v>
      </c>
      <c r="AH16" s="98">
        <v>280.32619775739045</v>
      </c>
      <c r="AI16" s="100">
        <v>0.019</v>
      </c>
      <c r="AJ16" s="100">
        <v>0.820428</v>
      </c>
      <c r="AK16" s="100">
        <v>0.878553</v>
      </c>
      <c r="AL16" s="100">
        <v>0.847383</v>
      </c>
      <c r="AM16" s="100">
        <v>0.673418</v>
      </c>
      <c r="AN16" s="100">
        <v>0.702422</v>
      </c>
      <c r="AO16" s="98">
        <v>2178.8990825688074</v>
      </c>
      <c r="AP16" s="158">
        <v>0.9918076324</v>
      </c>
      <c r="AQ16" s="100">
        <v>0.11695906432748537</v>
      </c>
      <c r="AR16" s="100">
        <v>0.4</v>
      </c>
      <c r="AS16" s="98">
        <v>344.0366972477064</v>
      </c>
      <c r="AT16" s="98">
        <v>369.5208970438328</v>
      </c>
      <c r="AU16" s="98" t="s">
        <v>652</v>
      </c>
      <c r="AV16" s="98">
        <v>242.0998980632008</v>
      </c>
      <c r="AW16" s="98">
        <v>445.973496432212</v>
      </c>
      <c r="AX16" s="98">
        <v>675.3312945973496</v>
      </c>
      <c r="AY16" s="98">
        <v>1121.3047910295618</v>
      </c>
      <c r="AZ16" s="98">
        <v>840.9785932721712</v>
      </c>
      <c r="BA16" s="100" t="s">
        <v>652</v>
      </c>
      <c r="BB16" s="100" t="s">
        <v>652</v>
      </c>
      <c r="BC16" s="100" t="s">
        <v>652</v>
      </c>
      <c r="BD16" s="158">
        <v>0.8487207794</v>
      </c>
      <c r="BE16" s="158">
        <v>1.1521112820000001</v>
      </c>
      <c r="BF16" s="162">
        <v>1214</v>
      </c>
      <c r="BG16" s="162">
        <v>387</v>
      </c>
      <c r="BH16" s="162">
        <v>1815</v>
      </c>
      <c r="BI16" s="162">
        <v>1185</v>
      </c>
      <c r="BJ16" s="162">
        <v>578</v>
      </c>
      <c r="BK16" s="97"/>
      <c r="BL16" s="97"/>
      <c r="BM16" s="97"/>
      <c r="BN16" s="97"/>
    </row>
    <row r="17" spans="1:66" ht="12.75">
      <c r="A17" s="79" t="s">
        <v>595</v>
      </c>
      <c r="B17" s="79" t="s">
        <v>322</v>
      </c>
      <c r="C17" s="79" t="s">
        <v>243</v>
      </c>
      <c r="D17" s="99">
        <v>4190</v>
      </c>
      <c r="E17" s="99">
        <v>948</v>
      </c>
      <c r="F17" s="99" t="s">
        <v>394</v>
      </c>
      <c r="G17" s="99">
        <v>25</v>
      </c>
      <c r="H17" s="99">
        <v>17</v>
      </c>
      <c r="I17" s="99">
        <v>109</v>
      </c>
      <c r="J17" s="99">
        <v>537</v>
      </c>
      <c r="K17" s="99">
        <v>169</v>
      </c>
      <c r="L17" s="99">
        <v>857</v>
      </c>
      <c r="M17" s="99">
        <v>439</v>
      </c>
      <c r="N17" s="99">
        <v>210</v>
      </c>
      <c r="O17" s="99">
        <v>109</v>
      </c>
      <c r="P17" s="159">
        <v>109</v>
      </c>
      <c r="Q17" s="99">
        <v>16</v>
      </c>
      <c r="R17" s="99">
        <v>37</v>
      </c>
      <c r="S17" s="99">
        <v>16</v>
      </c>
      <c r="T17" s="99">
        <v>19</v>
      </c>
      <c r="U17" s="99" t="s">
        <v>652</v>
      </c>
      <c r="V17" s="99">
        <v>30</v>
      </c>
      <c r="W17" s="99">
        <v>21</v>
      </c>
      <c r="X17" s="99">
        <v>28</v>
      </c>
      <c r="Y17" s="99">
        <v>40</v>
      </c>
      <c r="Z17" s="99">
        <v>27</v>
      </c>
      <c r="AA17" s="99" t="s">
        <v>652</v>
      </c>
      <c r="AB17" s="99" t="s">
        <v>652</v>
      </c>
      <c r="AC17" s="99" t="s">
        <v>652</v>
      </c>
      <c r="AD17" s="98" t="s">
        <v>372</v>
      </c>
      <c r="AE17" s="100">
        <v>0.2262529832935561</v>
      </c>
      <c r="AF17" s="100">
        <v>0.1</v>
      </c>
      <c r="AG17" s="98">
        <v>596.6587112171837</v>
      </c>
      <c r="AH17" s="98">
        <v>405.72792362768496</v>
      </c>
      <c r="AI17" s="100">
        <v>0.026000000000000002</v>
      </c>
      <c r="AJ17" s="100">
        <v>0.781659</v>
      </c>
      <c r="AK17" s="100">
        <v>0.782407</v>
      </c>
      <c r="AL17" s="100">
        <v>0.831232</v>
      </c>
      <c r="AM17" s="100">
        <v>0.631655</v>
      </c>
      <c r="AN17" s="100">
        <v>0.646154</v>
      </c>
      <c r="AO17" s="98">
        <v>2601.431980906921</v>
      </c>
      <c r="AP17" s="158">
        <v>1.156580734</v>
      </c>
      <c r="AQ17" s="100">
        <v>0.14678899082568808</v>
      </c>
      <c r="AR17" s="100">
        <v>0.43243243243243246</v>
      </c>
      <c r="AS17" s="98">
        <v>381.8615751789976</v>
      </c>
      <c r="AT17" s="98">
        <v>453.46062052505965</v>
      </c>
      <c r="AU17" s="98" t="s">
        <v>652</v>
      </c>
      <c r="AV17" s="98">
        <v>715.9904534606205</v>
      </c>
      <c r="AW17" s="98">
        <v>501.19331742243435</v>
      </c>
      <c r="AX17" s="98">
        <v>668.2577565632458</v>
      </c>
      <c r="AY17" s="98">
        <v>954.653937947494</v>
      </c>
      <c r="AZ17" s="98">
        <v>644.3914081145584</v>
      </c>
      <c r="BA17" s="100" t="s">
        <v>652</v>
      </c>
      <c r="BB17" s="100" t="s">
        <v>652</v>
      </c>
      <c r="BC17" s="100" t="s">
        <v>652</v>
      </c>
      <c r="BD17" s="158">
        <v>0.9496731567000001</v>
      </c>
      <c r="BE17" s="158">
        <v>1.3951806640000002</v>
      </c>
      <c r="BF17" s="162">
        <v>687</v>
      </c>
      <c r="BG17" s="162">
        <v>216</v>
      </c>
      <c r="BH17" s="162">
        <v>1031</v>
      </c>
      <c r="BI17" s="162">
        <v>695</v>
      </c>
      <c r="BJ17" s="162">
        <v>325</v>
      </c>
      <c r="BK17" s="97"/>
      <c r="BL17" s="97"/>
      <c r="BM17" s="97"/>
      <c r="BN17" s="97"/>
    </row>
    <row r="18" spans="1:66" ht="12.75">
      <c r="A18" s="79" t="s">
        <v>607</v>
      </c>
      <c r="B18" s="79" t="s">
        <v>334</v>
      </c>
      <c r="C18" s="79" t="s">
        <v>243</v>
      </c>
      <c r="D18" s="99">
        <v>8047</v>
      </c>
      <c r="E18" s="99">
        <v>1746</v>
      </c>
      <c r="F18" s="99" t="s">
        <v>396</v>
      </c>
      <c r="G18" s="99">
        <v>45</v>
      </c>
      <c r="H18" s="99">
        <v>20</v>
      </c>
      <c r="I18" s="99">
        <v>212</v>
      </c>
      <c r="J18" s="99">
        <v>968</v>
      </c>
      <c r="K18" s="99">
        <v>336</v>
      </c>
      <c r="L18" s="99">
        <v>1644</v>
      </c>
      <c r="M18" s="99">
        <v>724</v>
      </c>
      <c r="N18" s="99">
        <v>377</v>
      </c>
      <c r="O18" s="99">
        <v>194</v>
      </c>
      <c r="P18" s="159">
        <v>194</v>
      </c>
      <c r="Q18" s="99">
        <v>26</v>
      </c>
      <c r="R18" s="99">
        <v>53</v>
      </c>
      <c r="S18" s="99">
        <v>28</v>
      </c>
      <c r="T18" s="99">
        <v>32</v>
      </c>
      <c r="U18" s="99" t="s">
        <v>652</v>
      </c>
      <c r="V18" s="99">
        <v>39</v>
      </c>
      <c r="W18" s="99">
        <v>35</v>
      </c>
      <c r="X18" s="99">
        <v>47</v>
      </c>
      <c r="Y18" s="99">
        <v>87</v>
      </c>
      <c r="Z18" s="99">
        <v>44</v>
      </c>
      <c r="AA18" s="99" t="s">
        <v>652</v>
      </c>
      <c r="AB18" s="99" t="s">
        <v>652</v>
      </c>
      <c r="AC18" s="99" t="s">
        <v>652</v>
      </c>
      <c r="AD18" s="98" t="s">
        <v>372</v>
      </c>
      <c r="AE18" s="100">
        <v>0.2169752702870635</v>
      </c>
      <c r="AF18" s="100">
        <v>0.08</v>
      </c>
      <c r="AG18" s="98">
        <v>559.2146141419163</v>
      </c>
      <c r="AH18" s="98">
        <v>248.53982850751834</v>
      </c>
      <c r="AI18" s="100">
        <v>0.026000000000000002</v>
      </c>
      <c r="AJ18" s="100">
        <v>0.79868</v>
      </c>
      <c r="AK18" s="100">
        <v>0.846348</v>
      </c>
      <c r="AL18" s="100">
        <v>0.829884</v>
      </c>
      <c r="AM18" s="100">
        <v>0.633975</v>
      </c>
      <c r="AN18" s="100">
        <v>0.686703</v>
      </c>
      <c r="AO18" s="98">
        <v>2410.836336522928</v>
      </c>
      <c r="AP18" s="158">
        <v>1.1211895749999998</v>
      </c>
      <c r="AQ18" s="100">
        <v>0.13402061855670103</v>
      </c>
      <c r="AR18" s="100">
        <v>0.49056603773584906</v>
      </c>
      <c r="AS18" s="98">
        <v>347.95575991052567</v>
      </c>
      <c r="AT18" s="98">
        <v>397.66372561202934</v>
      </c>
      <c r="AU18" s="98" t="s">
        <v>652</v>
      </c>
      <c r="AV18" s="98">
        <v>484.6526655896607</v>
      </c>
      <c r="AW18" s="98">
        <v>434.94469988815706</v>
      </c>
      <c r="AX18" s="98">
        <v>584.0685969926681</v>
      </c>
      <c r="AY18" s="98">
        <v>1081.1482540077047</v>
      </c>
      <c r="AZ18" s="98">
        <v>546.7876227165403</v>
      </c>
      <c r="BA18" s="100" t="s">
        <v>652</v>
      </c>
      <c r="BB18" s="100" t="s">
        <v>652</v>
      </c>
      <c r="BC18" s="100" t="s">
        <v>652</v>
      </c>
      <c r="BD18" s="158">
        <v>0.9689620209</v>
      </c>
      <c r="BE18" s="158">
        <v>1.2905464169999998</v>
      </c>
      <c r="BF18" s="162">
        <v>1212</v>
      </c>
      <c r="BG18" s="162">
        <v>397</v>
      </c>
      <c r="BH18" s="162">
        <v>1981</v>
      </c>
      <c r="BI18" s="162">
        <v>1142</v>
      </c>
      <c r="BJ18" s="162">
        <v>549</v>
      </c>
      <c r="BK18" s="97"/>
      <c r="BL18" s="97"/>
      <c r="BM18" s="97"/>
      <c r="BN18" s="97"/>
    </row>
    <row r="19" spans="1:66" ht="12.75">
      <c r="A19" s="79" t="s">
        <v>560</v>
      </c>
      <c r="B19" s="79" t="s">
        <v>284</v>
      </c>
      <c r="C19" s="79" t="s">
        <v>243</v>
      </c>
      <c r="D19" s="99">
        <v>12439</v>
      </c>
      <c r="E19" s="99">
        <v>3765</v>
      </c>
      <c r="F19" s="99" t="s">
        <v>395</v>
      </c>
      <c r="G19" s="99">
        <v>80</v>
      </c>
      <c r="H19" s="99">
        <v>38</v>
      </c>
      <c r="I19" s="99">
        <v>332</v>
      </c>
      <c r="J19" s="99">
        <v>1598</v>
      </c>
      <c r="K19" s="99">
        <v>252</v>
      </c>
      <c r="L19" s="99">
        <v>2033</v>
      </c>
      <c r="M19" s="99">
        <v>1327</v>
      </c>
      <c r="N19" s="99">
        <v>640</v>
      </c>
      <c r="O19" s="99">
        <v>477</v>
      </c>
      <c r="P19" s="159">
        <v>477</v>
      </c>
      <c r="Q19" s="99">
        <v>43</v>
      </c>
      <c r="R19" s="99">
        <v>100</v>
      </c>
      <c r="S19" s="99">
        <v>59</v>
      </c>
      <c r="T19" s="99">
        <v>82</v>
      </c>
      <c r="U19" s="99">
        <v>8</v>
      </c>
      <c r="V19" s="99">
        <v>111</v>
      </c>
      <c r="W19" s="99">
        <v>69</v>
      </c>
      <c r="X19" s="99">
        <v>82</v>
      </c>
      <c r="Y19" s="99">
        <v>199</v>
      </c>
      <c r="Z19" s="99">
        <v>99</v>
      </c>
      <c r="AA19" s="99" t="s">
        <v>652</v>
      </c>
      <c r="AB19" s="99" t="s">
        <v>652</v>
      </c>
      <c r="AC19" s="99" t="s">
        <v>652</v>
      </c>
      <c r="AD19" s="98" t="s">
        <v>372</v>
      </c>
      <c r="AE19" s="100">
        <v>0.30267706407267464</v>
      </c>
      <c r="AF19" s="100">
        <v>0.13</v>
      </c>
      <c r="AG19" s="98">
        <v>643.1385159578745</v>
      </c>
      <c r="AH19" s="98">
        <v>305.49079507999033</v>
      </c>
      <c r="AI19" s="100">
        <v>0.027000000000000003</v>
      </c>
      <c r="AJ19" s="100">
        <v>0.76059</v>
      </c>
      <c r="AK19" s="100">
        <v>0.845638</v>
      </c>
      <c r="AL19" s="100">
        <v>0.734465</v>
      </c>
      <c r="AM19" s="100">
        <v>0.616349</v>
      </c>
      <c r="AN19" s="100">
        <v>0.644512</v>
      </c>
      <c r="AO19" s="98">
        <v>3834.713401398826</v>
      </c>
      <c r="AP19" s="158">
        <v>1.4963301089999999</v>
      </c>
      <c r="AQ19" s="100">
        <v>0.09014675052410902</v>
      </c>
      <c r="AR19" s="100">
        <v>0.43</v>
      </c>
      <c r="AS19" s="98">
        <v>474.3146555189324</v>
      </c>
      <c r="AT19" s="98">
        <v>659.2169788568212</v>
      </c>
      <c r="AU19" s="98">
        <v>64.31385159578744</v>
      </c>
      <c r="AV19" s="98">
        <v>892.3546908915507</v>
      </c>
      <c r="AW19" s="98">
        <v>554.7069700136667</v>
      </c>
      <c r="AX19" s="98">
        <v>659.2169788568212</v>
      </c>
      <c r="AY19" s="98">
        <v>1599.8070584452125</v>
      </c>
      <c r="AZ19" s="98">
        <v>795.8839134978696</v>
      </c>
      <c r="BA19" s="100" t="s">
        <v>652</v>
      </c>
      <c r="BB19" s="100" t="s">
        <v>652</v>
      </c>
      <c r="BC19" s="100" t="s">
        <v>652</v>
      </c>
      <c r="BD19" s="158">
        <v>1.365041504</v>
      </c>
      <c r="BE19" s="158">
        <v>1.6368373109999999</v>
      </c>
      <c r="BF19" s="162">
        <v>2101</v>
      </c>
      <c r="BG19" s="162">
        <v>298</v>
      </c>
      <c r="BH19" s="162">
        <v>2768</v>
      </c>
      <c r="BI19" s="162">
        <v>2153</v>
      </c>
      <c r="BJ19" s="162">
        <v>993</v>
      </c>
      <c r="BK19" s="97"/>
      <c r="BL19" s="97"/>
      <c r="BM19" s="97"/>
      <c r="BN19" s="97"/>
    </row>
    <row r="20" spans="1:66" ht="12.75">
      <c r="A20" s="79" t="s">
        <v>643</v>
      </c>
      <c r="B20" s="79" t="s">
        <v>371</v>
      </c>
      <c r="C20" s="79" t="s">
        <v>243</v>
      </c>
      <c r="D20" s="99">
        <v>2444</v>
      </c>
      <c r="E20" s="99">
        <v>425</v>
      </c>
      <c r="F20" s="99" t="s">
        <v>395</v>
      </c>
      <c r="G20" s="99">
        <v>7</v>
      </c>
      <c r="H20" s="99">
        <v>8</v>
      </c>
      <c r="I20" s="99">
        <v>27</v>
      </c>
      <c r="J20" s="99">
        <v>174</v>
      </c>
      <c r="K20" s="99">
        <v>67</v>
      </c>
      <c r="L20" s="99">
        <v>468</v>
      </c>
      <c r="M20" s="99">
        <v>133</v>
      </c>
      <c r="N20" s="99">
        <v>77</v>
      </c>
      <c r="O20" s="99">
        <v>38</v>
      </c>
      <c r="P20" s="159">
        <v>38</v>
      </c>
      <c r="Q20" s="99">
        <v>8</v>
      </c>
      <c r="R20" s="99">
        <v>13</v>
      </c>
      <c r="S20" s="99">
        <v>8</v>
      </c>
      <c r="T20" s="99" t="s">
        <v>652</v>
      </c>
      <c r="U20" s="99" t="s">
        <v>652</v>
      </c>
      <c r="V20" s="99">
        <v>10</v>
      </c>
      <c r="W20" s="99">
        <v>25</v>
      </c>
      <c r="X20" s="99">
        <v>11</v>
      </c>
      <c r="Y20" s="99">
        <v>39</v>
      </c>
      <c r="Z20" s="99">
        <v>27</v>
      </c>
      <c r="AA20" s="99" t="s">
        <v>652</v>
      </c>
      <c r="AB20" s="99" t="s">
        <v>652</v>
      </c>
      <c r="AC20" s="99" t="s">
        <v>652</v>
      </c>
      <c r="AD20" s="98" t="s">
        <v>372</v>
      </c>
      <c r="AE20" s="100">
        <v>0.17389525368248773</v>
      </c>
      <c r="AF20" s="100">
        <v>0.13</v>
      </c>
      <c r="AG20" s="98">
        <v>286.41571194762685</v>
      </c>
      <c r="AH20" s="98">
        <v>327.33224222585926</v>
      </c>
      <c r="AI20" s="100">
        <v>0.011000000000000001</v>
      </c>
      <c r="AJ20" s="100">
        <v>0.659091</v>
      </c>
      <c r="AK20" s="100">
        <v>0.697917</v>
      </c>
      <c r="AL20" s="100">
        <v>0.742857</v>
      </c>
      <c r="AM20" s="100">
        <v>0.556485</v>
      </c>
      <c r="AN20" s="100">
        <v>0.611111</v>
      </c>
      <c r="AO20" s="98">
        <v>1554.8281505728314</v>
      </c>
      <c r="AP20" s="158">
        <v>0.8460619354000001</v>
      </c>
      <c r="AQ20" s="100">
        <v>0.21052631578947367</v>
      </c>
      <c r="AR20" s="100">
        <v>0.6153846153846154</v>
      </c>
      <c r="AS20" s="98">
        <v>327.33224222585926</v>
      </c>
      <c r="AT20" s="98" t="s">
        <v>652</v>
      </c>
      <c r="AU20" s="98" t="s">
        <v>652</v>
      </c>
      <c r="AV20" s="98">
        <v>409.16530278232403</v>
      </c>
      <c r="AW20" s="98">
        <v>1022.9132569558102</v>
      </c>
      <c r="AX20" s="98">
        <v>450.08183306055645</v>
      </c>
      <c r="AY20" s="98">
        <v>1595.7446808510638</v>
      </c>
      <c r="AZ20" s="98">
        <v>1104.746317512275</v>
      </c>
      <c r="BA20" s="100" t="s">
        <v>652</v>
      </c>
      <c r="BB20" s="100" t="s">
        <v>652</v>
      </c>
      <c r="BC20" s="100" t="s">
        <v>652</v>
      </c>
      <c r="BD20" s="158">
        <v>0.598723793</v>
      </c>
      <c r="BE20" s="158">
        <v>1.161286163</v>
      </c>
      <c r="BF20" s="162">
        <v>264</v>
      </c>
      <c r="BG20" s="162">
        <v>96</v>
      </c>
      <c r="BH20" s="162">
        <v>630</v>
      </c>
      <c r="BI20" s="162">
        <v>239</v>
      </c>
      <c r="BJ20" s="162">
        <v>126</v>
      </c>
      <c r="BK20" s="97"/>
      <c r="BL20" s="97"/>
      <c r="BM20" s="97"/>
      <c r="BN20" s="97"/>
    </row>
    <row r="21" spans="1:66" ht="12.75">
      <c r="A21" s="79" t="s">
        <v>580</v>
      </c>
      <c r="B21" s="79" t="s">
        <v>306</v>
      </c>
      <c r="C21" s="79" t="s">
        <v>243</v>
      </c>
      <c r="D21" s="99">
        <v>13087</v>
      </c>
      <c r="E21" s="99">
        <v>2991</v>
      </c>
      <c r="F21" s="99" t="s">
        <v>396</v>
      </c>
      <c r="G21" s="99">
        <v>76</v>
      </c>
      <c r="H21" s="99">
        <v>41</v>
      </c>
      <c r="I21" s="99">
        <v>264</v>
      </c>
      <c r="J21" s="99">
        <v>1684</v>
      </c>
      <c r="K21" s="99">
        <v>630</v>
      </c>
      <c r="L21" s="99">
        <v>2656</v>
      </c>
      <c r="M21" s="99">
        <v>1243</v>
      </c>
      <c r="N21" s="99">
        <v>634</v>
      </c>
      <c r="O21" s="99">
        <v>385</v>
      </c>
      <c r="P21" s="159">
        <v>385</v>
      </c>
      <c r="Q21" s="99">
        <v>33</v>
      </c>
      <c r="R21" s="99">
        <v>89</v>
      </c>
      <c r="S21" s="99">
        <v>53</v>
      </c>
      <c r="T21" s="99">
        <v>73</v>
      </c>
      <c r="U21" s="99" t="s">
        <v>652</v>
      </c>
      <c r="V21" s="99">
        <v>93</v>
      </c>
      <c r="W21" s="99">
        <v>63</v>
      </c>
      <c r="X21" s="99">
        <v>94</v>
      </c>
      <c r="Y21" s="99">
        <v>175</v>
      </c>
      <c r="Z21" s="99">
        <v>75</v>
      </c>
      <c r="AA21" s="99" t="s">
        <v>652</v>
      </c>
      <c r="AB21" s="99" t="s">
        <v>652</v>
      </c>
      <c r="AC21" s="99" t="s">
        <v>652</v>
      </c>
      <c r="AD21" s="98" t="s">
        <v>372</v>
      </c>
      <c r="AE21" s="100">
        <v>0.22854741346374263</v>
      </c>
      <c r="AF21" s="100">
        <v>0.08</v>
      </c>
      <c r="AG21" s="98">
        <v>580.7289676778482</v>
      </c>
      <c r="AH21" s="98">
        <v>313.2879957209444</v>
      </c>
      <c r="AI21" s="100">
        <v>0.02</v>
      </c>
      <c r="AJ21" s="100">
        <v>0.86359</v>
      </c>
      <c r="AK21" s="100">
        <v>0.867769</v>
      </c>
      <c r="AL21" s="100">
        <v>0.840506</v>
      </c>
      <c r="AM21" s="100">
        <v>0.663641</v>
      </c>
      <c r="AN21" s="100">
        <v>0.682454</v>
      </c>
      <c r="AO21" s="98">
        <v>2941.850691525942</v>
      </c>
      <c r="AP21" s="158">
        <v>1.316476135</v>
      </c>
      <c r="AQ21" s="100">
        <v>0.08571428571428572</v>
      </c>
      <c r="AR21" s="100">
        <v>0.3707865168539326</v>
      </c>
      <c r="AS21" s="98">
        <v>404.98204324902576</v>
      </c>
      <c r="AT21" s="98">
        <v>557.8054557958279</v>
      </c>
      <c r="AU21" s="98" t="s">
        <v>652</v>
      </c>
      <c r="AV21" s="98">
        <v>710.6288683426301</v>
      </c>
      <c r="AW21" s="98">
        <v>481.39374952242684</v>
      </c>
      <c r="AX21" s="98">
        <v>718.2700389699702</v>
      </c>
      <c r="AY21" s="98">
        <v>1337.204859784519</v>
      </c>
      <c r="AZ21" s="98">
        <v>573.0877970505081</v>
      </c>
      <c r="BA21" s="100" t="s">
        <v>652</v>
      </c>
      <c r="BB21" s="100" t="s">
        <v>652</v>
      </c>
      <c r="BC21" s="100" t="s">
        <v>652</v>
      </c>
      <c r="BD21" s="158">
        <v>1.1882426449999999</v>
      </c>
      <c r="BE21" s="158">
        <v>1.454775848</v>
      </c>
      <c r="BF21" s="162">
        <v>1950</v>
      </c>
      <c r="BG21" s="162">
        <v>726</v>
      </c>
      <c r="BH21" s="162">
        <v>3160</v>
      </c>
      <c r="BI21" s="162">
        <v>1873</v>
      </c>
      <c r="BJ21" s="162">
        <v>929</v>
      </c>
      <c r="BK21" s="97"/>
      <c r="BL21" s="97"/>
      <c r="BM21" s="97"/>
      <c r="BN21" s="97"/>
    </row>
    <row r="22" spans="1:66" ht="12.75">
      <c r="A22" s="79" t="s">
        <v>657</v>
      </c>
      <c r="B22" s="79" t="s">
        <v>318</v>
      </c>
      <c r="C22" s="79" t="s">
        <v>243</v>
      </c>
      <c r="D22" s="99">
        <v>7244</v>
      </c>
      <c r="E22" s="99">
        <v>1504</v>
      </c>
      <c r="F22" s="99" t="s">
        <v>396</v>
      </c>
      <c r="G22" s="99">
        <v>27</v>
      </c>
      <c r="H22" s="99">
        <v>14</v>
      </c>
      <c r="I22" s="99">
        <v>181</v>
      </c>
      <c r="J22" s="99">
        <v>851</v>
      </c>
      <c r="K22" s="99">
        <v>398</v>
      </c>
      <c r="L22" s="99">
        <v>1396</v>
      </c>
      <c r="M22" s="99">
        <v>693</v>
      </c>
      <c r="N22" s="99">
        <v>345</v>
      </c>
      <c r="O22" s="99">
        <v>156</v>
      </c>
      <c r="P22" s="159">
        <v>156</v>
      </c>
      <c r="Q22" s="99">
        <v>8</v>
      </c>
      <c r="R22" s="99">
        <v>35</v>
      </c>
      <c r="S22" s="99">
        <v>20</v>
      </c>
      <c r="T22" s="99">
        <v>30</v>
      </c>
      <c r="U22" s="99" t="s">
        <v>652</v>
      </c>
      <c r="V22" s="99">
        <v>29</v>
      </c>
      <c r="W22" s="99">
        <v>18</v>
      </c>
      <c r="X22" s="99">
        <v>28</v>
      </c>
      <c r="Y22" s="99">
        <v>67</v>
      </c>
      <c r="Z22" s="99">
        <v>39</v>
      </c>
      <c r="AA22" s="99" t="s">
        <v>652</v>
      </c>
      <c r="AB22" s="99" t="s">
        <v>652</v>
      </c>
      <c r="AC22" s="99" t="s">
        <v>652</v>
      </c>
      <c r="AD22" s="98" t="s">
        <v>372</v>
      </c>
      <c r="AE22" s="100">
        <v>0.20762009939260076</v>
      </c>
      <c r="AF22" s="100">
        <v>0.08</v>
      </c>
      <c r="AG22" s="98">
        <v>372.72225289895084</v>
      </c>
      <c r="AH22" s="98">
        <v>193.2633903920486</v>
      </c>
      <c r="AI22" s="100">
        <v>0.025</v>
      </c>
      <c r="AJ22" s="100">
        <v>0.758467</v>
      </c>
      <c r="AK22" s="100">
        <v>0.775828</v>
      </c>
      <c r="AL22" s="100">
        <v>0.762842</v>
      </c>
      <c r="AM22" s="100">
        <v>0.632299</v>
      </c>
      <c r="AN22" s="100">
        <v>0.675147</v>
      </c>
      <c r="AO22" s="98">
        <v>2153.5063500828273</v>
      </c>
      <c r="AP22" s="158">
        <v>0.9967990874999999</v>
      </c>
      <c r="AQ22" s="100">
        <v>0.05128205128205128</v>
      </c>
      <c r="AR22" s="100">
        <v>0.22857142857142856</v>
      </c>
      <c r="AS22" s="98">
        <v>276.09055770292656</v>
      </c>
      <c r="AT22" s="98">
        <v>414.1358365543898</v>
      </c>
      <c r="AU22" s="98" t="s">
        <v>652</v>
      </c>
      <c r="AV22" s="98">
        <v>400.3313086692435</v>
      </c>
      <c r="AW22" s="98">
        <v>248.4815019326339</v>
      </c>
      <c r="AX22" s="98">
        <v>386.5267807840972</v>
      </c>
      <c r="AY22" s="98">
        <v>924.903368304804</v>
      </c>
      <c r="AZ22" s="98">
        <v>538.3765875207068</v>
      </c>
      <c r="BA22" s="100" t="s">
        <v>652</v>
      </c>
      <c r="BB22" s="100" t="s">
        <v>652</v>
      </c>
      <c r="BC22" s="100" t="s">
        <v>652</v>
      </c>
      <c r="BD22" s="158">
        <v>0.8465158080999999</v>
      </c>
      <c r="BE22" s="158">
        <v>1.166071472</v>
      </c>
      <c r="BF22" s="162">
        <v>1122</v>
      </c>
      <c r="BG22" s="162">
        <v>513</v>
      </c>
      <c r="BH22" s="162">
        <v>1830</v>
      </c>
      <c r="BI22" s="162">
        <v>1096</v>
      </c>
      <c r="BJ22" s="162">
        <v>511</v>
      </c>
      <c r="BK22" s="97"/>
      <c r="BL22" s="97"/>
      <c r="BM22" s="97"/>
      <c r="BN22" s="97"/>
    </row>
    <row r="23" spans="1:66" ht="12.75">
      <c r="A23" s="79" t="s">
        <v>615</v>
      </c>
      <c r="B23" s="79" t="s">
        <v>342</v>
      </c>
      <c r="C23" s="79" t="s">
        <v>243</v>
      </c>
      <c r="D23" s="99">
        <v>15838</v>
      </c>
      <c r="E23" s="99">
        <v>3569</v>
      </c>
      <c r="F23" s="99" t="s">
        <v>394</v>
      </c>
      <c r="G23" s="99">
        <v>112</v>
      </c>
      <c r="H23" s="99">
        <v>51</v>
      </c>
      <c r="I23" s="99">
        <v>305</v>
      </c>
      <c r="J23" s="99">
        <v>1635</v>
      </c>
      <c r="K23" s="99">
        <v>872</v>
      </c>
      <c r="L23" s="99">
        <v>3110</v>
      </c>
      <c r="M23" s="99">
        <v>1222</v>
      </c>
      <c r="N23" s="99">
        <v>628</v>
      </c>
      <c r="O23" s="99">
        <v>396</v>
      </c>
      <c r="P23" s="159">
        <v>396</v>
      </c>
      <c r="Q23" s="99">
        <v>41</v>
      </c>
      <c r="R23" s="99">
        <v>109</v>
      </c>
      <c r="S23" s="99">
        <v>68</v>
      </c>
      <c r="T23" s="99">
        <v>63</v>
      </c>
      <c r="U23" s="99">
        <v>9</v>
      </c>
      <c r="V23" s="99">
        <v>56</v>
      </c>
      <c r="W23" s="99">
        <v>69</v>
      </c>
      <c r="X23" s="99">
        <v>78</v>
      </c>
      <c r="Y23" s="99">
        <v>184</v>
      </c>
      <c r="Z23" s="99">
        <v>102</v>
      </c>
      <c r="AA23" s="99" t="s">
        <v>652</v>
      </c>
      <c r="AB23" s="99" t="s">
        <v>652</v>
      </c>
      <c r="AC23" s="99" t="s">
        <v>652</v>
      </c>
      <c r="AD23" s="98" t="s">
        <v>372</v>
      </c>
      <c r="AE23" s="100">
        <v>0.22534410910468494</v>
      </c>
      <c r="AF23" s="100">
        <v>0.1</v>
      </c>
      <c r="AG23" s="98">
        <v>707.1599949488572</v>
      </c>
      <c r="AH23" s="98">
        <v>322.01035484278316</v>
      </c>
      <c r="AI23" s="100">
        <v>0.019</v>
      </c>
      <c r="AJ23" s="100">
        <v>0.771955</v>
      </c>
      <c r="AK23" s="100">
        <v>0.840887</v>
      </c>
      <c r="AL23" s="100">
        <v>0.824059</v>
      </c>
      <c r="AM23" s="100">
        <v>0.63679</v>
      </c>
      <c r="AN23" s="100">
        <v>0.68709</v>
      </c>
      <c r="AO23" s="98">
        <v>2500.3156964263167</v>
      </c>
      <c r="AP23" s="158">
        <v>1.14925705</v>
      </c>
      <c r="AQ23" s="100">
        <v>0.10353535353535354</v>
      </c>
      <c r="AR23" s="100">
        <v>0.3761467889908257</v>
      </c>
      <c r="AS23" s="98">
        <v>429.3471397903776</v>
      </c>
      <c r="AT23" s="98">
        <v>397.77749715873216</v>
      </c>
      <c r="AU23" s="98">
        <v>56.82535673696174</v>
      </c>
      <c r="AV23" s="98">
        <v>353.5799974744286</v>
      </c>
      <c r="AW23" s="98">
        <v>435.66106831670663</v>
      </c>
      <c r="AX23" s="98">
        <v>492.48642505366837</v>
      </c>
      <c r="AY23" s="98">
        <v>1161.7628488445512</v>
      </c>
      <c r="AZ23" s="98">
        <v>644.0207096855663</v>
      </c>
      <c r="BA23" s="100" t="s">
        <v>652</v>
      </c>
      <c r="BB23" s="100" t="s">
        <v>652</v>
      </c>
      <c r="BC23" s="100" t="s">
        <v>652</v>
      </c>
      <c r="BD23" s="158">
        <v>1.038835373</v>
      </c>
      <c r="BE23" s="158">
        <v>1.268219757</v>
      </c>
      <c r="BF23" s="162">
        <v>2118</v>
      </c>
      <c r="BG23" s="162">
        <v>1037</v>
      </c>
      <c r="BH23" s="162">
        <v>3774</v>
      </c>
      <c r="BI23" s="162">
        <v>1919</v>
      </c>
      <c r="BJ23" s="162">
        <v>914</v>
      </c>
      <c r="BK23" s="97"/>
      <c r="BL23" s="97"/>
      <c r="BM23" s="97"/>
      <c r="BN23" s="97"/>
    </row>
    <row r="24" spans="1:66" ht="12.75">
      <c r="A24" s="79" t="s">
        <v>603</v>
      </c>
      <c r="B24" s="79" t="s">
        <v>330</v>
      </c>
      <c r="C24" s="79" t="s">
        <v>243</v>
      </c>
      <c r="D24" s="99">
        <v>8768</v>
      </c>
      <c r="E24" s="99">
        <v>2103</v>
      </c>
      <c r="F24" s="99" t="s">
        <v>394</v>
      </c>
      <c r="G24" s="99">
        <v>59</v>
      </c>
      <c r="H24" s="99">
        <v>36</v>
      </c>
      <c r="I24" s="99">
        <v>226</v>
      </c>
      <c r="J24" s="99">
        <v>1129</v>
      </c>
      <c r="K24" s="99">
        <v>406</v>
      </c>
      <c r="L24" s="99">
        <v>1689</v>
      </c>
      <c r="M24" s="99">
        <v>950</v>
      </c>
      <c r="N24" s="99">
        <v>515</v>
      </c>
      <c r="O24" s="99">
        <v>303</v>
      </c>
      <c r="P24" s="159">
        <v>303</v>
      </c>
      <c r="Q24" s="99">
        <v>28</v>
      </c>
      <c r="R24" s="99">
        <v>65</v>
      </c>
      <c r="S24" s="99">
        <v>21</v>
      </c>
      <c r="T24" s="99">
        <v>48</v>
      </c>
      <c r="U24" s="99" t="s">
        <v>652</v>
      </c>
      <c r="V24" s="99">
        <v>34</v>
      </c>
      <c r="W24" s="99">
        <v>46</v>
      </c>
      <c r="X24" s="99">
        <v>62</v>
      </c>
      <c r="Y24" s="99">
        <v>100</v>
      </c>
      <c r="Z24" s="99">
        <v>67</v>
      </c>
      <c r="AA24" s="99" t="s">
        <v>652</v>
      </c>
      <c r="AB24" s="99" t="s">
        <v>652</v>
      </c>
      <c r="AC24" s="99" t="s">
        <v>652</v>
      </c>
      <c r="AD24" s="98" t="s">
        <v>372</v>
      </c>
      <c r="AE24" s="100">
        <v>0.23984945255474452</v>
      </c>
      <c r="AF24" s="100">
        <v>0.09</v>
      </c>
      <c r="AG24" s="98">
        <v>672.9014598540145</v>
      </c>
      <c r="AH24" s="98">
        <v>410.5839416058394</v>
      </c>
      <c r="AI24" s="100">
        <v>0.026000000000000002</v>
      </c>
      <c r="AJ24" s="100">
        <v>0.807005</v>
      </c>
      <c r="AK24" s="100">
        <v>0.85654</v>
      </c>
      <c r="AL24" s="100">
        <v>0.807747</v>
      </c>
      <c r="AM24" s="100">
        <v>0.66064</v>
      </c>
      <c r="AN24" s="100">
        <v>0.697832</v>
      </c>
      <c r="AO24" s="98">
        <v>3455.7481751824816</v>
      </c>
      <c r="AP24" s="158">
        <v>1.516346283</v>
      </c>
      <c r="AQ24" s="100">
        <v>0.0924092409240924</v>
      </c>
      <c r="AR24" s="100">
        <v>0.4307692307692308</v>
      </c>
      <c r="AS24" s="98">
        <v>239.507299270073</v>
      </c>
      <c r="AT24" s="98">
        <v>547.4452554744526</v>
      </c>
      <c r="AU24" s="98" t="s">
        <v>652</v>
      </c>
      <c r="AV24" s="98">
        <v>387.77372262773724</v>
      </c>
      <c r="AW24" s="98">
        <v>524.6350364963504</v>
      </c>
      <c r="AX24" s="98">
        <v>707.1167883211679</v>
      </c>
      <c r="AY24" s="98">
        <v>1140.5109489051094</v>
      </c>
      <c r="AZ24" s="98">
        <v>764.1423357664233</v>
      </c>
      <c r="BA24" s="100" t="s">
        <v>652</v>
      </c>
      <c r="BB24" s="100" t="s">
        <v>652</v>
      </c>
      <c r="BC24" s="100" t="s">
        <v>652</v>
      </c>
      <c r="BD24" s="158">
        <v>1.35039856</v>
      </c>
      <c r="BE24" s="158">
        <v>1.6970578</v>
      </c>
      <c r="BF24" s="162">
        <v>1399</v>
      </c>
      <c r="BG24" s="162">
        <v>474</v>
      </c>
      <c r="BH24" s="162">
        <v>2091</v>
      </c>
      <c r="BI24" s="162">
        <v>1438</v>
      </c>
      <c r="BJ24" s="162">
        <v>738</v>
      </c>
      <c r="BK24" s="97"/>
      <c r="BL24" s="97"/>
      <c r="BM24" s="97"/>
      <c r="BN24" s="97"/>
    </row>
    <row r="25" spans="1:66" ht="12.75">
      <c r="A25" s="79" t="s">
        <v>624</v>
      </c>
      <c r="B25" s="79" t="s">
        <v>351</v>
      </c>
      <c r="C25" s="79" t="s">
        <v>243</v>
      </c>
      <c r="D25" s="99">
        <v>5901</v>
      </c>
      <c r="E25" s="99">
        <v>725</v>
      </c>
      <c r="F25" s="99" t="s">
        <v>393</v>
      </c>
      <c r="G25" s="99">
        <v>21</v>
      </c>
      <c r="H25" s="99">
        <v>19</v>
      </c>
      <c r="I25" s="99">
        <v>48</v>
      </c>
      <c r="J25" s="99">
        <v>346</v>
      </c>
      <c r="K25" s="99">
        <v>78</v>
      </c>
      <c r="L25" s="99">
        <v>892</v>
      </c>
      <c r="M25" s="99">
        <v>214</v>
      </c>
      <c r="N25" s="99">
        <v>124</v>
      </c>
      <c r="O25" s="99">
        <v>56</v>
      </c>
      <c r="P25" s="159">
        <v>56</v>
      </c>
      <c r="Q25" s="99">
        <v>9</v>
      </c>
      <c r="R25" s="99">
        <v>14</v>
      </c>
      <c r="S25" s="99">
        <v>10</v>
      </c>
      <c r="T25" s="99" t="s">
        <v>652</v>
      </c>
      <c r="U25" s="99">
        <v>9</v>
      </c>
      <c r="V25" s="99" t="s">
        <v>652</v>
      </c>
      <c r="W25" s="99">
        <v>45</v>
      </c>
      <c r="X25" s="99">
        <v>15</v>
      </c>
      <c r="Y25" s="99">
        <v>64</v>
      </c>
      <c r="Z25" s="99">
        <v>32</v>
      </c>
      <c r="AA25" s="99" t="s">
        <v>652</v>
      </c>
      <c r="AB25" s="99" t="s">
        <v>652</v>
      </c>
      <c r="AC25" s="99" t="s">
        <v>652</v>
      </c>
      <c r="AD25" s="98" t="s">
        <v>372</v>
      </c>
      <c r="AE25" s="100">
        <v>0.12286053211320115</v>
      </c>
      <c r="AF25" s="100">
        <v>0.24</v>
      </c>
      <c r="AG25" s="98">
        <v>355.87188612099646</v>
      </c>
      <c r="AH25" s="98">
        <v>321.9793255380444</v>
      </c>
      <c r="AI25" s="100">
        <v>0.008</v>
      </c>
      <c r="AJ25" s="100">
        <v>0.654064</v>
      </c>
      <c r="AK25" s="100">
        <v>0.639344</v>
      </c>
      <c r="AL25" s="100">
        <v>0.684049</v>
      </c>
      <c r="AM25" s="100">
        <v>0.434077</v>
      </c>
      <c r="AN25" s="100">
        <v>0.476923</v>
      </c>
      <c r="AO25" s="98">
        <v>948.9916963226572</v>
      </c>
      <c r="AP25" s="158">
        <v>0.6334117508</v>
      </c>
      <c r="AQ25" s="100">
        <v>0.16071428571428573</v>
      </c>
      <c r="AR25" s="100">
        <v>0.6428571428571429</v>
      </c>
      <c r="AS25" s="98">
        <v>169.4628029147602</v>
      </c>
      <c r="AT25" s="98" t="s">
        <v>652</v>
      </c>
      <c r="AU25" s="98">
        <v>152.5165226232842</v>
      </c>
      <c r="AV25" s="98" t="s">
        <v>652</v>
      </c>
      <c r="AW25" s="98">
        <v>762.5826131164209</v>
      </c>
      <c r="AX25" s="98">
        <v>254.19420437214032</v>
      </c>
      <c r="AY25" s="98">
        <v>1084.5619386544654</v>
      </c>
      <c r="AZ25" s="98">
        <v>542.2809693272327</v>
      </c>
      <c r="BA25" s="100" t="s">
        <v>652</v>
      </c>
      <c r="BB25" s="100" t="s">
        <v>652</v>
      </c>
      <c r="BC25" s="100" t="s">
        <v>652</v>
      </c>
      <c r="BD25" s="158">
        <v>0.4784724426</v>
      </c>
      <c r="BE25" s="158">
        <v>0.8225378418</v>
      </c>
      <c r="BF25" s="162">
        <v>529</v>
      </c>
      <c r="BG25" s="162">
        <v>122</v>
      </c>
      <c r="BH25" s="162">
        <v>1304</v>
      </c>
      <c r="BI25" s="162">
        <v>493</v>
      </c>
      <c r="BJ25" s="162">
        <v>260</v>
      </c>
      <c r="BK25" s="97"/>
      <c r="BL25" s="97"/>
      <c r="BM25" s="97"/>
      <c r="BN25" s="97"/>
    </row>
    <row r="26" spans="1:66" ht="12.75">
      <c r="A26" s="79" t="s">
        <v>602</v>
      </c>
      <c r="B26" s="79" t="s">
        <v>329</v>
      </c>
      <c r="C26" s="79" t="s">
        <v>243</v>
      </c>
      <c r="D26" s="99">
        <v>14801</v>
      </c>
      <c r="E26" s="99">
        <v>3760</v>
      </c>
      <c r="F26" s="99" t="s">
        <v>394</v>
      </c>
      <c r="G26" s="99">
        <v>104</v>
      </c>
      <c r="H26" s="99">
        <v>53</v>
      </c>
      <c r="I26" s="99">
        <v>360</v>
      </c>
      <c r="J26" s="99">
        <v>1749</v>
      </c>
      <c r="K26" s="99">
        <v>617</v>
      </c>
      <c r="L26" s="99">
        <v>2576</v>
      </c>
      <c r="M26" s="99">
        <v>1407</v>
      </c>
      <c r="N26" s="99">
        <v>724</v>
      </c>
      <c r="O26" s="99">
        <v>405</v>
      </c>
      <c r="P26" s="159">
        <v>405</v>
      </c>
      <c r="Q26" s="99">
        <v>49</v>
      </c>
      <c r="R26" s="99">
        <v>88</v>
      </c>
      <c r="S26" s="99">
        <v>57</v>
      </c>
      <c r="T26" s="99">
        <v>100</v>
      </c>
      <c r="U26" s="99" t="s">
        <v>652</v>
      </c>
      <c r="V26" s="99">
        <v>59</v>
      </c>
      <c r="W26" s="99">
        <v>98</v>
      </c>
      <c r="X26" s="99">
        <v>98</v>
      </c>
      <c r="Y26" s="99">
        <v>177</v>
      </c>
      <c r="Z26" s="99">
        <v>118</v>
      </c>
      <c r="AA26" s="99" t="s">
        <v>652</v>
      </c>
      <c r="AB26" s="99" t="s">
        <v>652</v>
      </c>
      <c r="AC26" s="99" t="s">
        <v>652</v>
      </c>
      <c r="AD26" s="98" t="s">
        <v>372</v>
      </c>
      <c r="AE26" s="100">
        <v>0.2540368893993649</v>
      </c>
      <c r="AF26" s="100">
        <v>0.12</v>
      </c>
      <c r="AG26" s="98">
        <v>702.6552259982434</v>
      </c>
      <c r="AH26" s="98">
        <v>358.0839132491048</v>
      </c>
      <c r="AI26" s="100">
        <v>0.024</v>
      </c>
      <c r="AJ26" s="100">
        <v>0.762092</v>
      </c>
      <c r="AK26" s="100">
        <v>0.77904</v>
      </c>
      <c r="AL26" s="100">
        <v>0.769644</v>
      </c>
      <c r="AM26" s="100">
        <v>0.632075</v>
      </c>
      <c r="AN26" s="100">
        <v>0.668513</v>
      </c>
      <c r="AO26" s="98">
        <v>2736.3016012431594</v>
      </c>
      <c r="AP26" s="158">
        <v>1.183673019</v>
      </c>
      <c r="AQ26" s="100">
        <v>0.12098765432098765</v>
      </c>
      <c r="AR26" s="100">
        <v>0.5568181818181818</v>
      </c>
      <c r="AS26" s="98">
        <v>385.10911424903725</v>
      </c>
      <c r="AT26" s="98">
        <v>675.6300249983109</v>
      </c>
      <c r="AU26" s="98" t="s">
        <v>652</v>
      </c>
      <c r="AV26" s="98">
        <v>398.62171474900344</v>
      </c>
      <c r="AW26" s="98">
        <v>662.1174244983447</v>
      </c>
      <c r="AX26" s="98">
        <v>662.1174244983447</v>
      </c>
      <c r="AY26" s="98">
        <v>1195.8651442470104</v>
      </c>
      <c r="AZ26" s="98">
        <v>797.2434294980069</v>
      </c>
      <c r="BA26" s="100" t="s">
        <v>652</v>
      </c>
      <c r="BB26" s="100" t="s">
        <v>652</v>
      </c>
      <c r="BC26" s="100" t="s">
        <v>652</v>
      </c>
      <c r="BD26" s="158">
        <v>1.071183701</v>
      </c>
      <c r="BE26" s="158">
        <v>1.3047622680000002</v>
      </c>
      <c r="BF26" s="162">
        <v>2295</v>
      </c>
      <c r="BG26" s="162">
        <v>792</v>
      </c>
      <c r="BH26" s="162">
        <v>3347</v>
      </c>
      <c r="BI26" s="162">
        <v>2226</v>
      </c>
      <c r="BJ26" s="162">
        <v>1083</v>
      </c>
      <c r="BK26" s="97"/>
      <c r="BL26" s="97"/>
      <c r="BM26" s="97"/>
      <c r="BN26" s="97"/>
    </row>
    <row r="27" spans="1:66" ht="12.75">
      <c r="A27" s="79" t="s">
        <v>620</v>
      </c>
      <c r="B27" s="79" t="s">
        <v>347</v>
      </c>
      <c r="C27" s="79" t="s">
        <v>243</v>
      </c>
      <c r="D27" s="99">
        <v>4246</v>
      </c>
      <c r="E27" s="99">
        <v>932</v>
      </c>
      <c r="F27" s="99" t="s">
        <v>396</v>
      </c>
      <c r="G27" s="99">
        <v>23</v>
      </c>
      <c r="H27" s="99">
        <v>10</v>
      </c>
      <c r="I27" s="99">
        <v>84</v>
      </c>
      <c r="J27" s="99">
        <v>486</v>
      </c>
      <c r="K27" s="99">
        <v>137</v>
      </c>
      <c r="L27" s="99">
        <v>774</v>
      </c>
      <c r="M27" s="99">
        <v>360</v>
      </c>
      <c r="N27" s="99">
        <v>221</v>
      </c>
      <c r="O27" s="99">
        <v>56</v>
      </c>
      <c r="P27" s="159">
        <v>56</v>
      </c>
      <c r="Q27" s="99">
        <v>8</v>
      </c>
      <c r="R27" s="99">
        <v>14</v>
      </c>
      <c r="S27" s="99">
        <v>8</v>
      </c>
      <c r="T27" s="99">
        <v>8</v>
      </c>
      <c r="U27" s="99" t="s">
        <v>652</v>
      </c>
      <c r="V27" s="99">
        <v>6</v>
      </c>
      <c r="W27" s="99">
        <v>22</v>
      </c>
      <c r="X27" s="99" t="s">
        <v>652</v>
      </c>
      <c r="Y27" s="99">
        <v>32</v>
      </c>
      <c r="Z27" s="99">
        <v>35</v>
      </c>
      <c r="AA27" s="99" t="s">
        <v>652</v>
      </c>
      <c r="AB27" s="99" t="s">
        <v>652</v>
      </c>
      <c r="AC27" s="99" t="s">
        <v>652</v>
      </c>
      <c r="AD27" s="98" t="s">
        <v>372</v>
      </c>
      <c r="AE27" s="100">
        <v>0.21950070654733866</v>
      </c>
      <c r="AF27" s="100">
        <v>0.08</v>
      </c>
      <c r="AG27" s="98">
        <v>541.6862929816298</v>
      </c>
      <c r="AH27" s="98">
        <v>235.51577955723033</v>
      </c>
      <c r="AI27" s="100">
        <v>0.02</v>
      </c>
      <c r="AJ27" s="100">
        <v>0.730827</v>
      </c>
      <c r="AK27" s="100">
        <v>0.740541</v>
      </c>
      <c r="AL27" s="100">
        <v>0.770916</v>
      </c>
      <c r="AM27" s="100">
        <v>0.570523</v>
      </c>
      <c r="AN27" s="100">
        <v>0.62963</v>
      </c>
      <c r="AO27" s="98">
        <v>1318.88836552049</v>
      </c>
      <c r="AP27" s="158">
        <v>0.6071867370999999</v>
      </c>
      <c r="AQ27" s="100">
        <v>0.14285714285714285</v>
      </c>
      <c r="AR27" s="100">
        <v>0.5714285714285714</v>
      </c>
      <c r="AS27" s="98">
        <v>188.41262364578427</v>
      </c>
      <c r="AT27" s="98">
        <v>188.41262364578427</v>
      </c>
      <c r="AU27" s="98" t="s">
        <v>652</v>
      </c>
      <c r="AV27" s="98">
        <v>141.3094677343382</v>
      </c>
      <c r="AW27" s="98">
        <v>518.1347150259068</v>
      </c>
      <c r="AX27" s="98" t="s">
        <v>652</v>
      </c>
      <c r="AY27" s="98">
        <v>753.6504945831371</v>
      </c>
      <c r="AZ27" s="98">
        <v>824.3052284503061</v>
      </c>
      <c r="BA27" s="100" t="s">
        <v>652</v>
      </c>
      <c r="BB27" s="100" t="s">
        <v>652</v>
      </c>
      <c r="BC27" s="100" t="s">
        <v>652</v>
      </c>
      <c r="BD27" s="158">
        <v>0.45866233829999997</v>
      </c>
      <c r="BE27" s="158">
        <v>0.7884825134000001</v>
      </c>
      <c r="BF27" s="162">
        <v>665</v>
      </c>
      <c r="BG27" s="162">
        <v>185</v>
      </c>
      <c r="BH27" s="162">
        <v>1004</v>
      </c>
      <c r="BI27" s="162">
        <v>631</v>
      </c>
      <c r="BJ27" s="162">
        <v>351</v>
      </c>
      <c r="BK27" s="97"/>
      <c r="BL27" s="97"/>
      <c r="BM27" s="97"/>
      <c r="BN27" s="97"/>
    </row>
    <row r="28" spans="1:66" ht="12.75">
      <c r="A28" s="79" t="s">
        <v>614</v>
      </c>
      <c r="B28" s="79" t="s">
        <v>341</v>
      </c>
      <c r="C28" s="79" t="s">
        <v>243</v>
      </c>
      <c r="D28" s="99">
        <v>5591</v>
      </c>
      <c r="E28" s="99">
        <v>1377</v>
      </c>
      <c r="F28" s="99" t="s">
        <v>394</v>
      </c>
      <c r="G28" s="99">
        <v>33</v>
      </c>
      <c r="H28" s="99">
        <v>14</v>
      </c>
      <c r="I28" s="99">
        <v>130</v>
      </c>
      <c r="J28" s="99">
        <v>699</v>
      </c>
      <c r="K28" s="99">
        <v>192</v>
      </c>
      <c r="L28" s="99">
        <v>1039</v>
      </c>
      <c r="M28" s="99">
        <v>536</v>
      </c>
      <c r="N28" s="99">
        <v>299</v>
      </c>
      <c r="O28" s="99">
        <v>171</v>
      </c>
      <c r="P28" s="159">
        <v>171</v>
      </c>
      <c r="Q28" s="99">
        <v>12</v>
      </c>
      <c r="R28" s="99">
        <v>24</v>
      </c>
      <c r="S28" s="99">
        <v>25</v>
      </c>
      <c r="T28" s="99">
        <v>40</v>
      </c>
      <c r="U28" s="99" t="s">
        <v>652</v>
      </c>
      <c r="V28" s="99">
        <v>44</v>
      </c>
      <c r="W28" s="99">
        <v>86</v>
      </c>
      <c r="X28" s="99">
        <v>19</v>
      </c>
      <c r="Y28" s="99">
        <v>66</v>
      </c>
      <c r="Z28" s="99">
        <v>45</v>
      </c>
      <c r="AA28" s="99" t="s">
        <v>652</v>
      </c>
      <c r="AB28" s="99" t="s">
        <v>652</v>
      </c>
      <c r="AC28" s="99" t="s">
        <v>652</v>
      </c>
      <c r="AD28" s="98" t="s">
        <v>372</v>
      </c>
      <c r="AE28" s="100">
        <v>0.24628867823287426</v>
      </c>
      <c r="AF28" s="100">
        <v>0.12</v>
      </c>
      <c r="AG28" s="98">
        <v>590.2343051332499</v>
      </c>
      <c r="AH28" s="98">
        <v>250.40243248077266</v>
      </c>
      <c r="AI28" s="100">
        <v>0.023</v>
      </c>
      <c r="AJ28" s="100">
        <v>0.775805</v>
      </c>
      <c r="AK28" s="100">
        <v>0.780488</v>
      </c>
      <c r="AL28" s="100">
        <v>0.788914</v>
      </c>
      <c r="AM28" s="100">
        <v>0.569607</v>
      </c>
      <c r="AN28" s="100">
        <v>0.575</v>
      </c>
      <c r="AO28" s="98">
        <v>3058.486853872295</v>
      </c>
      <c r="AP28" s="158">
        <v>1.3226713559999999</v>
      </c>
      <c r="AQ28" s="100">
        <v>0.07017543859649122</v>
      </c>
      <c r="AR28" s="100">
        <v>0.5</v>
      </c>
      <c r="AS28" s="98">
        <v>447.14720085852264</v>
      </c>
      <c r="AT28" s="98">
        <v>715.4355213736362</v>
      </c>
      <c r="AU28" s="98" t="s">
        <v>652</v>
      </c>
      <c r="AV28" s="98">
        <v>786.9790735109998</v>
      </c>
      <c r="AW28" s="98">
        <v>1538.186370953318</v>
      </c>
      <c r="AX28" s="98">
        <v>339.8318726524772</v>
      </c>
      <c r="AY28" s="98">
        <v>1180.4686102664998</v>
      </c>
      <c r="AZ28" s="98">
        <v>804.8649615453407</v>
      </c>
      <c r="BA28" s="100" t="s">
        <v>652</v>
      </c>
      <c r="BB28" s="100" t="s">
        <v>652</v>
      </c>
      <c r="BC28" s="100" t="s">
        <v>652</v>
      </c>
      <c r="BD28" s="158">
        <v>1.13185112</v>
      </c>
      <c r="BE28" s="158">
        <v>1.536451721</v>
      </c>
      <c r="BF28" s="162">
        <v>901</v>
      </c>
      <c r="BG28" s="162">
        <v>246</v>
      </c>
      <c r="BH28" s="162">
        <v>1317</v>
      </c>
      <c r="BI28" s="162">
        <v>941</v>
      </c>
      <c r="BJ28" s="162">
        <v>520</v>
      </c>
      <c r="BK28" s="97"/>
      <c r="BL28" s="97"/>
      <c r="BM28" s="97"/>
      <c r="BN28" s="97"/>
    </row>
    <row r="29" spans="1:66" ht="12.75">
      <c r="A29" s="79" t="s">
        <v>565</v>
      </c>
      <c r="B29" s="79" t="s">
        <v>289</v>
      </c>
      <c r="C29" s="79" t="s">
        <v>243</v>
      </c>
      <c r="D29" s="99">
        <v>4650</v>
      </c>
      <c r="E29" s="99">
        <v>1140</v>
      </c>
      <c r="F29" s="99" t="s">
        <v>394</v>
      </c>
      <c r="G29" s="99">
        <v>40</v>
      </c>
      <c r="H29" s="99">
        <v>10</v>
      </c>
      <c r="I29" s="99">
        <v>136</v>
      </c>
      <c r="J29" s="99">
        <v>616</v>
      </c>
      <c r="K29" s="99">
        <v>156</v>
      </c>
      <c r="L29" s="99">
        <v>851</v>
      </c>
      <c r="M29" s="99">
        <v>482</v>
      </c>
      <c r="N29" s="99">
        <v>279</v>
      </c>
      <c r="O29" s="99">
        <v>237</v>
      </c>
      <c r="P29" s="159">
        <v>237</v>
      </c>
      <c r="Q29" s="99">
        <v>14</v>
      </c>
      <c r="R29" s="99">
        <v>29</v>
      </c>
      <c r="S29" s="99">
        <v>35</v>
      </c>
      <c r="T29" s="99">
        <v>38</v>
      </c>
      <c r="U29" s="99">
        <v>7</v>
      </c>
      <c r="V29" s="99">
        <v>65</v>
      </c>
      <c r="W29" s="99">
        <v>86</v>
      </c>
      <c r="X29" s="99">
        <v>22</v>
      </c>
      <c r="Y29" s="99">
        <v>98</v>
      </c>
      <c r="Z29" s="99">
        <v>40</v>
      </c>
      <c r="AA29" s="99" t="s">
        <v>652</v>
      </c>
      <c r="AB29" s="99" t="s">
        <v>652</v>
      </c>
      <c r="AC29" s="99" t="s">
        <v>652</v>
      </c>
      <c r="AD29" s="98" t="s">
        <v>372</v>
      </c>
      <c r="AE29" s="100">
        <v>0.24516129032258063</v>
      </c>
      <c r="AF29" s="100">
        <v>0.11</v>
      </c>
      <c r="AG29" s="98">
        <v>860.2150537634409</v>
      </c>
      <c r="AH29" s="98">
        <v>215.05376344086022</v>
      </c>
      <c r="AI29" s="100">
        <v>0.028999999999999998</v>
      </c>
      <c r="AJ29" s="100">
        <v>0.797927</v>
      </c>
      <c r="AK29" s="100">
        <v>0.8125</v>
      </c>
      <c r="AL29" s="100">
        <v>0.793843</v>
      </c>
      <c r="AM29" s="100">
        <v>0.615581</v>
      </c>
      <c r="AN29" s="100">
        <v>0.644342</v>
      </c>
      <c r="AO29" s="98">
        <v>5096.774193548387</v>
      </c>
      <c r="AP29" s="158">
        <v>2.187928009</v>
      </c>
      <c r="AQ29" s="100">
        <v>0.05907172995780591</v>
      </c>
      <c r="AR29" s="100">
        <v>0.4827586206896552</v>
      </c>
      <c r="AS29" s="98">
        <v>752.6881720430108</v>
      </c>
      <c r="AT29" s="98">
        <v>817.2043010752689</v>
      </c>
      <c r="AU29" s="98">
        <v>150.53763440860214</v>
      </c>
      <c r="AV29" s="98">
        <v>1397.8494623655913</v>
      </c>
      <c r="AW29" s="98">
        <v>1849.4623655913979</v>
      </c>
      <c r="AX29" s="98">
        <v>473.1182795698925</v>
      </c>
      <c r="AY29" s="98">
        <v>2107.52688172043</v>
      </c>
      <c r="AZ29" s="98">
        <v>860.2150537634409</v>
      </c>
      <c r="BA29" s="100" t="s">
        <v>652</v>
      </c>
      <c r="BB29" s="100" t="s">
        <v>652</v>
      </c>
      <c r="BC29" s="100" t="s">
        <v>652</v>
      </c>
      <c r="BD29" s="158">
        <v>1.91821991</v>
      </c>
      <c r="BE29" s="158">
        <v>2.4849377440000002</v>
      </c>
      <c r="BF29" s="162">
        <v>772</v>
      </c>
      <c r="BG29" s="162">
        <v>192</v>
      </c>
      <c r="BH29" s="162">
        <v>1072</v>
      </c>
      <c r="BI29" s="162">
        <v>783</v>
      </c>
      <c r="BJ29" s="162">
        <v>433</v>
      </c>
      <c r="BK29" s="97"/>
      <c r="BL29" s="97"/>
      <c r="BM29" s="97"/>
      <c r="BN29" s="97"/>
    </row>
    <row r="30" spans="1:66" ht="12.75">
      <c r="A30" s="79" t="s">
        <v>559</v>
      </c>
      <c r="B30" s="79" t="s">
        <v>283</v>
      </c>
      <c r="C30" s="79" t="s">
        <v>243</v>
      </c>
      <c r="D30" s="99">
        <v>12614</v>
      </c>
      <c r="E30" s="99">
        <v>2075</v>
      </c>
      <c r="F30" s="99" t="s">
        <v>395</v>
      </c>
      <c r="G30" s="99">
        <v>59</v>
      </c>
      <c r="H30" s="99">
        <v>29</v>
      </c>
      <c r="I30" s="99">
        <v>181</v>
      </c>
      <c r="J30" s="99">
        <v>1066</v>
      </c>
      <c r="K30" s="99">
        <v>484</v>
      </c>
      <c r="L30" s="99">
        <v>2337</v>
      </c>
      <c r="M30" s="99">
        <v>756</v>
      </c>
      <c r="N30" s="99">
        <v>385</v>
      </c>
      <c r="O30" s="99">
        <v>289</v>
      </c>
      <c r="P30" s="159">
        <v>289</v>
      </c>
      <c r="Q30" s="99">
        <v>37</v>
      </c>
      <c r="R30" s="99">
        <v>80</v>
      </c>
      <c r="S30" s="99">
        <v>71</v>
      </c>
      <c r="T30" s="99">
        <v>39</v>
      </c>
      <c r="U30" s="99">
        <v>13</v>
      </c>
      <c r="V30" s="99">
        <v>44</v>
      </c>
      <c r="W30" s="99">
        <v>16</v>
      </c>
      <c r="X30" s="99">
        <v>7</v>
      </c>
      <c r="Y30" s="99">
        <v>31</v>
      </c>
      <c r="Z30" s="99">
        <v>69</v>
      </c>
      <c r="AA30" s="99" t="s">
        <v>652</v>
      </c>
      <c r="AB30" s="99" t="s">
        <v>652</v>
      </c>
      <c r="AC30" s="99" t="s">
        <v>652</v>
      </c>
      <c r="AD30" s="98" t="s">
        <v>372</v>
      </c>
      <c r="AE30" s="100">
        <v>0.16449976216901854</v>
      </c>
      <c r="AF30" s="100">
        <v>0.14</v>
      </c>
      <c r="AG30" s="98">
        <v>467.7342635167274</v>
      </c>
      <c r="AH30" s="98">
        <v>229.903282067544</v>
      </c>
      <c r="AI30" s="100">
        <v>0.013999999999999999</v>
      </c>
      <c r="AJ30" s="100">
        <v>0.72517</v>
      </c>
      <c r="AK30" s="100">
        <v>0.750388</v>
      </c>
      <c r="AL30" s="100">
        <v>0.764725</v>
      </c>
      <c r="AM30" s="100">
        <v>0.581986</v>
      </c>
      <c r="AN30" s="100">
        <v>0.595054</v>
      </c>
      <c r="AO30" s="98">
        <v>2291.1051212938005</v>
      </c>
      <c r="AP30" s="158">
        <v>1.23569046</v>
      </c>
      <c r="AQ30" s="100">
        <v>0.12802768166089964</v>
      </c>
      <c r="AR30" s="100">
        <v>0.4625</v>
      </c>
      <c r="AS30" s="98">
        <v>562.8666560964008</v>
      </c>
      <c r="AT30" s="98">
        <v>309.18027588393846</v>
      </c>
      <c r="AU30" s="98">
        <v>103.06009196131282</v>
      </c>
      <c r="AV30" s="98">
        <v>348.81877279213575</v>
      </c>
      <c r="AW30" s="98">
        <v>126.84319010623118</v>
      </c>
      <c r="AX30" s="98">
        <v>55.49389567147614</v>
      </c>
      <c r="AY30" s="98">
        <v>245.7586808308229</v>
      </c>
      <c r="AZ30" s="98">
        <v>547.0112573331219</v>
      </c>
      <c r="BA30" s="100" t="s">
        <v>652</v>
      </c>
      <c r="BB30" s="100" t="s">
        <v>652</v>
      </c>
      <c r="BC30" s="100" t="s">
        <v>652</v>
      </c>
      <c r="BD30" s="158">
        <v>1.097317276</v>
      </c>
      <c r="BE30" s="158">
        <v>1.3866833500000002</v>
      </c>
      <c r="BF30" s="162">
        <v>1470</v>
      </c>
      <c r="BG30" s="162">
        <v>645</v>
      </c>
      <c r="BH30" s="162">
        <v>3056</v>
      </c>
      <c r="BI30" s="162">
        <v>1299</v>
      </c>
      <c r="BJ30" s="162">
        <v>647</v>
      </c>
      <c r="BK30" s="97"/>
      <c r="BL30" s="97"/>
      <c r="BM30" s="97"/>
      <c r="BN30" s="97"/>
    </row>
    <row r="31" spans="1:66" ht="12.75">
      <c r="A31" s="79" t="s">
        <v>622</v>
      </c>
      <c r="B31" s="79" t="s">
        <v>349</v>
      </c>
      <c r="C31" s="79" t="s">
        <v>243</v>
      </c>
      <c r="D31" s="99">
        <v>8958</v>
      </c>
      <c r="E31" s="99">
        <v>2188</v>
      </c>
      <c r="F31" s="99" t="s">
        <v>394</v>
      </c>
      <c r="G31" s="99">
        <v>69</v>
      </c>
      <c r="H31" s="99">
        <v>26</v>
      </c>
      <c r="I31" s="99">
        <v>221</v>
      </c>
      <c r="J31" s="99">
        <v>1136</v>
      </c>
      <c r="K31" s="99">
        <v>405</v>
      </c>
      <c r="L31" s="99">
        <v>1766</v>
      </c>
      <c r="M31" s="99">
        <v>940</v>
      </c>
      <c r="N31" s="99">
        <v>463</v>
      </c>
      <c r="O31" s="99">
        <v>307</v>
      </c>
      <c r="P31" s="159">
        <v>307</v>
      </c>
      <c r="Q31" s="99">
        <v>28</v>
      </c>
      <c r="R31" s="99">
        <v>74</v>
      </c>
      <c r="S31" s="99">
        <v>30</v>
      </c>
      <c r="T31" s="99">
        <v>59</v>
      </c>
      <c r="U31" s="99" t="s">
        <v>652</v>
      </c>
      <c r="V31" s="99">
        <v>72</v>
      </c>
      <c r="W31" s="99">
        <v>48</v>
      </c>
      <c r="X31" s="99">
        <v>75</v>
      </c>
      <c r="Y31" s="99">
        <v>155</v>
      </c>
      <c r="Z31" s="99">
        <v>67</v>
      </c>
      <c r="AA31" s="99" t="s">
        <v>652</v>
      </c>
      <c r="AB31" s="99" t="s">
        <v>652</v>
      </c>
      <c r="AC31" s="99" t="s">
        <v>652</v>
      </c>
      <c r="AD31" s="98" t="s">
        <v>372</v>
      </c>
      <c r="AE31" s="100">
        <v>0.2442509488725162</v>
      </c>
      <c r="AF31" s="100">
        <v>0.11</v>
      </c>
      <c r="AG31" s="98">
        <v>770.2612190221031</v>
      </c>
      <c r="AH31" s="98">
        <v>290.2433578923867</v>
      </c>
      <c r="AI31" s="100">
        <v>0.025</v>
      </c>
      <c r="AJ31" s="100">
        <v>0.78453</v>
      </c>
      <c r="AK31" s="100">
        <v>0.849057</v>
      </c>
      <c r="AL31" s="100">
        <v>0.832234</v>
      </c>
      <c r="AM31" s="100">
        <v>0.646492</v>
      </c>
      <c r="AN31" s="100">
        <v>0.677892</v>
      </c>
      <c r="AO31" s="98">
        <v>3427.10426434472</v>
      </c>
      <c r="AP31" s="158">
        <v>1.481374054</v>
      </c>
      <c r="AQ31" s="100">
        <v>0.09120521172638436</v>
      </c>
      <c r="AR31" s="100">
        <v>0.3783783783783784</v>
      </c>
      <c r="AS31" s="98">
        <v>334.8961821835231</v>
      </c>
      <c r="AT31" s="98">
        <v>658.6291582942621</v>
      </c>
      <c r="AU31" s="98" t="s">
        <v>652</v>
      </c>
      <c r="AV31" s="98">
        <v>803.7508372404554</v>
      </c>
      <c r="AW31" s="98">
        <v>535.833891493637</v>
      </c>
      <c r="AX31" s="98">
        <v>837.2404554588078</v>
      </c>
      <c r="AY31" s="98">
        <v>1730.296941281536</v>
      </c>
      <c r="AZ31" s="98">
        <v>747.9348068765349</v>
      </c>
      <c r="BA31" s="100" t="s">
        <v>652</v>
      </c>
      <c r="BB31" s="100" t="s">
        <v>652</v>
      </c>
      <c r="BC31" s="100" t="s">
        <v>652</v>
      </c>
      <c r="BD31" s="158">
        <v>1.32028244</v>
      </c>
      <c r="BE31" s="158">
        <v>1.6566990659999998</v>
      </c>
      <c r="BF31" s="162">
        <v>1448</v>
      </c>
      <c r="BG31" s="162">
        <v>477</v>
      </c>
      <c r="BH31" s="162">
        <v>2122</v>
      </c>
      <c r="BI31" s="162">
        <v>1454</v>
      </c>
      <c r="BJ31" s="162">
        <v>683</v>
      </c>
      <c r="BK31" s="97"/>
      <c r="BL31" s="97"/>
      <c r="BM31" s="97"/>
      <c r="BN31" s="97"/>
    </row>
    <row r="32" spans="1:66" ht="12.75">
      <c r="A32" s="79" t="s">
        <v>637</v>
      </c>
      <c r="B32" s="79" t="s">
        <v>364</v>
      </c>
      <c r="C32" s="79" t="s">
        <v>243</v>
      </c>
      <c r="D32" s="99">
        <v>1886</v>
      </c>
      <c r="E32" s="99">
        <v>240</v>
      </c>
      <c r="F32" s="99" t="s">
        <v>392</v>
      </c>
      <c r="G32" s="99" t="s">
        <v>652</v>
      </c>
      <c r="H32" s="99" t="s">
        <v>652</v>
      </c>
      <c r="I32" s="99">
        <v>26</v>
      </c>
      <c r="J32" s="99">
        <v>99</v>
      </c>
      <c r="K32" s="99">
        <v>56</v>
      </c>
      <c r="L32" s="99">
        <v>308</v>
      </c>
      <c r="M32" s="99">
        <v>69</v>
      </c>
      <c r="N32" s="99">
        <v>36</v>
      </c>
      <c r="O32" s="99">
        <v>15</v>
      </c>
      <c r="P32" s="159">
        <v>15</v>
      </c>
      <c r="Q32" s="99" t="s">
        <v>652</v>
      </c>
      <c r="R32" s="99" t="s">
        <v>652</v>
      </c>
      <c r="S32" s="99" t="s">
        <v>652</v>
      </c>
      <c r="T32" s="99" t="s">
        <v>652</v>
      </c>
      <c r="U32" s="99" t="s">
        <v>652</v>
      </c>
      <c r="V32" s="99" t="s">
        <v>652</v>
      </c>
      <c r="W32" s="99" t="s">
        <v>652</v>
      </c>
      <c r="X32" s="99">
        <v>9</v>
      </c>
      <c r="Y32" s="99">
        <v>14</v>
      </c>
      <c r="Z32" s="99" t="s">
        <v>652</v>
      </c>
      <c r="AA32" s="99" t="s">
        <v>652</v>
      </c>
      <c r="AB32" s="99" t="s">
        <v>652</v>
      </c>
      <c r="AC32" s="99" t="s">
        <v>652</v>
      </c>
      <c r="AD32" s="98" t="s">
        <v>372</v>
      </c>
      <c r="AE32" s="100">
        <v>0.12725344644750794</v>
      </c>
      <c r="AF32" s="100">
        <v>0.19</v>
      </c>
      <c r="AG32" s="98" t="s">
        <v>652</v>
      </c>
      <c r="AH32" s="98" t="s">
        <v>652</v>
      </c>
      <c r="AI32" s="100">
        <v>0.013999999999999999</v>
      </c>
      <c r="AJ32" s="100">
        <v>0.603659</v>
      </c>
      <c r="AK32" s="100">
        <v>0.691358</v>
      </c>
      <c r="AL32" s="100">
        <v>0.708046</v>
      </c>
      <c r="AM32" s="100">
        <v>0.433962</v>
      </c>
      <c r="AN32" s="100">
        <v>0.521739</v>
      </c>
      <c r="AO32" s="98">
        <v>795.3340402969247</v>
      </c>
      <c r="AP32" s="158">
        <v>0.501687355</v>
      </c>
      <c r="AQ32" s="100" t="s">
        <v>652</v>
      </c>
      <c r="AR32" s="100" t="s">
        <v>652</v>
      </c>
      <c r="AS32" s="98" t="s">
        <v>652</v>
      </c>
      <c r="AT32" s="98" t="s">
        <v>652</v>
      </c>
      <c r="AU32" s="98" t="s">
        <v>652</v>
      </c>
      <c r="AV32" s="98" t="s">
        <v>652</v>
      </c>
      <c r="AW32" s="98" t="s">
        <v>652</v>
      </c>
      <c r="AX32" s="98">
        <v>477.20042417815483</v>
      </c>
      <c r="AY32" s="98">
        <v>742.3117709437964</v>
      </c>
      <c r="AZ32" s="98" t="s">
        <v>652</v>
      </c>
      <c r="BA32" s="100" t="s">
        <v>652</v>
      </c>
      <c r="BB32" s="100" t="s">
        <v>652</v>
      </c>
      <c r="BC32" s="100" t="s">
        <v>652</v>
      </c>
      <c r="BD32" s="158">
        <v>0.280790596</v>
      </c>
      <c r="BE32" s="158">
        <v>0.8274569702</v>
      </c>
      <c r="BF32" s="162">
        <v>164</v>
      </c>
      <c r="BG32" s="162">
        <v>81</v>
      </c>
      <c r="BH32" s="162">
        <v>435</v>
      </c>
      <c r="BI32" s="162">
        <v>159</v>
      </c>
      <c r="BJ32" s="162">
        <v>69</v>
      </c>
      <c r="BK32" s="97"/>
      <c r="BL32" s="97"/>
      <c r="BM32" s="97"/>
      <c r="BN32" s="97"/>
    </row>
    <row r="33" spans="1:66" ht="12.75">
      <c r="A33" s="79" t="s">
        <v>578</v>
      </c>
      <c r="B33" s="79" t="s">
        <v>304</v>
      </c>
      <c r="C33" s="79" t="s">
        <v>243</v>
      </c>
      <c r="D33" s="99">
        <v>7971</v>
      </c>
      <c r="E33" s="99">
        <v>2765</v>
      </c>
      <c r="F33" s="99" t="s">
        <v>395</v>
      </c>
      <c r="G33" s="99">
        <v>68</v>
      </c>
      <c r="H33" s="99">
        <v>27</v>
      </c>
      <c r="I33" s="99">
        <v>185</v>
      </c>
      <c r="J33" s="99">
        <v>1165</v>
      </c>
      <c r="K33" s="99">
        <v>288</v>
      </c>
      <c r="L33" s="99">
        <v>1265</v>
      </c>
      <c r="M33" s="99">
        <v>946</v>
      </c>
      <c r="N33" s="99">
        <v>540</v>
      </c>
      <c r="O33" s="99">
        <v>236</v>
      </c>
      <c r="P33" s="159">
        <v>236</v>
      </c>
      <c r="Q33" s="99">
        <v>33</v>
      </c>
      <c r="R33" s="99">
        <v>60</v>
      </c>
      <c r="S33" s="99">
        <v>37</v>
      </c>
      <c r="T33" s="99">
        <v>42</v>
      </c>
      <c r="U33" s="99">
        <v>8</v>
      </c>
      <c r="V33" s="99">
        <v>53</v>
      </c>
      <c r="W33" s="99">
        <v>96</v>
      </c>
      <c r="X33" s="99">
        <v>25</v>
      </c>
      <c r="Y33" s="99">
        <v>159</v>
      </c>
      <c r="Z33" s="99">
        <v>85</v>
      </c>
      <c r="AA33" s="99" t="s">
        <v>652</v>
      </c>
      <c r="AB33" s="99" t="s">
        <v>652</v>
      </c>
      <c r="AC33" s="99" t="s">
        <v>652</v>
      </c>
      <c r="AD33" s="98" t="s">
        <v>372</v>
      </c>
      <c r="AE33" s="100">
        <v>0.3468824488771798</v>
      </c>
      <c r="AF33" s="100">
        <v>0.13</v>
      </c>
      <c r="AG33" s="98">
        <v>853.0924601681094</v>
      </c>
      <c r="AH33" s="98">
        <v>338.7278885961611</v>
      </c>
      <c r="AI33" s="100">
        <v>0.023</v>
      </c>
      <c r="AJ33" s="100">
        <v>0.794138</v>
      </c>
      <c r="AK33" s="100">
        <v>0.820513</v>
      </c>
      <c r="AL33" s="100">
        <v>0.762508</v>
      </c>
      <c r="AM33" s="100">
        <v>0.595718</v>
      </c>
      <c r="AN33" s="100">
        <v>0.642857</v>
      </c>
      <c r="AO33" s="98">
        <v>2960.732655877556</v>
      </c>
      <c r="AP33" s="158">
        <v>1.0741609189999999</v>
      </c>
      <c r="AQ33" s="100">
        <v>0.13983050847457626</v>
      </c>
      <c r="AR33" s="100">
        <v>0.55</v>
      </c>
      <c r="AS33" s="98">
        <v>464.18266215029485</v>
      </c>
      <c r="AT33" s="98">
        <v>526.9100489273617</v>
      </c>
      <c r="AU33" s="98">
        <v>100.36381884330699</v>
      </c>
      <c r="AV33" s="98">
        <v>664.9102998369088</v>
      </c>
      <c r="AW33" s="98">
        <v>1204.3658261196838</v>
      </c>
      <c r="AX33" s="98">
        <v>313.6369338853343</v>
      </c>
      <c r="AY33" s="98">
        <v>1994.7308995107264</v>
      </c>
      <c r="AZ33" s="98">
        <v>1066.3655752101367</v>
      </c>
      <c r="BA33" s="100" t="s">
        <v>652</v>
      </c>
      <c r="BB33" s="100" t="s">
        <v>652</v>
      </c>
      <c r="BC33" s="100" t="s">
        <v>652</v>
      </c>
      <c r="BD33" s="158">
        <v>0.9414770508</v>
      </c>
      <c r="BE33" s="158">
        <v>1.220305786</v>
      </c>
      <c r="BF33" s="162">
        <v>1467</v>
      </c>
      <c r="BG33" s="162">
        <v>351</v>
      </c>
      <c r="BH33" s="162">
        <v>1659</v>
      </c>
      <c r="BI33" s="162">
        <v>1588</v>
      </c>
      <c r="BJ33" s="162">
        <v>840</v>
      </c>
      <c r="BK33" s="97"/>
      <c r="BL33" s="97"/>
      <c r="BM33" s="97"/>
      <c r="BN33" s="97"/>
    </row>
    <row r="34" spans="1:66" ht="12.75">
      <c r="A34" s="79" t="s">
        <v>619</v>
      </c>
      <c r="B34" s="79" t="s">
        <v>346</v>
      </c>
      <c r="C34" s="79" t="s">
        <v>243</v>
      </c>
      <c r="D34" s="99">
        <v>8321</v>
      </c>
      <c r="E34" s="99">
        <v>1824</v>
      </c>
      <c r="F34" s="99" t="s">
        <v>396</v>
      </c>
      <c r="G34" s="99">
        <v>50</v>
      </c>
      <c r="H34" s="99">
        <v>16</v>
      </c>
      <c r="I34" s="99">
        <v>205</v>
      </c>
      <c r="J34" s="99">
        <v>987</v>
      </c>
      <c r="K34" s="99">
        <v>362</v>
      </c>
      <c r="L34" s="99">
        <v>1697</v>
      </c>
      <c r="M34" s="99">
        <v>772</v>
      </c>
      <c r="N34" s="99">
        <v>406</v>
      </c>
      <c r="O34" s="99">
        <v>175</v>
      </c>
      <c r="P34" s="159">
        <v>175</v>
      </c>
      <c r="Q34" s="99">
        <v>23</v>
      </c>
      <c r="R34" s="99">
        <v>56</v>
      </c>
      <c r="S34" s="99">
        <v>25</v>
      </c>
      <c r="T34" s="99">
        <v>26</v>
      </c>
      <c r="U34" s="99" t="s">
        <v>652</v>
      </c>
      <c r="V34" s="99">
        <v>35</v>
      </c>
      <c r="W34" s="99">
        <v>35</v>
      </c>
      <c r="X34" s="99">
        <v>31</v>
      </c>
      <c r="Y34" s="99">
        <v>79</v>
      </c>
      <c r="Z34" s="99">
        <v>59</v>
      </c>
      <c r="AA34" s="99" t="s">
        <v>652</v>
      </c>
      <c r="AB34" s="99" t="s">
        <v>652</v>
      </c>
      <c r="AC34" s="99" t="s">
        <v>652</v>
      </c>
      <c r="AD34" s="98" t="s">
        <v>372</v>
      </c>
      <c r="AE34" s="100">
        <v>0.21920442254536715</v>
      </c>
      <c r="AF34" s="100">
        <v>0.07</v>
      </c>
      <c r="AG34" s="98">
        <v>600.8893161879582</v>
      </c>
      <c r="AH34" s="98">
        <v>192.28458118014663</v>
      </c>
      <c r="AI34" s="100">
        <v>0.025</v>
      </c>
      <c r="AJ34" s="100">
        <v>0.799838</v>
      </c>
      <c r="AK34" s="100">
        <v>0.878641</v>
      </c>
      <c r="AL34" s="100">
        <v>0.833088</v>
      </c>
      <c r="AM34" s="100">
        <v>0.662661</v>
      </c>
      <c r="AN34" s="100">
        <v>0.712281</v>
      </c>
      <c r="AO34" s="98">
        <v>2103.1126066578536</v>
      </c>
      <c r="AP34" s="158">
        <v>0.9502542877000001</v>
      </c>
      <c r="AQ34" s="100">
        <v>0.13142857142857142</v>
      </c>
      <c r="AR34" s="100">
        <v>0.4107142857142857</v>
      </c>
      <c r="AS34" s="98">
        <v>300.4446580939791</v>
      </c>
      <c r="AT34" s="98">
        <v>312.46244441773825</v>
      </c>
      <c r="AU34" s="98" t="s">
        <v>652</v>
      </c>
      <c r="AV34" s="98">
        <v>420.62252133157074</v>
      </c>
      <c r="AW34" s="98">
        <v>420.62252133157074</v>
      </c>
      <c r="AX34" s="98">
        <v>372.55137603653407</v>
      </c>
      <c r="AY34" s="98">
        <v>949.4051195769739</v>
      </c>
      <c r="AZ34" s="98">
        <v>709.0493931017907</v>
      </c>
      <c r="BA34" s="100" t="s">
        <v>652</v>
      </c>
      <c r="BB34" s="100" t="s">
        <v>652</v>
      </c>
      <c r="BC34" s="100" t="s">
        <v>652</v>
      </c>
      <c r="BD34" s="158">
        <v>0.8146766663</v>
      </c>
      <c r="BE34" s="158">
        <v>1.101945724</v>
      </c>
      <c r="BF34" s="162">
        <v>1234</v>
      </c>
      <c r="BG34" s="162">
        <v>412</v>
      </c>
      <c r="BH34" s="162">
        <v>2037</v>
      </c>
      <c r="BI34" s="162">
        <v>1165</v>
      </c>
      <c r="BJ34" s="162">
        <v>570</v>
      </c>
      <c r="BK34" s="97"/>
      <c r="BL34" s="97"/>
      <c r="BM34" s="97"/>
      <c r="BN34" s="97"/>
    </row>
    <row r="35" spans="1:66" ht="12.75">
      <c r="A35" s="79" t="s">
        <v>571</v>
      </c>
      <c r="B35" s="79" t="s">
        <v>296</v>
      </c>
      <c r="C35" s="79" t="s">
        <v>243</v>
      </c>
      <c r="D35" s="99">
        <v>9732</v>
      </c>
      <c r="E35" s="99">
        <v>2399</v>
      </c>
      <c r="F35" s="99" t="s">
        <v>394</v>
      </c>
      <c r="G35" s="99">
        <v>56</v>
      </c>
      <c r="H35" s="99">
        <v>27</v>
      </c>
      <c r="I35" s="99">
        <v>173</v>
      </c>
      <c r="J35" s="99">
        <v>1080</v>
      </c>
      <c r="K35" s="99">
        <v>351</v>
      </c>
      <c r="L35" s="99">
        <v>1793</v>
      </c>
      <c r="M35" s="99">
        <v>867</v>
      </c>
      <c r="N35" s="99">
        <v>435</v>
      </c>
      <c r="O35" s="99">
        <v>261</v>
      </c>
      <c r="P35" s="159">
        <v>261</v>
      </c>
      <c r="Q35" s="99">
        <v>32</v>
      </c>
      <c r="R35" s="99">
        <v>65</v>
      </c>
      <c r="S35" s="99">
        <v>42</v>
      </c>
      <c r="T35" s="99">
        <v>52</v>
      </c>
      <c r="U35" s="99" t="s">
        <v>652</v>
      </c>
      <c r="V35" s="99">
        <v>40</v>
      </c>
      <c r="W35" s="99">
        <v>45</v>
      </c>
      <c r="X35" s="99">
        <v>51</v>
      </c>
      <c r="Y35" s="99">
        <v>134</v>
      </c>
      <c r="Z35" s="99">
        <v>53</v>
      </c>
      <c r="AA35" s="99" t="s">
        <v>652</v>
      </c>
      <c r="AB35" s="99" t="s">
        <v>652</v>
      </c>
      <c r="AC35" s="99" t="s">
        <v>652</v>
      </c>
      <c r="AD35" s="98" t="s">
        <v>372</v>
      </c>
      <c r="AE35" s="100">
        <v>0.2465063707357172</v>
      </c>
      <c r="AF35" s="100">
        <v>0.09</v>
      </c>
      <c r="AG35" s="98">
        <v>575.4212905877517</v>
      </c>
      <c r="AH35" s="98">
        <v>277.4352651048089</v>
      </c>
      <c r="AI35" s="100">
        <v>0.018000000000000002</v>
      </c>
      <c r="AJ35" s="100">
        <v>0.787172</v>
      </c>
      <c r="AK35" s="100">
        <v>0.785235</v>
      </c>
      <c r="AL35" s="100">
        <v>0.795122</v>
      </c>
      <c r="AM35" s="100">
        <v>0.685375</v>
      </c>
      <c r="AN35" s="100">
        <v>0.717822</v>
      </c>
      <c r="AO35" s="98">
        <v>2681.8742293464857</v>
      </c>
      <c r="AP35" s="158">
        <v>1.1826414490000001</v>
      </c>
      <c r="AQ35" s="100">
        <v>0.12260536398467432</v>
      </c>
      <c r="AR35" s="100">
        <v>0.49230769230769234</v>
      </c>
      <c r="AS35" s="98">
        <v>431.56596794081383</v>
      </c>
      <c r="AT35" s="98">
        <v>534.3197698314838</v>
      </c>
      <c r="AU35" s="98" t="s">
        <v>652</v>
      </c>
      <c r="AV35" s="98">
        <v>411.0152075626798</v>
      </c>
      <c r="AW35" s="98">
        <v>462.3921085080148</v>
      </c>
      <c r="AX35" s="98">
        <v>524.0443896424167</v>
      </c>
      <c r="AY35" s="98">
        <v>1376.9009453349775</v>
      </c>
      <c r="AZ35" s="98">
        <v>544.5951500205507</v>
      </c>
      <c r="BA35" s="100" t="s">
        <v>652</v>
      </c>
      <c r="BB35" s="100" t="s">
        <v>652</v>
      </c>
      <c r="BC35" s="100" t="s">
        <v>652</v>
      </c>
      <c r="BD35" s="158">
        <v>1.043503647</v>
      </c>
      <c r="BE35" s="158">
        <v>1.335166321</v>
      </c>
      <c r="BF35" s="162">
        <v>1372</v>
      </c>
      <c r="BG35" s="162">
        <v>447</v>
      </c>
      <c r="BH35" s="162">
        <v>2255</v>
      </c>
      <c r="BI35" s="162">
        <v>1265</v>
      </c>
      <c r="BJ35" s="162">
        <v>606</v>
      </c>
      <c r="BK35" s="97"/>
      <c r="BL35" s="97"/>
      <c r="BM35" s="97"/>
      <c r="BN35" s="97"/>
    </row>
    <row r="36" spans="1:66" ht="12.75">
      <c r="A36" s="79" t="s">
        <v>623</v>
      </c>
      <c r="B36" s="79" t="s">
        <v>350</v>
      </c>
      <c r="C36" s="79" t="s">
        <v>243</v>
      </c>
      <c r="D36" s="99">
        <v>4765</v>
      </c>
      <c r="E36" s="99">
        <v>1022</v>
      </c>
      <c r="F36" s="99" t="s">
        <v>394</v>
      </c>
      <c r="G36" s="99">
        <v>36</v>
      </c>
      <c r="H36" s="99">
        <v>15</v>
      </c>
      <c r="I36" s="99">
        <v>103</v>
      </c>
      <c r="J36" s="99">
        <v>556</v>
      </c>
      <c r="K36" s="99">
        <v>196</v>
      </c>
      <c r="L36" s="99">
        <v>927</v>
      </c>
      <c r="M36" s="99">
        <v>471</v>
      </c>
      <c r="N36" s="99">
        <v>250</v>
      </c>
      <c r="O36" s="99">
        <v>96</v>
      </c>
      <c r="P36" s="159">
        <v>96</v>
      </c>
      <c r="Q36" s="99">
        <v>9</v>
      </c>
      <c r="R36" s="99">
        <v>25</v>
      </c>
      <c r="S36" s="99">
        <v>12</v>
      </c>
      <c r="T36" s="99">
        <v>20</v>
      </c>
      <c r="U36" s="99" t="s">
        <v>652</v>
      </c>
      <c r="V36" s="99">
        <v>11</v>
      </c>
      <c r="W36" s="99">
        <v>20</v>
      </c>
      <c r="X36" s="99">
        <v>24</v>
      </c>
      <c r="Y36" s="99">
        <v>41</v>
      </c>
      <c r="Z36" s="99">
        <v>27</v>
      </c>
      <c r="AA36" s="99" t="s">
        <v>652</v>
      </c>
      <c r="AB36" s="99" t="s">
        <v>652</v>
      </c>
      <c r="AC36" s="99" t="s">
        <v>652</v>
      </c>
      <c r="AD36" s="98" t="s">
        <v>372</v>
      </c>
      <c r="AE36" s="100">
        <v>0.21448058761804828</v>
      </c>
      <c r="AF36" s="100">
        <v>0.09</v>
      </c>
      <c r="AG36" s="98">
        <v>755.5089192025183</v>
      </c>
      <c r="AH36" s="98">
        <v>314.79538300104934</v>
      </c>
      <c r="AI36" s="100">
        <v>0.022000000000000002</v>
      </c>
      <c r="AJ36" s="100">
        <v>0.762689</v>
      </c>
      <c r="AK36" s="100">
        <v>0.790323</v>
      </c>
      <c r="AL36" s="100">
        <v>0.82694</v>
      </c>
      <c r="AM36" s="100">
        <v>0.62633</v>
      </c>
      <c r="AN36" s="100">
        <v>0.708215</v>
      </c>
      <c r="AO36" s="98">
        <v>2014.6904512067156</v>
      </c>
      <c r="AP36" s="158">
        <v>0.9280132294000001</v>
      </c>
      <c r="AQ36" s="100">
        <v>0.09375</v>
      </c>
      <c r="AR36" s="100">
        <v>0.36</v>
      </c>
      <c r="AS36" s="98">
        <v>251.83630640083945</v>
      </c>
      <c r="AT36" s="98">
        <v>419.7271773347324</v>
      </c>
      <c r="AU36" s="98" t="s">
        <v>652</v>
      </c>
      <c r="AV36" s="98">
        <v>230.84994753410282</v>
      </c>
      <c r="AW36" s="98">
        <v>419.7271773347324</v>
      </c>
      <c r="AX36" s="98">
        <v>503.6726128016789</v>
      </c>
      <c r="AY36" s="98">
        <v>860.4407135362014</v>
      </c>
      <c r="AZ36" s="98">
        <v>566.6316894018888</v>
      </c>
      <c r="BA36" s="100" t="s">
        <v>652</v>
      </c>
      <c r="BB36" s="100" t="s">
        <v>652</v>
      </c>
      <c r="BC36" s="100" t="s">
        <v>652</v>
      </c>
      <c r="BD36" s="158">
        <v>0.7516937256</v>
      </c>
      <c r="BE36" s="158">
        <v>1.133263016</v>
      </c>
      <c r="BF36" s="162">
        <v>729</v>
      </c>
      <c r="BG36" s="162">
        <v>248</v>
      </c>
      <c r="BH36" s="162">
        <v>1121</v>
      </c>
      <c r="BI36" s="162">
        <v>752</v>
      </c>
      <c r="BJ36" s="162">
        <v>353</v>
      </c>
      <c r="BK36" s="97"/>
      <c r="BL36" s="97"/>
      <c r="BM36" s="97"/>
      <c r="BN36" s="97"/>
    </row>
    <row r="37" spans="1:66" ht="12.75">
      <c r="A37" s="79" t="s">
        <v>558</v>
      </c>
      <c r="B37" s="79" t="s">
        <v>282</v>
      </c>
      <c r="C37" s="79" t="s">
        <v>243</v>
      </c>
      <c r="D37" s="99">
        <v>14040</v>
      </c>
      <c r="E37" s="99">
        <v>4416</v>
      </c>
      <c r="F37" s="99" t="s">
        <v>394</v>
      </c>
      <c r="G37" s="99">
        <v>90</v>
      </c>
      <c r="H37" s="99">
        <v>43</v>
      </c>
      <c r="I37" s="99">
        <v>342</v>
      </c>
      <c r="J37" s="99">
        <v>1934</v>
      </c>
      <c r="K37" s="99">
        <v>727</v>
      </c>
      <c r="L37" s="99">
        <v>2385</v>
      </c>
      <c r="M37" s="99">
        <v>1525</v>
      </c>
      <c r="N37" s="99">
        <v>773</v>
      </c>
      <c r="O37" s="99">
        <v>411</v>
      </c>
      <c r="P37" s="159">
        <v>411</v>
      </c>
      <c r="Q37" s="99">
        <v>57</v>
      </c>
      <c r="R37" s="99">
        <v>120</v>
      </c>
      <c r="S37" s="99">
        <v>41</v>
      </c>
      <c r="T37" s="99">
        <v>88</v>
      </c>
      <c r="U37" s="99">
        <v>10</v>
      </c>
      <c r="V37" s="99">
        <v>79</v>
      </c>
      <c r="W37" s="99">
        <v>83</v>
      </c>
      <c r="X37" s="99">
        <v>99</v>
      </c>
      <c r="Y37" s="99">
        <v>147</v>
      </c>
      <c r="Z37" s="99">
        <v>107</v>
      </c>
      <c r="AA37" s="99" t="s">
        <v>652</v>
      </c>
      <c r="AB37" s="99" t="s">
        <v>652</v>
      </c>
      <c r="AC37" s="99" t="s">
        <v>652</v>
      </c>
      <c r="AD37" s="98" t="s">
        <v>372</v>
      </c>
      <c r="AE37" s="100">
        <v>0.3145299145299145</v>
      </c>
      <c r="AF37" s="100">
        <v>0.12</v>
      </c>
      <c r="AG37" s="98">
        <v>641.025641025641</v>
      </c>
      <c r="AH37" s="98">
        <v>306.2678062678063</v>
      </c>
      <c r="AI37" s="100">
        <v>0.024</v>
      </c>
      <c r="AJ37" s="100">
        <v>0.819144</v>
      </c>
      <c r="AK37" s="100">
        <v>0.826136</v>
      </c>
      <c r="AL37" s="100">
        <v>0.77561</v>
      </c>
      <c r="AM37" s="100">
        <v>0.619415</v>
      </c>
      <c r="AN37" s="100">
        <v>0.665232</v>
      </c>
      <c r="AO37" s="98">
        <v>2927.3504273504273</v>
      </c>
      <c r="AP37" s="158">
        <v>1.1220087429999999</v>
      </c>
      <c r="AQ37" s="100">
        <v>0.1386861313868613</v>
      </c>
      <c r="AR37" s="100">
        <v>0.475</v>
      </c>
      <c r="AS37" s="98">
        <v>292.02279202279203</v>
      </c>
      <c r="AT37" s="98">
        <v>626.7806267806268</v>
      </c>
      <c r="AU37" s="98">
        <v>71.22507122507122</v>
      </c>
      <c r="AV37" s="98">
        <v>562.6780626780627</v>
      </c>
      <c r="AW37" s="98">
        <v>591.1680911680912</v>
      </c>
      <c r="AX37" s="98">
        <v>705.1282051282051</v>
      </c>
      <c r="AY37" s="98">
        <v>1047.008547008547</v>
      </c>
      <c r="AZ37" s="98">
        <v>762.1082621082621</v>
      </c>
      <c r="BA37" s="100" t="s">
        <v>652</v>
      </c>
      <c r="BB37" s="100" t="s">
        <v>652</v>
      </c>
      <c r="BC37" s="100" t="s">
        <v>652</v>
      </c>
      <c r="BD37" s="158">
        <v>1.016141357</v>
      </c>
      <c r="BE37" s="158">
        <v>1.235907898</v>
      </c>
      <c r="BF37" s="162">
        <v>2361</v>
      </c>
      <c r="BG37" s="162">
        <v>880</v>
      </c>
      <c r="BH37" s="162">
        <v>3075</v>
      </c>
      <c r="BI37" s="162">
        <v>2462</v>
      </c>
      <c r="BJ37" s="162">
        <v>1162</v>
      </c>
      <c r="BK37" s="97"/>
      <c r="BL37" s="97"/>
      <c r="BM37" s="97"/>
      <c r="BN37" s="97"/>
    </row>
    <row r="38" spans="1:66" ht="12.75">
      <c r="A38" s="79" t="s">
        <v>630</v>
      </c>
      <c r="B38" s="79" t="s">
        <v>357</v>
      </c>
      <c r="C38" s="79" t="s">
        <v>243</v>
      </c>
      <c r="D38" s="99">
        <v>3615</v>
      </c>
      <c r="E38" s="99">
        <v>330</v>
      </c>
      <c r="F38" s="99" t="s">
        <v>394</v>
      </c>
      <c r="G38" s="99">
        <v>10</v>
      </c>
      <c r="H38" s="99">
        <v>6</v>
      </c>
      <c r="I38" s="99">
        <v>49</v>
      </c>
      <c r="J38" s="99">
        <v>313</v>
      </c>
      <c r="K38" s="99">
        <v>103</v>
      </c>
      <c r="L38" s="99">
        <v>917</v>
      </c>
      <c r="M38" s="99">
        <v>210</v>
      </c>
      <c r="N38" s="99">
        <v>113</v>
      </c>
      <c r="O38" s="99">
        <v>79</v>
      </c>
      <c r="P38" s="159">
        <v>79</v>
      </c>
      <c r="Q38" s="99" t="s">
        <v>652</v>
      </c>
      <c r="R38" s="99">
        <v>10</v>
      </c>
      <c r="S38" s="99">
        <v>24</v>
      </c>
      <c r="T38" s="99">
        <v>10</v>
      </c>
      <c r="U38" s="99" t="s">
        <v>652</v>
      </c>
      <c r="V38" s="99">
        <v>8</v>
      </c>
      <c r="W38" s="99">
        <v>15</v>
      </c>
      <c r="X38" s="99">
        <v>7</v>
      </c>
      <c r="Y38" s="99">
        <v>42</v>
      </c>
      <c r="Z38" s="99">
        <v>16</v>
      </c>
      <c r="AA38" s="99" t="s">
        <v>652</v>
      </c>
      <c r="AB38" s="99" t="s">
        <v>652</v>
      </c>
      <c r="AC38" s="99" t="s">
        <v>652</v>
      </c>
      <c r="AD38" s="98" t="s">
        <v>372</v>
      </c>
      <c r="AE38" s="100">
        <v>0.0912863070539419</v>
      </c>
      <c r="AF38" s="100">
        <v>0.09</v>
      </c>
      <c r="AG38" s="98">
        <v>276.62517289073304</v>
      </c>
      <c r="AH38" s="98">
        <v>165.97510373443984</v>
      </c>
      <c r="AI38" s="100">
        <v>0.013999999999999999</v>
      </c>
      <c r="AJ38" s="100">
        <v>0.830239</v>
      </c>
      <c r="AK38" s="100">
        <v>0.811024</v>
      </c>
      <c r="AL38" s="100">
        <v>0.902559</v>
      </c>
      <c r="AM38" s="100">
        <v>0.654206</v>
      </c>
      <c r="AN38" s="100">
        <v>0.664706</v>
      </c>
      <c r="AO38" s="98">
        <v>2185.3388658367912</v>
      </c>
      <c r="AP38" s="158">
        <v>1.41411087</v>
      </c>
      <c r="AQ38" s="100" t="s">
        <v>652</v>
      </c>
      <c r="AR38" s="100" t="s">
        <v>652</v>
      </c>
      <c r="AS38" s="98">
        <v>663.9004149377594</v>
      </c>
      <c r="AT38" s="98">
        <v>276.62517289073304</v>
      </c>
      <c r="AU38" s="98" t="s">
        <v>652</v>
      </c>
      <c r="AV38" s="98">
        <v>221.30013831258645</v>
      </c>
      <c r="AW38" s="98">
        <v>414.9377593360996</v>
      </c>
      <c r="AX38" s="98">
        <v>193.63762102351313</v>
      </c>
      <c r="AY38" s="98">
        <v>1161.8257261410788</v>
      </c>
      <c r="AZ38" s="98">
        <v>442.6002766251729</v>
      </c>
      <c r="BA38" s="100" t="s">
        <v>652</v>
      </c>
      <c r="BB38" s="100" t="s">
        <v>652</v>
      </c>
      <c r="BC38" s="100" t="s">
        <v>652</v>
      </c>
      <c r="BD38" s="158">
        <v>1.119564819</v>
      </c>
      <c r="BE38" s="158">
        <v>1.7624040220000001</v>
      </c>
      <c r="BF38" s="162">
        <v>377</v>
      </c>
      <c r="BG38" s="162">
        <v>127</v>
      </c>
      <c r="BH38" s="162">
        <v>1016</v>
      </c>
      <c r="BI38" s="162">
        <v>321</v>
      </c>
      <c r="BJ38" s="162">
        <v>170</v>
      </c>
      <c r="BK38" s="97"/>
      <c r="BL38" s="97"/>
      <c r="BM38" s="97"/>
      <c r="BN38" s="97"/>
    </row>
    <row r="39" spans="1:66" ht="12.75">
      <c r="A39" s="79" t="s">
        <v>656</v>
      </c>
      <c r="B39" s="79" t="s">
        <v>302</v>
      </c>
      <c r="C39" s="79" t="s">
        <v>243</v>
      </c>
      <c r="D39" s="99">
        <v>8233</v>
      </c>
      <c r="E39" s="99">
        <v>2532</v>
      </c>
      <c r="F39" s="99" t="s">
        <v>394</v>
      </c>
      <c r="G39" s="99">
        <v>80</v>
      </c>
      <c r="H39" s="99">
        <v>29</v>
      </c>
      <c r="I39" s="99">
        <v>232</v>
      </c>
      <c r="J39" s="99">
        <v>1158</v>
      </c>
      <c r="K39" s="99">
        <v>406</v>
      </c>
      <c r="L39" s="99">
        <v>1483</v>
      </c>
      <c r="M39" s="99">
        <v>984</v>
      </c>
      <c r="N39" s="99">
        <v>512</v>
      </c>
      <c r="O39" s="99">
        <v>329</v>
      </c>
      <c r="P39" s="159">
        <v>329</v>
      </c>
      <c r="Q39" s="99">
        <v>45</v>
      </c>
      <c r="R39" s="99">
        <v>85</v>
      </c>
      <c r="S39" s="99">
        <v>39</v>
      </c>
      <c r="T39" s="99">
        <v>55</v>
      </c>
      <c r="U39" s="99" t="s">
        <v>652</v>
      </c>
      <c r="V39" s="99">
        <v>92</v>
      </c>
      <c r="W39" s="99">
        <v>39</v>
      </c>
      <c r="X39" s="99">
        <v>67</v>
      </c>
      <c r="Y39" s="99">
        <v>158</v>
      </c>
      <c r="Z39" s="99">
        <v>86</v>
      </c>
      <c r="AA39" s="99" t="s">
        <v>652</v>
      </c>
      <c r="AB39" s="99" t="s">
        <v>652</v>
      </c>
      <c r="AC39" s="99" t="s">
        <v>652</v>
      </c>
      <c r="AD39" s="98" t="s">
        <v>372</v>
      </c>
      <c r="AE39" s="100">
        <v>0.3075428154986032</v>
      </c>
      <c r="AF39" s="100">
        <v>0.1</v>
      </c>
      <c r="AG39" s="98">
        <v>971.699259079315</v>
      </c>
      <c r="AH39" s="98">
        <v>352.24098141625166</v>
      </c>
      <c r="AI39" s="100">
        <v>0.027999999999999997</v>
      </c>
      <c r="AJ39" s="100">
        <v>0.796972</v>
      </c>
      <c r="AK39" s="100">
        <v>0.828571</v>
      </c>
      <c r="AL39" s="100">
        <v>0.800324</v>
      </c>
      <c r="AM39" s="100">
        <v>0.653386</v>
      </c>
      <c r="AN39" s="100">
        <v>0.690958</v>
      </c>
      <c r="AO39" s="98">
        <v>3996.113202963683</v>
      </c>
      <c r="AP39" s="158">
        <v>1.514950867</v>
      </c>
      <c r="AQ39" s="100">
        <v>0.13677811550151975</v>
      </c>
      <c r="AR39" s="100">
        <v>0.5294117647058824</v>
      </c>
      <c r="AS39" s="98">
        <v>473.70338880116606</v>
      </c>
      <c r="AT39" s="98">
        <v>668.043240617029</v>
      </c>
      <c r="AU39" s="98" t="s">
        <v>652</v>
      </c>
      <c r="AV39" s="98">
        <v>1117.454147941212</v>
      </c>
      <c r="AW39" s="98">
        <v>473.70338880116606</v>
      </c>
      <c r="AX39" s="98">
        <v>813.7981294789263</v>
      </c>
      <c r="AY39" s="98">
        <v>1919.106036681647</v>
      </c>
      <c r="AZ39" s="98">
        <v>1044.5767035102635</v>
      </c>
      <c r="BA39" s="100" t="s">
        <v>652</v>
      </c>
      <c r="BB39" s="100" t="s">
        <v>652</v>
      </c>
      <c r="BC39" s="100" t="s">
        <v>652</v>
      </c>
      <c r="BD39" s="158">
        <v>1.355654907</v>
      </c>
      <c r="BE39" s="158">
        <v>1.687821045</v>
      </c>
      <c r="BF39" s="162">
        <v>1453</v>
      </c>
      <c r="BG39" s="162">
        <v>490</v>
      </c>
      <c r="BH39" s="162">
        <v>1853</v>
      </c>
      <c r="BI39" s="162">
        <v>1506</v>
      </c>
      <c r="BJ39" s="162">
        <v>741</v>
      </c>
      <c r="BK39" s="97"/>
      <c r="BL39" s="97"/>
      <c r="BM39" s="97"/>
      <c r="BN39" s="97"/>
    </row>
    <row r="40" spans="1:66" ht="12.75">
      <c r="A40" s="79" t="s">
        <v>612</v>
      </c>
      <c r="B40" s="79" t="s">
        <v>339</v>
      </c>
      <c r="C40" s="79" t="s">
        <v>243</v>
      </c>
      <c r="D40" s="99">
        <v>7273</v>
      </c>
      <c r="E40" s="99">
        <v>1976</v>
      </c>
      <c r="F40" s="99" t="s">
        <v>394</v>
      </c>
      <c r="G40" s="99">
        <v>56</v>
      </c>
      <c r="H40" s="99">
        <v>16</v>
      </c>
      <c r="I40" s="99">
        <v>145</v>
      </c>
      <c r="J40" s="99">
        <v>834</v>
      </c>
      <c r="K40" s="99">
        <v>242</v>
      </c>
      <c r="L40" s="99">
        <v>1248</v>
      </c>
      <c r="M40" s="99">
        <v>655</v>
      </c>
      <c r="N40" s="99">
        <v>371</v>
      </c>
      <c r="O40" s="99">
        <v>175</v>
      </c>
      <c r="P40" s="159">
        <v>175</v>
      </c>
      <c r="Q40" s="99">
        <v>18</v>
      </c>
      <c r="R40" s="99">
        <v>42</v>
      </c>
      <c r="S40" s="99">
        <v>17</v>
      </c>
      <c r="T40" s="99">
        <v>29</v>
      </c>
      <c r="U40" s="99">
        <v>8</v>
      </c>
      <c r="V40" s="99">
        <v>25</v>
      </c>
      <c r="W40" s="99">
        <v>77</v>
      </c>
      <c r="X40" s="99">
        <v>25</v>
      </c>
      <c r="Y40" s="99">
        <v>126</v>
      </c>
      <c r="Z40" s="99">
        <v>76</v>
      </c>
      <c r="AA40" s="99" t="s">
        <v>652</v>
      </c>
      <c r="AB40" s="99" t="s">
        <v>652</v>
      </c>
      <c r="AC40" s="99" t="s">
        <v>652</v>
      </c>
      <c r="AD40" s="98" t="s">
        <v>372</v>
      </c>
      <c r="AE40" s="100">
        <v>0.2716898116320638</v>
      </c>
      <c r="AF40" s="100">
        <v>0.11</v>
      </c>
      <c r="AG40" s="98">
        <v>769.9711260827719</v>
      </c>
      <c r="AH40" s="98">
        <v>219.9917503093634</v>
      </c>
      <c r="AI40" s="100">
        <v>0.02</v>
      </c>
      <c r="AJ40" s="100">
        <v>0.757493</v>
      </c>
      <c r="AK40" s="100">
        <v>0.780645</v>
      </c>
      <c r="AL40" s="100">
        <v>0.772277</v>
      </c>
      <c r="AM40" s="100">
        <v>0.601469</v>
      </c>
      <c r="AN40" s="100">
        <v>0.635274</v>
      </c>
      <c r="AO40" s="98">
        <v>2406.1597690086624</v>
      </c>
      <c r="AP40" s="158">
        <v>0.9975827026</v>
      </c>
      <c r="AQ40" s="100">
        <v>0.10285714285714286</v>
      </c>
      <c r="AR40" s="100">
        <v>0.42857142857142855</v>
      </c>
      <c r="AS40" s="98">
        <v>233.7412347036986</v>
      </c>
      <c r="AT40" s="98">
        <v>398.7350474357212</v>
      </c>
      <c r="AU40" s="98">
        <v>109.9958751546817</v>
      </c>
      <c r="AV40" s="98">
        <v>343.73710985838034</v>
      </c>
      <c r="AW40" s="98">
        <v>1058.7102983638113</v>
      </c>
      <c r="AX40" s="98">
        <v>343.73710985838034</v>
      </c>
      <c r="AY40" s="98">
        <v>1732.4350336862367</v>
      </c>
      <c r="AZ40" s="98">
        <v>1044.9608139694762</v>
      </c>
      <c r="BA40" s="101" t="s">
        <v>652</v>
      </c>
      <c r="BB40" s="101" t="s">
        <v>652</v>
      </c>
      <c r="BC40" s="101" t="s">
        <v>652</v>
      </c>
      <c r="BD40" s="158">
        <v>0.855252533</v>
      </c>
      <c r="BE40" s="158">
        <v>1.1568293</v>
      </c>
      <c r="BF40" s="162">
        <v>1101</v>
      </c>
      <c r="BG40" s="162">
        <v>310</v>
      </c>
      <c r="BH40" s="162">
        <v>1616</v>
      </c>
      <c r="BI40" s="162">
        <v>1089</v>
      </c>
      <c r="BJ40" s="162">
        <v>584</v>
      </c>
      <c r="BK40" s="97"/>
      <c r="BL40" s="97"/>
      <c r="BM40" s="97"/>
      <c r="BN40" s="97"/>
    </row>
    <row r="41" spans="1:66" ht="12.75">
      <c r="A41" s="79" t="s">
        <v>609</v>
      </c>
      <c r="B41" s="79" t="s">
        <v>336</v>
      </c>
      <c r="C41" s="79" t="s">
        <v>243</v>
      </c>
      <c r="D41" s="99">
        <v>16715</v>
      </c>
      <c r="E41" s="99">
        <v>3527</v>
      </c>
      <c r="F41" s="99" t="s">
        <v>396</v>
      </c>
      <c r="G41" s="99">
        <v>89</v>
      </c>
      <c r="H41" s="99">
        <v>41</v>
      </c>
      <c r="I41" s="99">
        <v>414</v>
      </c>
      <c r="J41" s="99">
        <v>2093</v>
      </c>
      <c r="K41" s="99">
        <v>1010</v>
      </c>
      <c r="L41" s="99">
        <v>3519</v>
      </c>
      <c r="M41" s="99">
        <v>1584</v>
      </c>
      <c r="N41" s="99">
        <v>814</v>
      </c>
      <c r="O41" s="99">
        <v>438</v>
      </c>
      <c r="P41" s="159">
        <v>438</v>
      </c>
      <c r="Q41" s="99">
        <v>47</v>
      </c>
      <c r="R41" s="99">
        <v>96</v>
      </c>
      <c r="S41" s="99">
        <v>51</v>
      </c>
      <c r="T41" s="99">
        <v>86</v>
      </c>
      <c r="U41" s="99" t="s">
        <v>652</v>
      </c>
      <c r="V41" s="99">
        <v>76</v>
      </c>
      <c r="W41" s="99">
        <v>73</v>
      </c>
      <c r="X41" s="99">
        <v>115</v>
      </c>
      <c r="Y41" s="99">
        <v>218</v>
      </c>
      <c r="Z41" s="99">
        <v>93</v>
      </c>
      <c r="AA41" s="99" t="s">
        <v>652</v>
      </c>
      <c r="AB41" s="99" t="s">
        <v>652</v>
      </c>
      <c r="AC41" s="99" t="s">
        <v>652</v>
      </c>
      <c r="AD41" s="98" t="s">
        <v>372</v>
      </c>
      <c r="AE41" s="100">
        <v>0.21100807657792403</v>
      </c>
      <c r="AF41" s="100">
        <v>0.07</v>
      </c>
      <c r="AG41" s="98">
        <v>532.4558779539336</v>
      </c>
      <c r="AH41" s="98">
        <v>245.28866287765482</v>
      </c>
      <c r="AI41" s="100">
        <v>0.025</v>
      </c>
      <c r="AJ41" s="100">
        <v>0.840225</v>
      </c>
      <c r="AK41" s="100">
        <v>0.816492</v>
      </c>
      <c r="AL41" s="100">
        <v>0.820662</v>
      </c>
      <c r="AM41" s="100">
        <v>0.67548</v>
      </c>
      <c r="AN41" s="100">
        <v>0.701724</v>
      </c>
      <c r="AO41" s="98">
        <v>2620.400837571044</v>
      </c>
      <c r="AP41" s="158">
        <v>1.223462601</v>
      </c>
      <c r="AQ41" s="100">
        <v>0.10730593607305935</v>
      </c>
      <c r="AR41" s="100">
        <v>0.4895833333333333</v>
      </c>
      <c r="AS41" s="98">
        <v>305.11516601854623</v>
      </c>
      <c r="AT41" s="98">
        <v>514.5079270116662</v>
      </c>
      <c r="AU41" s="98" t="s">
        <v>652</v>
      </c>
      <c r="AV41" s="98">
        <v>454.6814238707748</v>
      </c>
      <c r="AW41" s="98">
        <v>436.73347292850735</v>
      </c>
      <c r="AX41" s="98">
        <v>688.0047861202513</v>
      </c>
      <c r="AY41" s="98">
        <v>1304.217768471433</v>
      </c>
      <c r="AZ41" s="98">
        <v>556.3864792102902</v>
      </c>
      <c r="BA41" s="100" t="s">
        <v>652</v>
      </c>
      <c r="BB41" s="100" t="s">
        <v>652</v>
      </c>
      <c r="BC41" s="100" t="s">
        <v>652</v>
      </c>
      <c r="BD41" s="158">
        <v>1.111550369</v>
      </c>
      <c r="BE41" s="158">
        <v>1.343588867</v>
      </c>
      <c r="BF41" s="162">
        <v>2491</v>
      </c>
      <c r="BG41" s="162">
        <v>1237</v>
      </c>
      <c r="BH41" s="162">
        <v>4288</v>
      </c>
      <c r="BI41" s="162">
        <v>2345</v>
      </c>
      <c r="BJ41" s="162">
        <v>1160</v>
      </c>
      <c r="BK41" s="97"/>
      <c r="BL41" s="97"/>
      <c r="BM41" s="97"/>
      <c r="BN41" s="97"/>
    </row>
    <row r="42" spans="1:66" ht="12.75">
      <c r="A42" s="79" t="s">
        <v>573</v>
      </c>
      <c r="B42" s="79" t="s">
        <v>298</v>
      </c>
      <c r="C42" s="79" t="s">
        <v>243</v>
      </c>
      <c r="D42" s="99">
        <v>4796</v>
      </c>
      <c r="E42" s="99">
        <v>1939</v>
      </c>
      <c r="F42" s="99" t="s">
        <v>395</v>
      </c>
      <c r="G42" s="99">
        <v>58</v>
      </c>
      <c r="H42" s="99">
        <v>35</v>
      </c>
      <c r="I42" s="99">
        <v>161</v>
      </c>
      <c r="J42" s="99">
        <v>616</v>
      </c>
      <c r="K42" s="99">
        <v>185</v>
      </c>
      <c r="L42" s="99">
        <v>730</v>
      </c>
      <c r="M42" s="99">
        <v>509</v>
      </c>
      <c r="N42" s="99">
        <v>284</v>
      </c>
      <c r="O42" s="99">
        <v>91</v>
      </c>
      <c r="P42" s="159">
        <v>91</v>
      </c>
      <c r="Q42" s="99">
        <v>20</v>
      </c>
      <c r="R42" s="99">
        <v>40</v>
      </c>
      <c r="S42" s="99">
        <v>15</v>
      </c>
      <c r="T42" s="99">
        <v>9</v>
      </c>
      <c r="U42" s="99">
        <v>8</v>
      </c>
      <c r="V42" s="99">
        <v>19</v>
      </c>
      <c r="W42" s="99">
        <v>62</v>
      </c>
      <c r="X42" s="99">
        <v>18</v>
      </c>
      <c r="Y42" s="99">
        <v>99</v>
      </c>
      <c r="Z42" s="99">
        <v>45</v>
      </c>
      <c r="AA42" s="99" t="s">
        <v>652</v>
      </c>
      <c r="AB42" s="99" t="s">
        <v>652</v>
      </c>
      <c r="AC42" s="99" t="s">
        <v>652</v>
      </c>
      <c r="AD42" s="98" t="s">
        <v>372</v>
      </c>
      <c r="AE42" s="100">
        <v>0.4042952460383653</v>
      </c>
      <c r="AF42" s="100">
        <v>0.14</v>
      </c>
      <c r="AG42" s="98">
        <v>1209.3411175979984</v>
      </c>
      <c r="AH42" s="98">
        <v>729.7748123436197</v>
      </c>
      <c r="AI42" s="100">
        <v>0.034</v>
      </c>
      <c r="AJ42" s="100">
        <v>0.723005</v>
      </c>
      <c r="AK42" s="100">
        <v>0.717054</v>
      </c>
      <c r="AL42" s="100">
        <v>0.790899</v>
      </c>
      <c r="AM42" s="100">
        <v>0.558114</v>
      </c>
      <c r="AN42" s="100">
        <v>0.585567</v>
      </c>
      <c r="AO42" s="98">
        <v>1897.414512093411</v>
      </c>
      <c r="AP42" s="158">
        <v>0.6309925841999999</v>
      </c>
      <c r="AQ42" s="100">
        <v>0.21978021978021978</v>
      </c>
      <c r="AR42" s="100">
        <v>0.5</v>
      </c>
      <c r="AS42" s="98">
        <v>312.7606338615513</v>
      </c>
      <c r="AT42" s="98">
        <v>187.65638031693078</v>
      </c>
      <c r="AU42" s="98">
        <v>166.80567139282735</v>
      </c>
      <c r="AV42" s="98">
        <v>396.16346955796496</v>
      </c>
      <c r="AW42" s="98">
        <v>1292.743953294412</v>
      </c>
      <c r="AX42" s="98">
        <v>375.31276063386156</v>
      </c>
      <c r="AY42" s="98">
        <v>2064.2201834862385</v>
      </c>
      <c r="AZ42" s="98">
        <v>938.2819015846538</v>
      </c>
      <c r="BA42" s="100" t="s">
        <v>652</v>
      </c>
      <c r="BB42" s="100" t="s">
        <v>652</v>
      </c>
      <c r="BC42" s="100" t="s">
        <v>652</v>
      </c>
      <c r="BD42" s="158">
        <v>0.5080358505</v>
      </c>
      <c r="BE42" s="158">
        <v>0.7747190856999999</v>
      </c>
      <c r="BF42" s="162">
        <v>852</v>
      </c>
      <c r="BG42" s="162">
        <v>258</v>
      </c>
      <c r="BH42" s="162">
        <v>923</v>
      </c>
      <c r="BI42" s="162">
        <v>912</v>
      </c>
      <c r="BJ42" s="162">
        <v>485</v>
      </c>
      <c r="BK42" s="97"/>
      <c r="BL42" s="97"/>
      <c r="BM42" s="97"/>
      <c r="BN42" s="97"/>
    </row>
    <row r="43" spans="1:66" ht="12.75">
      <c r="A43" s="79" t="s">
        <v>577</v>
      </c>
      <c r="B43" s="79" t="s">
        <v>303</v>
      </c>
      <c r="C43" s="79" t="s">
        <v>243</v>
      </c>
      <c r="D43" s="99">
        <v>8984</v>
      </c>
      <c r="E43" s="99">
        <v>1627</v>
      </c>
      <c r="F43" s="99" t="s">
        <v>392</v>
      </c>
      <c r="G43" s="99">
        <v>58</v>
      </c>
      <c r="H43" s="99">
        <v>21</v>
      </c>
      <c r="I43" s="99">
        <v>167</v>
      </c>
      <c r="J43" s="99">
        <v>731</v>
      </c>
      <c r="K43" s="99">
        <v>266</v>
      </c>
      <c r="L43" s="99">
        <v>1542</v>
      </c>
      <c r="M43" s="99">
        <v>554</v>
      </c>
      <c r="N43" s="99">
        <v>266</v>
      </c>
      <c r="O43" s="99">
        <v>237</v>
      </c>
      <c r="P43" s="159">
        <v>237</v>
      </c>
      <c r="Q43" s="99">
        <v>18</v>
      </c>
      <c r="R43" s="99">
        <v>47</v>
      </c>
      <c r="S43" s="99">
        <v>25</v>
      </c>
      <c r="T43" s="99">
        <v>44</v>
      </c>
      <c r="U43" s="99" t="s">
        <v>652</v>
      </c>
      <c r="V43" s="99">
        <v>61</v>
      </c>
      <c r="W43" s="99">
        <v>33</v>
      </c>
      <c r="X43" s="99">
        <v>65</v>
      </c>
      <c r="Y43" s="99">
        <v>104</v>
      </c>
      <c r="Z43" s="99">
        <v>43</v>
      </c>
      <c r="AA43" s="99" t="s">
        <v>652</v>
      </c>
      <c r="AB43" s="99" t="s">
        <v>652</v>
      </c>
      <c r="AC43" s="99" t="s">
        <v>652</v>
      </c>
      <c r="AD43" s="98" t="s">
        <v>372</v>
      </c>
      <c r="AE43" s="100">
        <v>0.18109973285841496</v>
      </c>
      <c r="AF43" s="100">
        <v>0.18</v>
      </c>
      <c r="AG43" s="98">
        <v>645.5921638468388</v>
      </c>
      <c r="AH43" s="98">
        <v>233.74888691006234</v>
      </c>
      <c r="AI43" s="100">
        <v>0.019</v>
      </c>
      <c r="AJ43" s="100">
        <v>0.7332</v>
      </c>
      <c r="AK43" s="100">
        <v>0.707447</v>
      </c>
      <c r="AL43" s="100">
        <v>0.717209</v>
      </c>
      <c r="AM43" s="100">
        <v>0.563008</v>
      </c>
      <c r="AN43" s="100">
        <v>0.556485</v>
      </c>
      <c r="AO43" s="98">
        <v>2638.0231522707036</v>
      </c>
      <c r="AP43" s="158">
        <v>1.383403931</v>
      </c>
      <c r="AQ43" s="100">
        <v>0.0759493670886076</v>
      </c>
      <c r="AR43" s="100">
        <v>0.3829787234042553</v>
      </c>
      <c r="AS43" s="98">
        <v>278.2724844167409</v>
      </c>
      <c r="AT43" s="98">
        <v>489.7595725734639</v>
      </c>
      <c r="AU43" s="98" t="s">
        <v>652</v>
      </c>
      <c r="AV43" s="98">
        <v>678.9848619768477</v>
      </c>
      <c r="AW43" s="98">
        <v>367.31967943009795</v>
      </c>
      <c r="AX43" s="98">
        <v>723.5084594835263</v>
      </c>
      <c r="AY43" s="98">
        <v>1157.613535173642</v>
      </c>
      <c r="AZ43" s="98">
        <v>478.6286731967943</v>
      </c>
      <c r="BA43" s="100" t="s">
        <v>652</v>
      </c>
      <c r="BB43" s="100" t="s">
        <v>652</v>
      </c>
      <c r="BC43" s="100" t="s">
        <v>652</v>
      </c>
      <c r="BD43" s="158">
        <v>1.212870255</v>
      </c>
      <c r="BE43" s="158">
        <v>1.571200104</v>
      </c>
      <c r="BF43" s="162">
        <v>997</v>
      </c>
      <c r="BG43" s="162">
        <v>376</v>
      </c>
      <c r="BH43" s="162">
        <v>2150</v>
      </c>
      <c r="BI43" s="162">
        <v>984</v>
      </c>
      <c r="BJ43" s="162">
        <v>478</v>
      </c>
      <c r="BK43" s="97"/>
      <c r="BL43" s="97"/>
      <c r="BM43" s="97"/>
      <c r="BN43" s="97"/>
    </row>
    <row r="44" spans="1:66" ht="12.75">
      <c r="A44" s="79" t="s">
        <v>574</v>
      </c>
      <c r="B44" s="79" t="s">
        <v>299</v>
      </c>
      <c r="C44" s="79" t="s">
        <v>243</v>
      </c>
      <c r="D44" s="99">
        <v>6469</v>
      </c>
      <c r="E44" s="99">
        <v>1543</v>
      </c>
      <c r="F44" s="99" t="s">
        <v>394</v>
      </c>
      <c r="G44" s="99">
        <v>25</v>
      </c>
      <c r="H44" s="99">
        <v>24</v>
      </c>
      <c r="I44" s="99">
        <v>141</v>
      </c>
      <c r="J44" s="99">
        <v>726</v>
      </c>
      <c r="K44" s="99">
        <v>257</v>
      </c>
      <c r="L44" s="99">
        <v>1279</v>
      </c>
      <c r="M44" s="99">
        <v>546</v>
      </c>
      <c r="N44" s="99">
        <v>286</v>
      </c>
      <c r="O44" s="99">
        <v>78</v>
      </c>
      <c r="P44" s="159">
        <v>78</v>
      </c>
      <c r="Q44" s="99">
        <v>16</v>
      </c>
      <c r="R44" s="99">
        <v>41</v>
      </c>
      <c r="S44" s="99">
        <v>8</v>
      </c>
      <c r="T44" s="99">
        <v>15</v>
      </c>
      <c r="U44" s="99" t="s">
        <v>652</v>
      </c>
      <c r="V44" s="99">
        <v>19</v>
      </c>
      <c r="W44" s="99">
        <v>19</v>
      </c>
      <c r="X44" s="99">
        <v>37</v>
      </c>
      <c r="Y44" s="99">
        <v>63</v>
      </c>
      <c r="Z44" s="99">
        <v>41</v>
      </c>
      <c r="AA44" s="99" t="s">
        <v>652</v>
      </c>
      <c r="AB44" s="99" t="s">
        <v>652</v>
      </c>
      <c r="AC44" s="99" t="s">
        <v>652</v>
      </c>
      <c r="AD44" s="98" t="s">
        <v>372</v>
      </c>
      <c r="AE44" s="100">
        <v>0.23852218271757614</v>
      </c>
      <c r="AF44" s="100">
        <v>0.11</v>
      </c>
      <c r="AG44" s="98">
        <v>386.458494357706</v>
      </c>
      <c r="AH44" s="98">
        <v>371.0001545833977</v>
      </c>
      <c r="AI44" s="100">
        <v>0.022000000000000002</v>
      </c>
      <c r="AJ44" s="100">
        <v>0.776471</v>
      </c>
      <c r="AK44" s="100">
        <v>0.79321</v>
      </c>
      <c r="AL44" s="100">
        <v>0.83979</v>
      </c>
      <c r="AM44" s="100">
        <v>0.612108</v>
      </c>
      <c r="AN44" s="100">
        <v>0.652968</v>
      </c>
      <c r="AO44" s="98">
        <v>1205.7505023960427</v>
      </c>
      <c r="AP44" s="158">
        <v>0.5403936005</v>
      </c>
      <c r="AQ44" s="100">
        <v>0.20512820512820512</v>
      </c>
      <c r="AR44" s="100">
        <v>0.3902439024390244</v>
      </c>
      <c r="AS44" s="98">
        <v>123.66671819446591</v>
      </c>
      <c r="AT44" s="98">
        <v>231.8750966146236</v>
      </c>
      <c r="AU44" s="98" t="s">
        <v>652</v>
      </c>
      <c r="AV44" s="98">
        <v>293.7084557118566</v>
      </c>
      <c r="AW44" s="98">
        <v>293.7084557118566</v>
      </c>
      <c r="AX44" s="98">
        <v>571.9585716494048</v>
      </c>
      <c r="AY44" s="98">
        <v>973.8754057814191</v>
      </c>
      <c r="AZ44" s="98">
        <v>633.7919307466378</v>
      </c>
      <c r="BA44" s="100" t="s">
        <v>652</v>
      </c>
      <c r="BB44" s="100" t="s">
        <v>652</v>
      </c>
      <c r="BC44" s="100" t="s">
        <v>652</v>
      </c>
      <c r="BD44" s="158">
        <v>0.42715869900000003</v>
      </c>
      <c r="BE44" s="158">
        <v>0.6744356537</v>
      </c>
      <c r="BF44" s="162">
        <v>935</v>
      </c>
      <c r="BG44" s="162">
        <v>324</v>
      </c>
      <c r="BH44" s="162">
        <v>1523</v>
      </c>
      <c r="BI44" s="162">
        <v>892</v>
      </c>
      <c r="BJ44" s="162">
        <v>438</v>
      </c>
      <c r="BK44" s="97"/>
      <c r="BL44" s="97"/>
      <c r="BM44" s="97"/>
      <c r="BN44" s="97"/>
    </row>
    <row r="45" spans="1:66" ht="12.75">
      <c r="A45" s="79" t="s">
        <v>618</v>
      </c>
      <c r="B45" s="79" t="s">
        <v>345</v>
      </c>
      <c r="C45" s="79" t="s">
        <v>243</v>
      </c>
      <c r="D45" s="99">
        <v>6362</v>
      </c>
      <c r="E45" s="99">
        <v>1170</v>
      </c>
      <c r="F45" s="99" t="s">
        <v>394</v>
      </c>
      <c r="G45" s="99">
        <v>29</v>
      </c>
      <c r="H45" s="99">
        <v>21</v>
      </c>
      <c r="I45" s="99">
        <v>103</v>
      </c>
      <c r="J45" s="99">
        <v>553</v>
      </c>
      <c r="K45" s="99">
        <v>183</v>
      </c>
      <c r="L45" s="99">
        <v>1298</v>
      </c>
      <c r="M45" s="99">
        <v>392</v>
      </c>
      <c r="N45" s="99">
        <v>209</v>
      </c>
      <c r="O45" s="99">
        <v>97</v>
      </c>
      <c r="P45" s="159">
        <v>97</v>
      </c>
      <c r="Q45" s="99">
        <v>12</v>
      </c>
      <c r="R45" s="99">
        <v>34</v>
      </c>
      <c r="S45" s="99">
        <v>20</v>
      </c>
      <c r="T45" s="99">
        <v>7</v>
      </c>
      <c r="U45" s="99" t="s">
        <v>652</v>
      </c>
      <c r="V45" s="99">
        <v>22</v>
      </c>
      <c r="W45" s="99">
        <v>24</v>
      </c>
      <c r="X45" s="99">
        <v>17</v>
      </c>
      <c r="Y45" s="99">
        <v>62</v>
      </c>
      <c r="Z45" s="99">
        <v>41</v>
      </c>
      <c r="AA45" s="99" t="s">
        <v>652</v>
      </c>
      <c r="AB45" s="99" t="s">
        <v>652</v>
      </c>
      <c r="AC45" s="99" t="s">
        <v>652</v>
      </c>
      <c r="AD45" s="98" t="s">
        <v>372</v>
      </c>
      <c r="AE45" s="100">
        <v>0.18390443256837471</v>
      </c>
      <c r="AF45" s="100">
        <v>0.12</v>
      </c>
      <c r="AG45" s="98">
        <v>455.8314995284502</v>
      </c>
      <c r="AH45" s="98">
        <v>330.0848789688777</v>
      </c>
      <c r="AI45" s="100">
        <v>0.016</v>
      </c>
      <c r="AJ45" s="100">
        <v>0.818047</v>
      </c>
      <c r="AK45" s="100">
        <v>0.828054</v>
      </c>
      <c r="AL45" s="100">
        <v>0.808219</v>
      </c>
      <c r="AM45" s="100">
        <v>0.604938</v>
      </c>
      <c r="AN45" s="100">
        <v>0.647059</v>
      </c>
      <c r="AO45" s="98">
        <v>1524.677774284816</v>
      </c>
      <c r="AP45" s="158">
        <v>0.7964286040999999</v>
      </c>
      <c r="AQ45" s="100">
        <v>0.12371134020618557</v>
      </c>
      <c r="AR45" s="100">
        <v>0.35294117647058826</v>
      </c>
      <c r="AS45" s="98">
        <v>314.36655139893116</v>
      </c>
      <c r="AT45" s="98">
        <v>110.02829298962591</v>
      </c>
      <c r="AU45" s="98" t="s">
        <v>652</v>
      </c>
      <c r="AV45" s="98">
        <v>345.80320653882427</v>
      </c>
      <c r="AW45" s="98">
        <v>377.2398616787174</v>
      </c>
      <c r="AX45" s="98">
        <v>267.2115686890915</v>
      </c>
      <c r="AY45" s="98">
        <v>974.5363093366866</v>
      </c>
      <c r="AZ45" s="98">
        <v>644.4514303678088</v>
      </c>
      <c r="BA45" s="100" t="s">
        <v>652</v>
      </c>
      <c r="BB45" s="100" t="s">
        <v>652</v>
      </c>
      <c r="BC45" s="100" t="s">
        <v>652</v>
      </c>
      <c r="BD45" s="158">
        <v>0.6458499908</v>
      </c>
      <c r="BE45" s="158">
        <v>0.9715753936999999</v>
      </c>
      <c r="BF45" s="162">
        <v>676</v>
      </c>
      <c r="BG45" s="162">
        <v>221</v>
      </c>
      <c r="BH45" s="162">
        <v>1606</v>
      </c>
      <c r="BI45" s="162">
        <v>648</v>
      </c>
      <c r="BJ45" s="162">
        <v>323</v>
      </c>
      <c r="BK45" s="97"/>
      <c r="BL45" s="97"/>
      <c r="BM45" s="97"/>
      <c r="BN45" s="97"/>
    </row>
    <row r="46" spans="1:66" ht="12.75">
      <c r="A46" s="79" t="s">
        <v>598</v>
      </c>
      <c r="B46" s="79" t="s">
        <v>325</v>
      </c>
      <c r="C46" s="79" t="s">
        <v>243</v>
      </c>
      <c r="D46" s="99">
        <v>3316</v>
      </c>
      <c r="E46" s="99">
        <v>824</v>
      </c>
      <c r="F46" s="99" t="s">
        <v>394</v>
      </c>
      <c r="G46" s="99">
        <v>30</v>
      </c>
      <c r="H46" s="99">
        <v>15</v>
      </c>
      <c r="I46" s="99">
        <v>85</v>
      </c>
      <c r="J46" s="99">
        <v>401</v>
      </c>
      <c r="K46" s="99">
        <v>111</v>
      </c>
      <c r="L46" s="99">
        <v>582</v>
      </c>
      <c r="M46" s="99">
        <v>326</v>
      </c>
      <c r="N46" s="99">
        <v>168</v>
      </c>
      <c r="O46" s="99">
        <v>76</v>
      </c>
      <c r="P46" s="159">
        <v>76</v>
      </c>
      <c r="Q46" s="99">
        <v>8</v>
      </c>
      <c r="R46" s="99">
        <v>16</v>
      </c>
      <c r="S46" s="99">
        <v>21</v>
      </c>
      <c r="T46" s="99">
        <v>10</v>
      </c>
      <c r="U46" s="99" t="s">
        <v>652</v>
      </c>
      <c r="V46" s="99">
        <v>21</v>
      </c>
      <c r="W46" s="99">
        <v>34</v>
      </c>
      <c r="X46" s="99">
        <v>11</v>
      </c>
      <c r="Y46" s="99">
        <v>38</v>
      </c>
      <c r="Z46" s="99">
        <v>24</v>
      </c>
      <c r="AA46" s="99" t="s">
        <v>652</v>
      </c>
      <c r="AB46" s="99" t="s">
        <v>652</v>
      </c>
      <c r="AC46" s="99" t="s">
        <v>652</v>
      </c>
      <c r="AD46" s="98" t="s">
        <v>372</v>
      </c>
      <c r="AE46" s="100">
        <v>0.24849215922798554</v>
      </c>
      <c r="AF46" s="100">
        <v>0.11</v>
      </c>
      <c r="AG46" s="98">
        <v>904.7044632086852</v>
      </c>
      <c r="AH46" s="98">
        <v>452.3522316043426</v>
      </c>
      <c r="AI46" s="100">
        <v>0.026000000000000002</v>
      </c>
      <c r="AJ46" s="100">
        <v>0.739852</v>
      </c>
      <c r="AK46" s="100">
        <v>0.72549</v>
      </c>
      <c r="AL46" s="100">
        <v>0.793997</v>
      </c>
      <c r="AM46" s="100">
        <v>0.583184</v>
      </c>
      <c r="AN46" s="100">
        <v>0.57732</v>
      </c>
      <c r="AO46" s="98">
        <v>2291.9179734620025</v>
      </c>
      <c r="AP46" s="158">
        <v>0.9820012665</v>
      </c>
      <c r="AQ46" s="100">
        <v>0.10526315789473684</v>
      </c>
      <c r="AR46" s="100">
        <v>0.5</v>
      </c>
      <c r="AS46" s="98">
        <v>633.2931242460796</v>
      </c>
      <c r="AT46" s="98">
        <v>301.56815440289506</v>
      </c>
      <c r="AU46" s="98" t="s">
        <v>652</v>
      </c>
      <c r="AV46" s="98">
        <v>633.2931242460796</v>
      </c>
      <c r="AW46" s="98">
        <v>1025.3317249698432</v>
      </c>
      <c r="AX46" s="98">
        <v>331.72496984318457</v>
      </c>
      <c r="AY46" s="98">
        <v>1145.9589867310012</v>
      </c>
      <c r="AZ46" s="98">
        <v>723.7635705669481</v>
      </c>
      <c r="BA46" s="100" t="s">
        <v>652</v>
      </c>
      <c r="BB46" s="100" t="s">
        <v>652</v>
      </c>
      <c r="BC46" s="100" t="s">
        <v>652</v>
      </c>
      <c r="BD46" s="158">
        <v>0.7737052917</v>
      </c>
      <c r="BE46" s="158">
        <v>1.229121017</v>
      </c>
      <c r="BF46" s="162">
        <v>542</v>
      </c>
      <c r="BG46" s="162">
        <v>153</v>
      </c>
      <c r="BH46" s="162">
        <v>733</v>
      </c>
      <c r="BI46" s="162">
        <v>559</v>
      </c>
      <c r="BJ46" s="162">
        <v>291</v>
      </c>
      <c r="BK46" s="97"/>
      <c r="BL46" s="97"/>
      <c r="BM46" s="97"/>
      <c r="BN46" s="97"/>
    </row>
    <row r="47" spans="1:66" ht="12.75">
      <c r="A47" s="79" t="s">
        <v>587</v>
      </c>
      <c r="B47" s="79" t="s">
        <v>313</v>
      </c>
      <c r="C47" s="79" t="s">
        <v>243</v>
      </c>
      <c r="D47" s="99">
        <v>9116</v>
      </c>
      <c r="E47" s="99">
        <v>1557</v>
      </c>
      <c r="F47" s="99" t="s">
        <v>396</v>
      </c>
      <c r="G47" s="99">
        <v>39</v>
      </c>
      <c r="H47" s="99">
        <v>22</v>
      </c>
      <c r="I47" s="99">
        <v>164</v>
      </c>
      <c r="J47" s="99">
        <v>1001</v>
      </c>
      <c r="K47" s="99">
        <v>316</v>
      </c>
      <c r="L47" s="99">
        <v>1844</v>
      </c>
      <c r="M47" s="99">
        <v>786</v>
      </c>
      <c r="N47" s="99">
        <v>399</v>
      </c>
      <c r="O47" s="99">
        <v>169</v>
      </c>
      <c r="P47" s="159">
        <v>169</v>
      </c>
      <c r="Q47" s="99">
        <v>18</v>
      </c>
      <c r="R47" s="99">
        <v>52</v>
      </c>
      <c r="S47" s="99">
        <v>24</v>
      </c>
      <c r="T47" s="99">
        <v>30</v>
      </c>
      <c r="U47" s="99" t="s">
        <v>652</v>
      </c>
      <c r="V47" s="99">
        <v>39</v>
      </c>
      <c r="W47" s="99">
        <v>40</v>
      </c>
      <c r="X47" s="99">
        <v>47</v>
      </c>
      <c r="Y47" s="99">
        <v>100</v>
      </c>
      <c r="Z47" s="99">
        <v>55</v>
      </c>
      <c r="AA47" s="99" t="s">
        <v>652</v>
      </c>
      <c r="AB47" s="99" t="s">
        <v>652</v>
      </c>
      <c r="AC47" s="99" t="s">
        <v>652</v>
      </c>
      <c r="AD47" s="98" t="s">
        <v>372</v>
      </c>
      <c r="AE47" s="100">
        <v>0.17079859587538393</v>
      </c>
      <c r="AF47" s="100">
        <v>0.08</v>
      </c>
      <c r="AG47" s="98">
        <v>427.81921895568235</v>
      </c>
      <c r="AH47" s="98">
        <v>241.33391838525668</v>
      </c>
      <c r="AI47" s="100">
        <v>0.018000000000000002</v>
      </c>
      <c r="AJ47" s="100">
        <v>0.782643</v>
      </c>
      <c r="AK47" s="100">
        <v>0.816537</v>
      </c>
      <c r="AL47" s="100">
        <v>0.818464</v>
      </c>
      <c r="AM47" s="100">
        <v>0.640587</v>
      </c>
      <c r="AN47" s="100">
        <v>0.669463</v>
      </c>
      <c r="AO47" s="98">
        <v>1853.88328214129</v>
      </c>
      <c r="AP47" s="158">
        <v>0.9517369843</v>
      </c>
      <c r="AQ47" s="100">
        <v>0.10650887573964497</v>
      </c>
      <c r="AR47" s="100">
        <v>0.34615384615384615</v>
      </c>
      <c r="AS47" s="98">
        <v>263.2733655111891</v>
      </c>
      <c r="AT47" s="98">
        <v>329.0917068889864</v>
      </c>
      <c r="AU47" s="98" t="s">
        <v>652</v>
      </c>
      <c r="AV47" s="98">
        <v>427.81921895568235</v>
      </c>
      <c r="AW47" s="98">
        <v>438.7889425186485</v>
      </c>
      <c r="AX47" s="98">
        <v>515.577007459412</v>
      </c>
      <c r="AY47" s="98">
        <v>1096.9723562966212</v>
      </c>
      <c r="AZ47" s="98">
        <v>603.3347959631417</v>
      </c>
      <c r="BA47" s="101" t="s">
        <v>652</v>
      </c>
      <c r="BB47" s="101" t="s">
        <v>652</v>
      </c>
      <c r="BC47" s="101" t="s">
        <v>652</v>
      </c>
      <c r="BD47" s="158">
        <v>0.8136530304</v>
      </c>
      <c r="BE47" s="158">
        <v>1.106539993</v>
      </c>
      <c r="BF47" s="162">
        <v>1279</v>
      </c>
      <c r="BG47" s="162">
        <v>387</v>
      </c>
      <c r="BH47" s="162">
        <v>2253</v>
      </c>
      <c r="BI47" s="162">
        <v>1227</v>
      </c>
      <c r="BJ47" s="162">
        <v>596</v>
      </c>
      <c r="BK47" s="97"/>
      <c r="BL47" s="97"/>
      <c r="BM47" s="97"/>
      <c r="BN47" s="97"/>
    </row>
    <row r="48" spans="1:66" ht="12.75">
      <c r="A48" s="79" t="s">
        <v>579</v>
      </c>
      <c r="B48" s="79" t="s">
        <v>305</v>
      </c>
      <c r="C48" s="79" t="s">
        <v>243</v>
      </c>
      <c r="D48" s="99">
        <v>5416</v>
      </c>
      <c r="E48" s="99">
        <v>1656</v>
      </c>
      <c r="F48" s="99" t="s">
        <v>395</v>
      </c>
      <c r="G48" s="99">
        <v>34</v>
      </c>
      <c r="H48" s="99">
        <v>23</v>
      </c>
      <c r="I48" s="99">
        <v>142</v>
      </c>
      <c r="J48" s="99">
        <v>742</v>
      </c>
      <c r="K48" s="99">
        <v>251</v>
      </c>
      <c r="L48" s="99">
        <v>880</v>
      </c>
      <c r="M48" s="99">
        <v>655</v>
      </c>
      <c r="N48" s="99">
        <v>313</v>
      </c>
      <c r="O48" s="99">
        <v>198</v>
      </c>
      <c r="P48" s="159">
        <v>198</v>
      </c>
      <c r="Q48" s="99">
        <v>17</v>
      </c>
      <c r="R48" s="99">
        <v>39</v>
      </c>
      <c r="S48" s="99">
        <v>19</v>
      </c>
      <c r="T48" s="99">
        <v>25</v>
      </c>
      <c r="U48" s="99" t="s">
        <v>652</v>
      </c>
      <c r="V48" s="99">
        <v>34</v>
      </c>
      <c r="W48" s="99">
        <v>34</v>
      </c>
      <c r="X48" s="99">
        <v>47</v>
      </c>
      <c r="Y48" s="99">
        <v>85</v>
      </c>
      <c r="Z48" s="99">
        <v>44</v>
      </c>
      <c r="AA48" s="99" t="s">
        <v>652</v>
      </c>
      <c r="AB48" s="99" t="s">
        <v>652</v>
      </c>
      <c r="AC48" s="99" t="s">
        <v>652</v>
      </c>
      <c r="AD48" s="98" t="s">
        <v>372</v>
      </c>
      <c r="AE48" s="100">
        <v>0.30576070901033975</v>
      </c>
      <c r="AF48" s="100">
        <v>0.13</v>
      </c>
      <c r="AG48" s="98">
        <v>627.7695716395864</v>
      </c>
      <c r="AH48" s="98">
        <v>424.66765140324964</v>
      </c>
      <c r="AI48" s="100">
        <v>0.026000000000000002</v>
      </c>
      <c r="AJ48" s="100">
        <v>0.778594</v>
      </c>
      <c r="AK48" s="100">
        <v>0.804487</v>
      </c>
      <c r="AL48" s="100">
        <v>0.773967</v>
      </c>
      <c r="AM48" s="100">
        <v>0.619093</v>
      </c>
      <c r="AN48" s="100">
        <v>0.640082</v>
      </c>
      <c r="AO48" s="98">
        <v>3655.834564254062</v>
      </c>
      <c r="AP48" s="158">
        <v>1.417379913</v>
      </c>
      <c r="AQ48" s="100">
        <v>0.08585858585858586</v>
      </c>
      <c r="AR48" s="100">
        <v>0.4358974358974359</v>
      </c>
      <c r="AS48" s="98">
        <v>350.81240768094534</v>
      </c>
      <c r="AT48" s="98">
        <v>461.5952732644018</v>
      </c>
      <c r="AU48" s="98" t="s">
        <v>652</v>
      </c>
      <c r="AV48" s="98">
        <v>627.7695716395864</v>
      </c>
      <c r="AW48" s="98">
        <v>627.7695716395864</v>
      </c>
      <c r="AX48" s="98">
        <v>867.7991137370753</v>
      </c>
      <c r="AY48" s="98">
        <v>1569.423929098966</v>
      </c>
      <c r="AZ48" s="98">
        <v>812.4076809453471</v>
      </c>
      <c r="BA48" s="100" t="s">
        <v>652</v>
      </c>
      <c r="BB48" s="100" t="s">
        <v>652</v>
      </c>
      <c r="BC48" s="100" t="s">
        <v>652</v>
      </c>
      <c r="BD48" s="158">
        <v>1.226820145</v>
      </c>
      <c r="BE48" s="158">
        <v>1.6291516110000002</v>
      </c>
      <c r="BF48" s="162">
        <v>953</v>
      </c>
      <c r="BG48" s="162">
        <v>312</v>
      </c>
      <c r="BH48" s="162">
        <v>1137</v>
      </c>
      <c r="BI48" s="162">
        <v>1058</v>
      </c>
      <c r="BJ48" s="162">
        <v>489</v>
      </c>
      <c r="BK48" s="97"/>
      <c r="BL48" s="97"/>
      <c r="BM48" s="97"/>
      <c r="BN48" s="97"/>
    </row>
    <row r="49" spans="1:66" ht="12.75">
      <c r="A49" s="79" t="s">
        <v>567</v>
      </c>
      <c r="B49" s="79" t="s">
        <v>291</v>
      </c>
      <c r="C49" s="79" t="s">
        <v>243</v>
      </c>
      <c r="D49" s="99">
        <v>12481</v>
      </c>
      <c r="E49" s="99">
        <v>2445</v>
      </c>
      <c r="F49" s="99" t="s">
        <v>395</v>
      </c>
      <c r="G49" s="99">
        <v>60</v>
      </c>
      <c r="H49" s="99">
        <v>34</v>
      </c>
      <c r="I49" s="99">
        <v>235</v>
      </c>
      <c r="J49" s="99">
        <v>1245</v>
      </c>
      <c r="K49" s="99">
        <v>485</v>
      </c>
      <c r="L49" s="99">
        <v>2456</v>
      </c>
      <c r="M49" s="99">
        <v>885</v>
      </c>
      <c r="N49" s="99">
        <v>469</v>
      </c>
      <c r="O49" s="99">
        <v>219</v>
      </c>
      <c r="P49" s="159">
        <v>219</v>
      </c>
      <c r="Q49" s="99">
        <v>26</v>
      </c>
      <c r="R49" s="99">
        <v>69</v>
      </c>
      <c r="S49" s="99">
        <v>43</v>
      </c>
      <c r="T49" s="99">
        <v>40</v>
      </c>
      <c r="U49" s="99">
        <v>10</v>
      </c>
      <c r="V49" s="99">
        <v>33</v>
      </c>
      <c r="W49" s="99">
        <v>61</v>
      </c>
      <c r="X49" s="99">
        <v>56</v>
      </c>
      <c r="Y49" s="99">
        <v>130</v>
      </c>
      <c r="Z49" s="99">
        <v>65</v>
      </c>
      <c r="AA49" s="99" t="s">
        <v>652</v>
      </c>
      <c r="AB49" s="99" t="s">
        <v>652</v>
      </c>
      <c r="AC49" s="99" t="s">
        <v>652</v>
      </c>
      <c r="AD49" s="98" t="s">
        <v>372</v>
      </c>
      <c r="AE49" s="100">
        <v>0.19589776460219532</v>
      </c>
      <c r="AF49" s="100">
        <v>0.14</v>
      </c>
      <c r="AG49" s="98">
        <v>480.730710680234</v>
      </c>
      <c r="AH49" s="98">
        <v>272.4140693854659</v>
      </c>
      <c r="AI49" s="100">
        <v>0.019</v>
      </c>
      <c r="AJ49" s="100">
        <v>0.794512</v>
      </c>
      <c r="AK49" s="100">
        <v>0.773525</v>
      </c>
      <c r="AL49" s="100">
        <v>0.763207</v>
      </c>
      <c r="AM49" s="100">
        <v>0.615438</v>
      </c>
      <c r="AN49" s="100">
        <v>0.67</v>
      </c>
      <c r="AO49" s="98">
        <v>1754.6670939828539</v>
      </c>
      <c r="AP49" s="158">
        <v>0.8695129395</v>
      </c>
      <c r="AQ49" s="100">
        <v>0.1187214611872146</v>
      </c>
      <c r="AR49" s="100">
        <v>0.37681159420289856</v>
      </c>
      <c r="AS49" s="98">
        <v>344.523675987501</v>
      </c>
      <c r="AT49" s="98">
        <v>320.4871404534893</v>
      </c>
      <c r="AU49" s="98">
        <v>80.12178511337233</v>
      </c>
      <c r="AV49" s="98">
        <v>264.4018908741287</v>
      </c>
      <c r="AW49" s="98">
        <v>488.7428891915712</v>
      </c>
      <c r="AX49" s="98">
        <v>448.681996634885</v>
      </c>
      <c r="AY49" s="98">
        <v>1041.5832064738402</v>
      </c>
      <c r="AZ49" s="98">
        <v>520.7916032369201</v>
      </c>
      <c r="BA49" s="101" t="s">
        <v>652</v>
      </c>
      <c r="BB49" s="101" t="s">
        <v>652</v>
      </c>
      <c r="BC49" s="101" t="s">
        <v>652</v>
      </c>
      <c r="BD49" s="158">
        <v>0.7581582642</v>
      </c>
      <c r="BE49" s="158">
        <v>0.9926193999999999</v>
      </c>
      <c r="BF49" s="162">
        <v>1567</v>
      </c>
      <c r="BG49" s="162">
        <v>627</v>
      </c>
      <c r="BH49" s="162">
        <v>3218</v>
      </c>
      <c r="BI49" s="162">
        <v>1438</v>
      </c>
      <c r="BJ49" s="162">
        <v>700</v>
      </c>
      <c r="BK49" s="97"/>
      <c r="BL49" s="97"/>
      <c r="BM49" s="97"/>
      <c r="BN49" s="97"/>
    </row>
    <row r="50" spans="1:66" ht="12.75">
      <c r="A50" s="79" t="s">
        <v>610</v>
      </c>
      <c r="B50" s="79" t="s">
        <v>337</v>
      </c>
      <c r="C50" s="79" t="s">
        <v>243</v>
      </c>
      <c r="D50" s="99">
        <v>6231</v>
      </c>
      <c r="E50" s="99">
        <v>1742</v>
      </c>
      <c r="F50" s="99" t="s">
        <v>395</v>
      </c>
      <c r="G50" s="99">
        <v>41</v>
      </c>
      <c r="H50" s="99">
        <v>39</v>
      </c>
      <c r="I50" s="99">
        <v>177</v>
      </c>
      <c r="J50" s="99">
        <v>810</v>
      </c>
      <c r="K50" s="99">
        <v>223</v>
      </c>
      <c r="L50" s="99">
        <v>1067</v>
      </c>
      <c r="M50" s="99">
        <v>585</v>
      </c>
      <c r="N50" s="99">
        <v>336</v>
      </c>
      <c r="O50" s="99">
        <v>262</v>
      </c>
      <c r="P50" s="159">
        <v>262</v>
      </c>
      <c r="Q50" s="99">
        <v>22</v>
      </c>
      <c r="R50" s="99">
        <v>45</v>
      </c>
      <c r="S50" s="99">
        <v>39</v>
      </c>
      <c r="T50" s="99">
        <v>57</v>
      </c>
      <c r="U50" s="99">
        <v>6</v>
      </c>
      <c r="V50" s="99">
        <v>58</v>
      </c>
      <c r="W50" s="99">
        <v>80</v>
      </c>
      <c r="X50" s="99">
        <v>26</v>
      </c>
      <c r="Y50" s="99">
        <v>92</v>
      </c>
      <c r="Z50" s="99">
        <v>85</v>
      </c>
      <c r="AA50" s="99" t="s">
        <v>652</v>
      </c>
      <c r="AB50" s="99" t="s">
        <v>652</v>
      </c>
      <c r="AC50" s="99" t="s">
        <v>652</v>
      </c>
      <c r="AD50" s="98" t="s">
        <v>372</v>
      </c>
      <c r="AE50" s="100">
        <v>0.27956989247311825</v>
      </c>
      <c r="AF50" s="100">
        <v>0.13</v>
      </c>
      <c r="AG50" s="98">
        <v>658.0003209757664</v>
      </c>
      <c r="AH50" s="98">
        <v>625.9027443428021</v>
      </c>
      <c r="AI50" s="100">
        <v>0.027999999999999997</v>
      </c>
      <c r="AJ50" s="100">
        <v>0.772164</v>
      </c>
      <c r="AK50" s="100">
        <v>0.782456</v>
      </c>
      <c r="AL50" s="100">
        <v>0.769841</v>
      </c>
      <c r="AM50" s="100">
        <v>0.577493</v>
      </c>
      <c r="AN50" s="100">
        <v>0.613139</v>
      </c>
      <c r="AO50" s="98">
        <v>4204.782538918312</v>
      </c>
      <c r="AP50" s="158">
        <v>1.702859192</v>
      </c>
      <c r="AQ50" s="100">
        <v>0.08396946564885496</v>
      </c>
      <c r="AR50" s="100">
        <v>0.4888888888888889</v>
      </c>
      <c r="AS50" s="98">
        <v>625.9027443428021</v>
      </c>
      <c r="AT50" s="98">
        <v>914.78093403948</v>
      </c>
      <c r="AU50" s="98">
        <v>96.29272989889263</v>
      </c>
      <c r="AV50" s="98">
        <v>930.8297223559621</v>
      </c>
      <c r="AW50" s="98">
        <v>1283.9030653185685</v>
      </c>
      <c r="AX50" s="98">
        <v>417.26849622853473</v>
      </c>
      <c r="AY50" s="98">
        <v>1476.4885251163537</v>
      </c>
      <c r="AZ50" s="98">
        <v>1364.147006900979</v>
      </c>
      <c r="BA50" s="100" t="s">
        <v>652</v>
      </c>
      <c r="BB50" s="100" t="s">
        <v>652</v>
      </c>
      <c r="BC50" s="100" t="s">
        <v>652</v>
      </c>
      <c r="BD50" s="158">
        <v>1.502888336</v>
      </c>
      <c r="BE50" s="158">
        <v>1.92203125</v>
      </c>
      <c r="BF50" s="162">
        <v>1049</v>
      </c>
      <c r="BG50" s="162">
        <v>285</v>
      </c>
      <c r="BH50" s="162">
        <v>1386</v>
      </c>
      <c r="BI50" s="162">
        <v>1013</v>
      </c>
      <c r="BJ50" s="162">
        <v>548</v>
      </c>
      <c r="BK50" s="97"/>
      <c r="BL50" s="97"/>
      <c r="BM50" s="97"/>
      <c r="BN50" s="97"/>
    </row>
    <row r="51" spans="1:66" ht="12.75">
      <c r="A51" s="79" t="s">
        <v>570</v>
      </c>
      <c r="B51" s="79" t="s">
        <v>294</v>
      </c>
      <c r="C51" s="79" t="s">
        <v>243</v>
      </c>
      <c r="D51" s="99">
        <v>7972</v>
      </c>
      <c r="E51" s="99">
        <v>1908</v>
      </c>
      <c r="F51" s="99" t="s">
        <v>394</v>
      </c>
      <c r="G51" s="99">
        <v>47</v>
      </c>
      <c r="H51" s="99">
        <v>20</v>
      </c>
      <c r="I51" s="99">
        <v>182</v>
      </c>
      <c r="J51" s="99">
        <v>1039</v>
      </c>
      <c r="K51" s="99">
        <v>405</v>
      </c>
      <c r="L51" s="99">
        <v>1480</v>
      </c>
      <c r="M51" s="99">
        <v>819</v>
      </c>
      <c r="N51" s="99">
        <v>432</v>
      </c>
      <c r="O51" s="99">
        <v>216</v>
      </c>
      <c r="P51" s="159">
        <v>216</v>
      </c>
      <c r="Q51" s="99">
        <v>22</v>
      </c>
      <c r="R51" s="99">
        <v>49</v>
      </c>
      <c r="S51" s="99">
        <v>29</v>
      </c>
      <c r="T51" s="99">
        <v>52</v>
      </c>
      <c r="U51" s="99" t="s">
        <v>652</v>
      </c>
      <c r="V51" s="99">
        <v>44</v>
      </c>
      <c r="W51" s="99">
        <v>39</v>
      </c>
      <c r="X51" s="99">
        <v>52</v>
      </c>
      <c r="Y51" s="99">
        <v>89</v>
      </c>
      <c r="Z51" s="99">
        <v>39</v>
      </c>
      <c r="AA51" s="99" t="s">
        <v>652</v>
      </c>
      <c r="AB51" s="99" t="s">
        <v>652</v>
      </c>
      <c r="AC51" s="99" t="s">
        <v>652</v>
      </c>
      <c r="AD51" s="98" t="s">
        <v>372</v>
      </c>
      <c r="AE51" s="100">
        <v>0.23933768188660312</v>
      </c>
      <c r="AF51" s="100">
        <v>0.1</v>
      </c>
      <c r="AG51" s="98">
        <v>589.5634721525339</v>
      </c>
      <c r="AH51" s="98">
        <v>250.87807325639739</v>
      </c>
      <c r="AI51" s="100">
        <v>0.023</v>
      </c>
      <c r="AJ51" s="100">
        <v>0.827229</v>
      </c>
      <c r="AK51" s="100">
        <v>0.826531</v>
      </c>
      <c r="AL51" s="100">
        <v>0.787653</v>
      </c>
      <c r="AM51" s="100">
        <v>0.637354</v>
      </c>
      <c r="AN51" s="100">
        <v>0.684628</v>
      </c>
      <c r="AO51" s="98">
        <v>2709.4831911690917</v>
      </c>
      <c r="AP51" s="158">
        <v>1.1880867000000002</v>
      </c>
      <c r="AQ51" s="100">
        <v>0.10185185185185185</v>
      </c>
      <c r="AR51" s="100">
        <v>0.4489795918367347</v>
      </c>
      <c r="AS51" s="98">
        <v>363.7732062217762</v>
      </c>
      <c r="AT51" s="98">
        <v>652.2829904666332</v>
      </c>
      <c r="AU51" s="98" t="s">
        <v>652</v>
      </c>
      <c r="AV51" s="98">
        <v>551.9317611640743</v>
      </c>
      <c r="AW51" s="98">
        <v>489.2122428499749</v>
      </c>
      <c r="AX51" s="98">
        <v>652.2829904666332</v>
      </c>
      <c r="AY51" s="98">
        <v>1116.4074259909685</v>
      </c>
      <c r="AZ51" s="98">
        <v>489.2122428499749</v>
      </c>
      <c r="BA51" s="100" t="s">
        <v>652</v>
      </c>
      <c r="BB51" s="100" t="s">
        <v>652</v>
      </c>
      <c r="BC51" s="100" t="s">
        <v>652</v>
      </c>
      <c r="BD51" s="158">
        <v>1.034917297</v>
      </c>
      <c r="BE51" s="158">
        <v>1.3575389100000002</v>
      </c>
      <c r="BF51" s="162">
        <v>1256</v>
      </c>
      <c r="BG51" s="162">
        <v>490</v>
      </c>
      <c r="BH51" s="162">
        <v>1879</v>
      </c>
      <c r="BI51" s="162">
        <v>1285</v>
      </c>
      <c r="BJ51" s="162">
        <v>631</v>
      </c>
      <c r="BK51" s="97"/>
      <c r="BL51" s="97"/>
      <c r="BM51" s="97"/>
      <c r="BN51" s="97"/>
    </row>
    <row r="52" spans="1:66" ht="12.75">
      <c r="A52" s="79" t="s">
        <v>589</v>
      </c>
      <c r="B52" s="79" t="s">
        <v>315</v>
      </c>
      <c r="C52" s="79" t="s">
        <v>243</v>
      </c>
      <c r="D52" s="99">
        <v>8156</v>
      </c>
      <c r="E52" s="99">
        <v>1933</v>
      </c>
      <c r="F52" s="99" t="s">
        <v>396</v>
      </c>
      <c r="G52" s="99">
        <v>58</v>
      </c>
      <c r="H52" s="99">
        <v>28</v>
      </c>
      <c r="I52" s="99">
        <v>137</v>
      </c>
      <c r="J52" s="99">
        <v>1103</v>
      </c>
      <c r="K52" s="99">
        <v>375</v>
      </c>
      <c r="L52" s="99">
        <v>1583</v>
      </c>
      <c r="M52" s="99">
        <v>936</v>
      </c>
      <c r="N52" s="99">
        <v>465</v>
      </c>
      <c r="O52" s="99">
        <v>226</v>
      </c>
      <c r="P52" s="159">
        <v>226</v>
      </c>
      <c r="Q52" s="99">
        <v>24</v>
      </c>
      <c r="R52" s="99">
        <v>44</v>
      </c>
      <c r="S52" s="99">
        <v>31</v>
      </c>
      <c r="T52" s="99">
        <v>33</v>
      </c>
      <c r="U52" s="99" t="s">
        <v>652</v>
      </c>
      <c r="V52" s="99">
        <v>27</v>
      </c>
      <c r="W52" s="99">
        <v>31</v>
      </c>
      <c r="X52" s="99">
        <v>42</v>
      </c>
      <c r="Y52" s="99">
        <v>84</v>
      </c>
      <c r="Z52" s="99">
        <v>56</v>
      </c>
      <c r="AA52" s="99" t="s">
        <v>652</v>
      </c>
      <c r="AB52" s="99" t="s">
        <v>652</v>
      </c>
      <c r="AC52" s="99" t="s">
        <v>652</v>
      </c>
      <c r="AD52" s="98" t="s">
        <v>372</v>
      </c>
      <c r="AE52" s="100">
        <v>0.23700343305541932</v>
      </c>
      <c r="AF52" s="100">
        <v>0.08</v>
      </c>
      <c r="AG52" s="98">
        <v>711.1329082883767</v>
      </c>
      <c r="AH52" s="98">
        <v>343.3055419323198</v>
      </c>
      <c r="AI52" s="100">
        <v>0.017</v>
      </c>
      <c r="AJ52" s="100">
        <v>0.786733</v>
      </c>
      <c r="AK52" s="100">
        <v>0.820569</v>
      </c>
      <c r="AL52" s="100">
        <v>0.798285</v>
      </c>
      <c r="AM52" s="100">
        <v>0.660085</v>
      </c>
      <c r="AN52" s="100">
        <v>0.706687</v>
      </c>
      <c r="AO52" s="98">
        <v>2770.9661598822954</v>
      </c>
      <c r="AP52" s="158">
        <v>1.2049301909999999</v>
      </c>
      <c r="AQ52" s="100">
        <v>0.10619469026548672</v>
      </c>
      <c r="AR52" s="100">
        <v>0.5454545454545454</v>
      </c>
      <c r="AS52" s="98">
        <v>380.08827856792544</v>
      </c>
      <c r="AT52" s="98">
        <v>404.6101029916626</v>
      </c>
      <c r="AU52" s="98" t="s">
        <v>652</v>
      </c>
      <c r="AV52" s="98">
        <v>331.0446297204512</v>
      </c>
      <c r="AW52" s="98">
        <v>380.08827856792544</v>
      </c>
      <c r="AX52" s="98">
        <v>514.9583128984797</v>
      </c>
      <c r="AY52" s="98">
        <v>1029.9166257969594</v>
      </c>
      <c r="AZ52" s="98">
        <v>686.6110838646396</v>
      </c>
      <c r="BA52" s="100" t="s">
        <v>652</v>
      </c>
      <c r="BB52" s="100" t="s">
        <v>652</v>
      </c>
      <c r="BC52" s="100" t="s">
        <v>652</v>
      </c>
      <c r="BD52" s="158">
        <v>1.052946701</v>
      </c>
      <c r="BE52" s="158">
        <v>1.372688904</v>
      </c>
      <c r="BF52" s="162">
        <v>1402</v>
      </c>
      <c r="BG52" s="162">
        <v>457</v>
      </c>
      <c r="BH52" s="162">
        <v>1983</v>
      </c>
      <c r="BI52" s="162">
        <v>1418</v>
      </c>
      <c r="BJ52" s="162">
        <v>658</v>
      </c>
      <c r="BK52" s="97"/>
      <c r="BL52" s="97"/>
      <c r="BM52" s="97"/>
      <c r="BN52" s="97"/>
    </row>
    <row r="53" spans="1:66" ht="12.75">
      <c r="A53" s="79" t="s">
        <v>601</v>
      </c>
      <c r="B53" s="79" t="s">
        <v>328</v>
      </c>
      <c r="C53" s="79" t="s">
        <v>243</v>
      </c>
      <c r="D53" s="99">
        <v>5371</v>
      </c>
      <c r="E53" s="99">
        <v>1752</v>
      </c>
      <c r="F53" s="99" t="s">
        <v>395</v>
      </c>
      <c r="G53" s="99">
        <v>45</v>
      </c>
      <c r="H53" s="99">
        <v>27</v>
      </c>
      <c r="I53" s="99">
        <v>127</v>
      </c>
      <c r="J53" s="99">
        <v>760</v>
      </c>
      <c r="K53" s="99">
        <v>262</v>
      </c>
      <c r="L53" s="99">
        <v>838</v>
      </c>
      <c r="M53" s="99">
        <v>593</v>
      </c>
      <c r="N53" s="99">
        <v>294</v>
      </c>
      <c r="O53" s="99">
        <v>177</v>
      </c>
      <c r="P53" s="159">
        <v>177</v>
      </c>
      <c r="Q53" s="99">
        <v>21</v>
      </c>
      <c r="R53" s="99">
        <v>53</v>
      </c>
      <c r="S53" s="99">
        <v>21</v>
      </c>
      <c r="T53" s="99">
        <v>39</v>
      </c>
      <c r="U53" s="99" t="s">
        <v>652</v>
      </c>
      <c r="V53" s="99">
        <v>17</v>
      </c>
      <c r="W53" s="99">
        <v>34</v>
      </c>
      <c r="X53" s="99">
        <v>38</v>
      </c>
      <c r="Y53" s="99">
        <v>65</v>
      </c>
      <c r="Z53" s="99">
        <v>48</v>
      </c>
      <c r="AA53" s="99" t="s">
        <v>652</v>
      </c>
      <c r="AB53" s="99" t="s">
        <v>652</v>
      </c>
      <c r="AC53" s="99" t="s">
        <v>652</v>
      </c>
      <c r="AD53" s="98" t="s">
        <v>372</v>
      </c>
      <c r="AE53" s="100">
        <v>0.32619623906162726</v>
      </c>
      <c r="AF53" s="100">
        <v>0.13</v>
      </c>
      <c r="AG53" s="98">
        <v>837.8328058089742</v>
      </c>
      <c r="AH53" s="98">
        <v>502.69968348538447</v>
      </c>
      <c r="AI53" s="100">
        <v>0.024</v>
      </c>
      <c r="AJ53" s="100">
        <v>0.765358</v>
      </c>
      <c r="AK53" s="100">
        <v>0.755043</v>
      </c>
      <c r="AL53" s="100">
        <v>0.762511</v>
      </c>
      <c r="AM53" s="100">
        <v>0.563153</v>
      </c>
      <c r="AN53" s="100">
        <v>0.616352</v>
      </c>
      <c r="AO53" s="98">
        <v>3295.4757028486315</v>
      </c>
      <c r="AP53" s="158">
        <v>1.242400894</v>
      </c>
      <c r="AQ53" s="100">
        <v>0.11864406779661017</v>
      </c>
      <c r="AR53" s="100">
        <v>0.39622641509433965</v>
      </c>
      <c r="AS53" s="98">
        <v>390.9886427108546</v>
      </c>
      <c r="AT53" s="98">
        <v>726.1217650344443</v>
      </c>
      <c r="AU53" s="98" t="s">
        <v>652</v>
      </c>
      <c r="AV53" s="98">
        <v>316.5146155278347</v>
      </c>
      <c r="AW53" s="98">
        <v>633.0292310556694</v>
      </c>
      <c r="AX53" s="98">
        <v>707.5032582386892</v>
      </c>
      <c r="AY53" s="98">
        <v>1210.2029417240738</v>
      </c>
      <c r="AZ53" s="98">
        <v>893.688326196239</v>
      </c>
      <c r="BA53" s="100" t="s">
        <v>652</v>
      </c>
      <c r="BB53" s="100" t="s">
        <v>652</v>
      </c>
      <c r="BC53" s="100" t="s">
        <v>652</v>
      </c>
      <c r="BD53" s="158">
        <v>1.066106644</v>
      </c>
      <c r="BE53" s="158">
        <v>1.439521942</v>
      </c>
      <c r="BF53" s="162">
        <v>993</v>
      </c>
      <c r="BG53" s="162">
        <v>347</v>
      </c>
      <c r="BH53" s="162">
        <v>1099</v>
      </c>
      <c r="BI53" s="162">
        <v>1053</v>
      </c>
      <c r="BJ53" s="162">
        <v>477</v>
      </c>
      <c r="BK53" s="97"/>
      <c r="BL53" s="97"/>
      <c r="BM53" s="97"/>
      <c r="BN53" s="97"/>
    </row>
    <row r="54" spans="1:66" ht="12.75">
      <c r="A54" s="79" t="s">
        <v>613</v>
      </c>
      <c r="B54" s="79" t="s">
        <v>340</v>
      </c>
      <c r="C54" s="79" t="s">
        <v>243</v>
      </c>
      <c r="D54" s="99">
        <v>5849</v>
      </c>
      <c r="E54" s="99">
        <v>1370</v>
      </c>
      <c r="F54" s="99" t="s">
        <v>394</v>
      </c>
      <c r="G54" s="99">
        <v>20</v>
      </c>
      <c r="H54" s="99">
        <v>15</v>
      </c>
      <c r="I54" s="99">
        <v>109</v>
      </c>
      <c r="J54" s="99">
        <v>723</v>
      </c>
      <c r="K54" s="99">
        <v>241</v>
      </c>
      <c r="L54" s="99">
        <v>1213</v>
      </c>
      <c r="M54" s="99">
        <v>540</v>
      </c>
      <c r="N54" s="99">
        <v>268</v>
      </c>
      <c r="O54" s="99">
        <v>121</v>
      </c>
      <c r="P54" s="159">
        <v>121</v>
      </c>
      <c r="Q54" s="99">
        <v>10</v>
      </c>
      <c r="R54" s="99">
        <v>29</v>
      </c>
      <c r="S54" s="99">
        <v>14</v>
      </c>
      <c r="T54" s="99">
        <v>25</v>
      </c>
      <c r="U54" s="99" t="s">
        <v>652</v>
      </c>
      <c r="V54" s="99">
        <v>34</v>
      </c>
      <c r="W54" s="99">
        <v>25</v>
      </c>
      <c r="X54" s="99">
        <v>30</v>
      </c>
      <c r="Y54" s="99">
        <v>64</v>
      </c>
      <c r="Z54" s="99">
        <v>34</v>
      </c>
      <c r="AA54" s="99" t="s">
        <v>652</v>
      </c>
      <c r="AB54" s="99" t="s">
        <v>652</v>
      </c>
      <c r="AC54" s="99" t="s">
        <v>652</v>
      </c>
      <c r="AD54" s="98" t="s">
        <v>372</v>
      </c>
      <c r="AE54" s="100">
        <v>0.23422807317490169</v>
      </c>
      <c r="AF54" s="100">
        <v>0.1</v>
      </c>
      <c r="AG54" s="98">
        <v>341.93879295606087</v>
      </c>
      <c r="AH54" s="98">
        <v>256.4540947170456</v>
      </c>
      <c r="AI54" s="100">
        <v>0.019</v>
      </c>
      <c r="AJ54" s="100">
        <v>0.815107</v>
      </c>
      <c r="AK54" s="100">
        <v>0.811448</v>
      </c>
      <c r="AL54" s="100">
        <v>0.803844</v>
      </c>
      <c r="AM54" s="100">
        <v>0.643623</v>
      </c>
      <c r="AN54" s="100">
        <v>0.666667</v>
      </c>
      <c r="AO54" s="98">
        <v>2068.729697384168</v>
      </c>
      <c r="AP54" s="158">
        <v>0.9097872925</v>
      </c>
      <c r="AQ54" s="100">
        <v>0.08264462809917356</v>
      </c>
      <c r="AR54" s="100">
        <v>0.3448275862068966</v>
      </c>
      <c r="AS54" s="98">
        <v>239.3571550692426</v>
      </c>
      <c r="AT54" s="98">
        <v>427.42349119507605</v>
      </c>
      <c r="AU54" s="98" t="s">
        <v>652</v>
      </c>
      <c r="AV54" s="98">
        <v>581.2959480253035</v>
      </c>
      <c r="AW54" s="98">
        <v>427.42349119507605</v>
      </c>
      <c r="AX54" s="98">
        <v>512.9081894340912</v>
      </c>
      <c r="AY54" s="98">
        <v>1094.2041374593948</v>
      </c>
      <c r="AZ54" s="98">
        <v>581.2959480253035</v>
      </c>
      <c r="BA54" s="100" t="s">
        <v>652</v>
      </c>
      <c r="BB54" s="100" t="s">
        <v>652</v>
      </c>
      <c r="BC54" s="100" t="s">
        <v>652</v>
      </c>
      <c r="BD54" s="158">
        <v>0.7549173737</v>
      </c>
      <c r="BE54" s="158">
        <v>1.087079697</v>
      </c>
      <c r="BF54" s="162">
        <v>887</v>
      </c>
      <c r="BG54" s="162">
        <v>297</v>
      </c>
      <c r="BH54" s="162">
        <v>1509</v>
      </c>
      <c r="BI54" s="162">
        <v>839</v>
      </c>
      <c r="BJ54" s="162">
        <v>402</v>
      </c>
      <c r="BK54" s="97"/>
      <c r="BL54" s="97"/>
      <c r="BM54" s="97"/>
      <c r="BN54" s="97"/>
    </row>
    <row r="55" spans="1:66" ht="12.75">
      <c r="A55" s="79" t="s">
        <v>596</v>
      </c>
      <c r="B55" s="79" t="s">
        <v>323</v>
      </c>
      <c r="C55" s="79" t="s">
        <v>243</v>
      </c>
      <c r="D55" s="99">
        <v>8137</v>
      </c>
      <c r="E55" s="99">
        <v>1332</v>
      </c>
      <c r="F55" s="99" t="s">
        <v>392</v>
      </c>
      <c r="G55" s="99">
        <v>46</v>
      </c>
      <c r="H55" s="99">
        <v>17</v>
      </c>
      <c r="I55" s="99">
        <v>159</v>
      </c>
      <c r="J55" s="99">
        <v>764</v>
      </c>
      <c r="K55" s="99">
        <v>250</v>
      </c>
      <c r="L55" s="99">
        <v>1529</v>
      </c>
      <c r="M55" s="99">
        <v>536</v>
      </c>
      <c r="N55" s="99">
        <v>281</v>
      </c>
      <c r="O55" s="99">
        <v>218</v>
      </c>
      <c r="P55" s="159">
        <v>218</v>
      </c>
      <c r="Q55" s="99">
        <v>22</v>
      </c>
      <c r="R55" s="99">
        <v>52</v>
      </c>
      <c r="S55" s="99">
        <v>31</v>
      </c>
      <c r="T55" s="99">
        <v>33</v>
      </c>
      <c r="U55" s="99" t="s">
        <v>652</v>
      </c>
      <c r="V55" s="99">
        <v>43</v>
      </c>
      <c r="W55" s="99">
        <v>32</v>
      </c>
      <c r="X55" s="99">
        <v>32</v>
      </c>
      <c r="Y55" s="99">
        <v>113</v>
      </c>
      <c r="Z55" s="99">
        <v>36</v>
      </c>
      <c r="AA55" s="99" t="s">
        <v>652</v>
      </c>
      <c r="AB55" s="99" t="s">
        <v>652</v>
      </c>
      <c r="AC55" s="99" t="s">
        <v>652</v>
      </c>
      <c r="AD55" s="98" t="s">
        <v>372</v>
      </c>
      <c r="AE55" s="100">
        <v>0.16369669411330956</v>
      </c>
      <c r="AF55" s="100">
        <v>0.18</v>
      </c>
      <c r="AG55" s="98">
        <v>565.3189136045225</v>
      </c>
      <c r="AH55" s="98">
        <v>208.92220720167137</v>
      </c>
      <c r="AI55" s="100">
        <v>0.02</v>
      </c>
      <c r="AJ55" s="100">
        <v>0.807611</v>
      </c>
      <c r="AK55" s="100">
        <v>0.748503</v>
      </c>
      <c r="AL55" s="100">
        <v>0.7668</v>
      </c>
      <c r="AM55" s="100">
        <v>0.586433</v>
      </c>
      <c r="AN55" s="100">
        <v>0.613537</v>
      </c>
      <c r="AO55" s="98">
        <v>2679.120068821433</v>
      </c>
      <c r="AP55" s="158">
        <v>1.4353875729999999</v>
      </c>
      <c r="AQ55" s="100">
        <v>0.10091743119266056</v>
      </c>
      <c r="AR55" s="100">
        <v>0.4230769230769231</v>
      </c>
      <c r="AS55" s="98">
        <v>380.9757896030478</v>
      </c>
      <c r="AT55" s="98">
        <v>405.55487280324445</v>
      </c>
      <c r="AU55" s="98" t="s">
        <v>652</v>
      </c>
      <c r="AV55" s="98">
        <v>528.4502888042276</v>
      </c>
      <c r="AW55" s="98">
        <v>393.2653312031461</v>
      </c>
      <c r="AX55" s="98">
        <v>393.2653312031461</v>
      </c>
      <c r="AY55" s="98">
        <v>1388.7182008111097</v>
      </c>
      <c r="AZ55" s="98">
        <v>442.4234976035394</v>
      </c>
      <c r="BA55" s="100" t="s">
        <v>652</v>
      </c>
      <c r="BB55" s="100" t="s">
        <v>652</v>
      </c>
      <c r="BC55" s="100" t="s">
        <v>652</v>
      </c>
      <c r="BD55" s="158">
        <v>1.251157303</v>
      </c>
      <c r="BE55" s="158">
        <v>1.639107666</v>
      </c>
      <c r="BF55" s="162">
        <v>946</v>
      </c>
      <c r="BG55" s="162">
        <v>334</v>
      </c>
      <c r="BH55" s="162">
        <v>1994</v>
      </c>
      <c r="BI55" s="162">
        <v>914</v>
      </c>
      <c r="BJ55" s="162">
        <v>458</v>
      </c>
      <c r="BK55" s="97"/>
      <c r="BL55" s="97"/>
      <c r="BM55" s="97"/>
      <c r="BN55" s="97"/>
    </row>
    <row r="56" spans="1:66" ht="12.75">
      <c r="A56" s="79" t="s">
        <v>568</v>
      </c>
      <c r="B56" s="79" t="s">
        <v>292</v>
      </c>
      <c r="C56" s="79" t="s">
        <v>243</v>
      </c>
      <c r="D56" s="99">
        <v>7763</v>
      </c>
      <c r="E56" s="99">
        <v>1150</v>
      </c>
      <c r="F56" s="99" t="s">
        <v>394</v>
      </c>
      <c r="G56" s="99">
        <v>25</v>
      </c>
      <c r="H56" s="99">
        <v>19</v>
      </c>
      <c r="I56" s="99">
        <v>77</v>
      </c>
      <c r="J56" s="99">
        <v>763</v>
      </c>
      <c r="K56" s="99">
        <v>278</v>
      </c>
      <c r="L56" s="99">
        <v>1635</v>
      </c>
      <c r="M56" s="99">
        <v>575</v>
      </c>
      <c r="N56" s="99">
        <v>283</v>
      </c>
      <c r="O56" s="99">
        <v>150</v>
      </c>
      <c r="P56" s="159">
        <v>150</v>
      </c>
      <c r="Q56" s="99">
        <v>9</v>
      </c>
      <c r="R56" s="99">
        <v>32</v>
      </c>
      <c r="S56" s="99">
        <v>30</v>
      </c>
      <c r="T56" s="99">
        <v>33</v>
      </c>
      <c r="U56" s="99" t="s">
        <v>652</v>
      </c>
      <c r="V56" s="99">
        <v>20</v>
      </c>
      <c r="W56" s="99">
        <v>36</v>
      </c>
      <c r="X56" s="99">
        <v>44</v>
      </c>
      <c r="Y56" s="99">
        <v>97</v>
      </c>
      <c r="Z56" s="99">
        <v>44</v>
      </c>
      <c r="AA56" s="99" t="s">
        <v>652</v>
      </c>
      <c r="AB56" s="99" t="s">
        <v>652</v>
      </c>
      <c r="AC56" s="99" t="s">
        <v>652</v>
      </c>
      <c r="AD56" s="98" t="s">
        <v>372</v>
      </c>
      <c r="AE56" s="100">
        <v>0.14813860620893984</v>
      </c>
      <c r="AF56" s="100">
        <v>0.1</v>
      </c>
      <c r="AG56" s="98">
        <v>322.040448280304</v>
      </c>
      <c r="AH56" s="98">
        <v>244.75074069303105</v>
      </c>
      <c r="AI56" s="100">
        <v>0.01</v>
      </c>
      <c r="AJ56" s="100">
        <v>0.747307</v>
      </c>
      <c r="AK56" s="100">
        <v>0.810496</v>
      </c>
      <c r="AL56" s="100">
        <v>0.790237</v>
      </c>
      <c r="AM56" s="100">
        <v>0.66168</v>
      </c>
      <c r="AN56" s="100">
        <v>0.683575</v>
      </c>
      <c r="AO56" s="98">
        <v>1932.242689681824</v>
      </c>
      <c r="AP56" s="158">
        <v>1.065714035</v>
      </c>
      <c r="AQ56" s="100">
        <v>0.06</v>
      </c>
      <c r="AR56" s="100">
        <v>0.28125</v>
      </c>
      <c r="AS56" s="98">
        <v>386.4485379363648</v>
      </c>
      <c r="AT56" s="98">
        <v>425.0933917300013</v>
      </c>
      <c r="AU56" s="98" t="s">
        <v>652</v>
      </c>
      <c r="AV56" s="98">
        <v>257.6323586242432</v>
      </c>
      <c r="AW56" s="98">
        <v>463.7382455236378</v>
      </c>
      <c r="AX56" s="98">
        <v>566.791188973335</v>
      </c>
      <c r="AY56" s="98">
        <v>1249.5169393275796</v>
      </c>
      <c r="AZ56" s="98">
        <v>566.791188973335</v>
      </c>
      <c r="BA56" s="101" t="s">
        <v>652</v>
      </c>
      <c r="BB56" s="101" t="s">
        <v>652</v>
      </c>
      <c r="BC56" s="101" t="s">
        <v>652</v>
      </c>
      <c r="BD56" s="158">
        <v>0.9019931029999999</v>
      </c>
      <c r="BE56" s="158">
        <v>1.250559769</v>
      </c>
      <c r="BF56" s="162">
        <v>1021</v>
      </c>
      <c r="BG56" s="162">
        <v>343</v>
      </c>
      <c r="BH56" s="162">
        <v>2069</v>
      </c>
      <c r="BI56" s="162">
        <v>869</v>
      </c>
      <c r="BJ56" s="162">
        <v>414</v>
      </c>
      <c r="BK56" s="97"/>
      <c r="BL56" s="97"/>
      <c r="BM56" s="97"/>
      <c r="BN56" s="97"/>
    </row>
    <row r="57" spans="1:66" ht="12.75">
      <c r="A57" s="79" t="s">
        <v>586</v>
      </c>
      <c r="B57" s="79" t="s">
        <v>312</v>
      </c>
      <c r="C57" s="79" t="s">
        <v>243</v>
      </c>
      <c r="D57" s="99">
        <v>6931</v>
      </c>
      <c r="E57" s="99">
        <v>1615</v>
      </c>
      <c r="F57" s="99" t="s">
        <v>396</v>
      </c>
      <c r="G57" s="99">
        <v>35</v>
      </c>
      <c r="H57" s="99">
        <v>24</v>
      </c>
      <c r="I57" s="99">
        <v>180</v>
      </c>
      <c r="J57" s="99">
        <v>888</v>
      </c>
      <c r="K57" s="99">
        <v>291</v>
      </c>
      <c r="L57" s="99">
        <v>1482</v>
      </c>
      <c r="M57" s="99">
        <v>766</v>
      </c>
      <c r="N57" s="99">
        <v>398</v>
      </c>
      <c r="O57" s="99">
        <v>207</v>
      </c>
      <c r="P57" s="159">
        <v>207</v>
      </c>
      <c r="Q57" s="99">
        <v>24</v>
      </c>
      <c r="R57" s="99">
        <v>48</v>
      </c>
      <c r="S57" s="99">
        <v>31</v>
      </c>
      <c r="T57" s="99">
        <v>38</v>
      </c>
      <c r="U57" s="99" t="s">
        <v>652</v>
      </c>
      <c r="V57" s="99">
        <v>36</v>
      </c>
      <c r="W57" s="99">
        <v>40</v>
      </c>
      <c r="X57" s="99">
        <v>56</v>
      </c>
      <c r="Y57" s="99">
        <v>104</v>
      </c>
      <c r="Z57" s="99">
        <v>31</v>
      </c>
      <c r="AA57" s="99" t="s">
        <v>652</v>
      </c>
      <c r="AB57" s="99" t="s">
        <v>652</v>
      </c>
      <c r="AC57" s="99" t="s">
        <v>652</v>
      </c>
      <c r="AD57" s="98" t="s">
        <v>372</v>
      </c>
      <c r="AE57" s="100">
        <v>0.2330111095080075</v>
      </c>
      <c r="AF57" s="100">
        <v>0.07</v>
      </c>
      <c r="AG57" s="98">
        <v>504.9776367046602</v>
      </c>
      <c r="AH57" s="98">
        <v>346.27037945462416</v>
      </c>
      <c r="AI57" s="100">
        <v>0.026000000000000002</v>
      </c>
      <c r="AJ57" s="100">
        <v>0.801444</v>
      </c>
      <c r="AK57" s="100">
        <v>0.84104</v>
      </c>
      <c r="AL57" s="100">
        <v>0.86819</v>
      </c>
      <c r="AM57" s="100">
        <v>0.729524</v>
      </c>
      <c r="AN57" s="100">
        <v>0.755218</v>
      </c>
      <c r="AO57" s="98">
        <v>2986.5820227961335</v>
      </c>
      <c r="AP57" s="158">
        <v>1.304021759</v>
      </c>
      <c r="AQ57" s="100">
        <v>0.11594202898550725</v>
      </c>
      <c r="AR57" s="100">
        <v>0.5</v>
      </c>
      <c r="AS57" s="98">
        <v>447.2659067955562</v>
      </c>
      <c r="AT57" s="98">
        <v>548.2614341364882</v>
      </c>
      <c r="AU57" s="98" t="s">
        <v>652</v>
      </c>
      <c r="AV57" s="98">
        <v>519.4055691819362</v>
      </c>
      <c r="AW57" s="98">
        <v>577.1172990910403</v>
      </c>
      <c r="AX57" s="98">
        <v>807.9642187274563</v>
      </c>
      <c r="AY57" s="98">
        <v>1500.5049776367046</v>
      </c>
      <c r="AZ57" s="98">
        <v>447.2659067955562</v>
      </c>
      <c r="BA57" s="100" t="s">
        <v>652</v>
      </c>
      <c r="BB57" s="100" t="s">
        <v>652</v>
      </c>
      <c r="BC57" s="100" t="s">
        <v>652</v>
      </c>
      <c r="BD57" s="158">
        <v>1.132418747</v>
      </c>
      <c r="BE57" s="158">
        <v>1.494282379</v>
      </c>
      <c r="BF57" s="162">
        <v>1108</v>
      </c>
      <c r="BG57" s="162">
        <v>346</v>
      </c>
      <c r="BH57" s="162">
        <v>1707</v>
      </c>
      <c r="BI57" s="162">
        <v>1050</v>
      </c>
      <c r="BJ57" s="162">
        <v>527</v>
      </c>
      <c r="BK57" s="97"/>
      <c r="BL57" s="97"/>
      <c r="BM57" s="97"/>
      <c r="BN57" s="97"/>
    </row>
    <row r="58" spans="1:66" ht="12.75">
      <c r="A58" s="79" t="s">
        <v>642</v>
      </c>
      <c r="B58" s="79" t="s">
        <v>369</v>
      </c>
      <c r="C58" s="79" t="s">
        <v>243</v>
      </c>
      <c r="D58" s="99">
        <v>2979</v>
      </c>
      <c r="E58" s="99">
        <v>512</v>
      </c>
      <c r="F58" s="99" t="s">
        <v>392</v>
      </c>
      <c r="G58" s="99">
        <v>18</v>
      </c>
      <c r="H58" s="99">
        <v>10</v>
      </c>
      <c r="I58" s="99">
        <v>58</v>
      </c>
      <c r="J58" s="99">
        <v>244</v>
      </c>
      <c r="K58" s="99">
        <v>80</v>
      </c>
      <c r="L58" s="99">
        <v>551</v>
      </c>
      <c r="M58" s="99">
        <v>176</v>
      </c>
      <c r="N58" s="99">
        <v>101</v>
      </c>
      <c r="O58" s="99">
        <v>49</v>
      </c>
      <c r="P58" s="159">
        <v>49</v>
      </c>
      <c r="Q58" s="99">
        <v>6</v>
      </c>
      <c r="R58" s="99">
        <v>17</v>
      </c>
      <c r="S58" s="99">
        <v>7</v>
      </c>
      <c r="T58" s="99">
        <v>8</v>
      </c>
      <c r="U58" s="99" t="s">
        <v>652</v>
      </c>
      <c r="V58" s="99">
        <v>8</v>
      </c>
      <c r="W58" s="99" t="s">
        <v>652</v>
      </c>
      <c r="X58" s="99">
        <v>8</v>
      </c>
      <c r="Y58" s="99">
        <v>34</v>
      </c>
      <c r="Z58" s="99">
        <v>17</v>
      </c>
      <c r="AA58" s="99" t="s">
        <v>652</v>
      </c>
      <c r="AB58" s="99" t="s">
        <v>652</v>
      </c>
      <c r="AC58" s="99" t="s">
        <v>652</v>
      </c>
      <c r="AD58" s="98" t="s">
        <v>372</v>
      </c>
      <c r="AE58" s="100">
        <v>0.17186975495132595</v>
      </c>
      <c r="AF58" s="100">
        <v>0.21</v>
      </c>
      <c r="AG58" s="98">
        <v>604.2296072507553</v>
      </c>
      <c r="AH58" s="98">
        <v>335.6831151393085</v>
      </c>
      <c r="AI58" s="100">
        <v>0.019</v>
      </c>
      <c r="AJ58" s="100">
        <v>0.739394</v>
      </c>
      <c r="AK58" s="100">
        <v>0.747664</v>
      </c>
      <c r="AL58" s="100">
        <v>0.744595</v>
      </c>
      <c r="AM58" s="100">
        <v>0.5</v>
      </c>
      <c r="AN58" s="100">
        <v>0.570621</v>
      </c>
      <c r="AO58" s="98">
        <v>1644.8472641826115</v>
      </c>
      <c r="AP58" s="158">
        <v>0.8776677704</v>
      </c>
      <c r="AQ58" s="100">
        <v>0.12244897959183673</v>
      </c>
      <c r="AR58" s="100">
        <v>0.35294117647058826</v>
      </c>
      <c r="AS58" s="98">
        <v>234.97818059751594</v>
      </c>
      <c r="AT58" s="98">
        <v>268.5464921114468</v>
      </c>
      <c r="AU58" s="98" t="s">
        <v>652</v>
      </c>
      <c r="AV58" s="98">
        <v>268.5464921114468</v>
      </c>
      <c r="AW58" s="98" t="s">
        <v>652</v>
      </c>
      <c r="AX58" s="98">
        <v>268.5464921114468</v>
      </c>
      <c r="AY58" s="98">
        <v>1141.3225914736488</v>
      </c>
      <c r="AZ58" s="98">
        <v>570.6612957368244</v>
      </c>
      <c r="BA58" s="100" t="s">
        <v>652</v>
      </c>
      <c r="BB58" s="100" t="s">
        <v>652</v>
      </c>
      <c r="BC58" s="100" t="s">
        <v>652</v>
      </c>
      <c r="BD58" s="158">
        <v>0.6493034363</v>
      </c>
      <c r="BE58" s="158">
        <v>1.160323334</v>
      </c>
      <c r="BF58" s="162">
        <v>330</v>
      </c>
      <c r="BG58" s="162">
        <v>107</v>
      </c>
      <c r="BH58" s="162">
        <v>740</v>
      </c>
      <c r="BI58" s="162">
        <v>352</v>
      </c>
      <c r="BJ58" s="162">
        <v>177</v>
      </c>
      <c r="BK58" s="97"/>
      <c r="BL58" s="97"/>
      <c r="BM58" s="97"/>
      <c r="BN58" s="97"/>
    </row>
    <row r="59" spans="1:66" ht="12.75">
      <c r="A59" s="79" t="s">
        <v>572</v>
      </c>
      <c r="B59" s="79" t="s">
        <v>297</v>
      </c>
      <c r="C59" s="79" t="s">
        <v>243</v>
      </c>
      <c r="D59" s="99">
        <v>9898</v>
      </c>
      <c r="E59" s="99">
        <v>1874</v>
      </c>
      <c r="F59" s="99" t="s">
        <v>395</v>
      </c>
      <c r="G59" s="99">
        <v>60</v>
      </c>
      <c r="H59" s="99">
        <v>27</v>
      </c>
      <c r="I59" s="99">
        <v>171</v>
      </c>
      <c r="J59" s="99">
        <v>952</v>
      </c>
      <c r="K59" s="99">
        <v>331</v>
      </c>
      <c r="L59" s="99">
        <v>1879</v>
      </c>
      <c r="M59" s="99">
        <v>710</v>
      </c>
      <c r="N59" s="99">
        <v>392</v>
      </c>
      <c r="O59" s="99">
        <v>192</v>
      </c>
      <c r="P59" s="159">
        <v>192</v>
      </c>
      <c r="Q59" s="99">
        <v>30</v>
      </c>
      <c r="R59" s="99">
        <v>61</v>
      </c>
      <c r="S59" s="99">
        <v>26</v>
      </c>
      <c r="T59" s="99">
        <v>26</v>
      </c>
      <c r="U59" s="99" t="s">
        <v>652</v>
      </c>
      <c r="V59" s="99">
        <v>39</v>
      </c>
      <c r="W59" s="99">
        <v>33</v>
      </c>
      <c r="X59" s="99">
        <v>30</v>
      </c>
      <c r="Y59" s="99">
        <v>109</v>
      </c>
      <c r="Z59" s="99">
        <v>66</v>
      </c>
      <c r="AA59" s="99" t="s">
        <v>652</v>
      </c>
      <c r="AB59" s="99" t="s">
        <v>652</v>
      </c>
      <c r="AC59" s="99" t="s">
        <v>652</v>
      </c>
      <c r="AD59" s="98" t="s">
        <v>372</v>
      </c>
      <c r="AE59" s="100">
        <v>0.18933117801576077</v>
      </c>
      <c r="AF59" s="100">
        <v>0.13</v>
      </c>
      <c r="AG59" s="98">
        <v>606.1830672863205</v>
      </c>
      <c r="AH59" s="98">
        <v>272.7823802788442</v>
      </c>
      <c r="AI59" s="100">
        <v>0.017</v>
      </c>
      <c r="AJ59" s="100">
        <v>0.779689</v>
      </c>
      <c r="AK59" s="100">
        <v>0.809291</v>
      </c>
      <c r="AL59" s="100">
        <v>0.792159</v>
      </c>
      <c r="AM59" s="100">
        <v>0.626102</v>
      </c>
      <c r="AN59" s="100">
        <v>0.672384</v>
      </c>
      <c r="AO59" s="98">
        <v>1939.7858153162256</v>
      </c>
      <c r="AP59" s="158">
        <v>0.992644577</v>
      </c>
      <c r="AQ59" s="100">
        <v>0.15625</v>
      </c>
      <c r="AR59" s="100">
        <v>0.4918032786885246</v>
      </c>
      <c r="AS59" s="98">
        <v>262.67932915740556</v>
      </c>
      <c r="AT59" s="98">
        <v>262.67932915740556</v>
      </c>
      <c r="AU59" s="98" t="s">
        <v>652</v>
      </c>
      <c r="AV59" s="98">
        <v>394.0189937361083</v>
      </c>
      <c r="AW59" s="98">
        <v>333.4006870074763</v>
      </c>
      <c r="AX59" s="98">
        <v>303.09153364316023</v>
      </c>
      <c r="AY59" s="98">
        <v>1101.2325722368155</v>
      </c>
      <c r="AZ59" s="98">
        <v>666.8013740149526</v>
      </c>
      <c r="BA59" s="100" t="s">
        <v>652</v>
      </c>
      <c r="BB59" s="100" t="s">
        <v>652</v>
      </c>
      <c r="BC59" s="100" t="s">
        <v>652</v>
      </c>
      <c r="BD59" s="158">
        <v>0.8571958922999999</v>
      </c>
      <c r="BE59" s="158">
        <v>1.143418655</v>
      </c>
      <c r="BF59" s="162">
        <v>1221</v>
      </c>
      <c r="BG59" s="162">
        <v>409</v>
      </c>
      <c r="BH59" s="162">
        <v>2372</v>
      </c>
      <c r="BI59" s="162">
        <v>1134</v>
      </c>
      <c r="BJ59" s="162">
        <v>583</v>
      </c>
      <c r="BK59" s="97"/>
      <c r="BL59" s="97"/>
      <c r="BM59" s="97"/>
      <c r="BN59" s="97"/>
    </row>
    <row r="60" spans="1:66" ht="12.75">
      <c r="A60" s="79" t="s">
        <v>582</v>
      </c>
      <c r="B60" s="79" t="s">
        <v>308</v>
      </c>
      <c r="C60" s="79" t="s">
        <v>243</v>
      </c>
      <c r="D60" s="99">
        <v>7444</v>
      </c>
      <c r="E60" s="99">
        <v>1711</v>
      </c>
      <c r="F60" s="99" t="s">
        <v>394</v>
      </c>
      <c r="G60" s="99">
        <v>40</v>
      </c>
      <c r="H60" s="99">
        <v>28</v>
      </c>
      <c r="I60" s="99">
        <v>159</v>
      </c>
      <c r="J60" s="99">
        <v>815</v>
      </c>
      <c r="K60" s="99">
        <v>272</v>
      </c>
      <c r="L60" s="99">
        <v>1380</v>
      </c>
      <c r="M60" s="99">
        <v>645</v>
      </c>
      <c r="N60" s="99">
        <v>340</v>
      </c>
      <c r="O60" s="99">
        <v>131</v>
      </c>
      <c r="P60" s="159">
        <v>131</v>
      </c>
      <c r="Q60" s="99">
        <v>21</v>
      </c>
      <c r="R60" s="99">
        <v>47</v>
      </c>
      <c r="S60" s="99">
        <v>28</v>
      </c>
      <c r="T60" s="99">
        <v>30</v>
      </c>
      <c r="U60" s="99" t="s">
        <v>652</v>
      </c>
      <c r="V60" s="99">
        <v>14</v>
      </c>
      <c r="W60" s="99">
        <v>31</v>
      </c>
      <c r="X60" s="99">
        <v>30</v>
      </c>
      <c r="Y60" s="99">
        <v>65</v>
      </c>
      <c r="Z60" s="99">
        <v>29</v>
      </c>
      <c r="AA60" s="99" t="s">
        <v>652</v>
      </c>
      <c r="AB60" s="99" t="s">
        <v>652</v>
      </c>
      <c r="AC60" s="99" t="s">
        <v>652</v>
      </c>
      <c r="AD60" s="98" t="s">
        <v>372</v>
      </c>
      <c r="AE60" s="100">
        <v>0.22984954325631382</v>
      </c>
      <c r="AF60" s="100">
        <v>0.11</v>
      </c>
      <c r="AG60" s="98">
        <v>537.345513164965</v>
      </c>
      <c r="AH60" s="98">
        <v>376.14185921547556</v>
      </c>
      <c r="AI60" s="100">
        <v>0.021</v>
      </c>
      <c r="AJ60" s="100">
        <v>0.773245</v>
      </c>
      <c r="AK60" s="100">
        <v>0.786127</v>
      </c>
      <c r="AL60" s="100">
        <v>0.781427</v>
      </c>
      <c r="AM60" s="100">
        <v>0.623791</v>
      </c>
      <c r="AN60" s="100">
        <v>0.665362</v>
      </c>
      <c r="AO60" s="98">
        <v>1759.8065556152605</v>
      </c>
      <c r="AP60" s="158">
        <v>0.8031565856999999</v>
      </c>
      <c r="AQ60" s="100">
        <v>0.16030534351145037</v>
      </c>
      <c r="AR60" s="100">
        <v>0.44680851063829785</v>
      </c>
      <c r="AS60" s="98">
        <v>376.14185921547556</v>
      </c>
      <c r="AT60" s="98">
        <v>403.0091348737238</v>
      </c>
      <c r="AU60" s="98" t="s">
        <v>652</v>
      </c>
      <c r="AV60" s="98">
        <v>188.07092960773778</v>
      </c>
      <c r="AW60" s="98">
        <v>416.44277270284795</v>
      </c>
      <c r="AX60" s="98">
        <v>403.0091348737238</v>
      </c>
      <c r="AY60" s="98">
        <v>873.1864588930682</v>
      </c>
      <c r="AZ60" s="98">
        <v>389.5754970445997</v>
      </c>
      <c r="BA60" s="100" t="s">
        <v>652</v>
      </c>
      <c r="BB60" s="100" t="s">
        <v>652</v>
      </c>
      <c r="BC60" s="100" t="s">
        <v>652</v>
      </c>
      <c r="BD60" s="158">
        <v>0.6715174866</v>
      </c>
      <c r="BE60" s="158">
        <v>0.9530584717</v>
      </c>
      <c r="BF60" s="162">
        <v>1054</v>
      </c>
      <c r="BG60" s="162">
        <v>346</v>
      </c>
      <c r="BH60" s="162">
        <v>1766</v>
      </c>
      <c r="BI60" s="162">
        <v>1034</v>
      </c>
      <c r="BJ60" s="162">
        <v>511</v>
      </c>
      <c r="BK60" s="97"/>
      <c r="BL60" s="97"/>
      <c r="BM60" s="97"/>
      <c r="BN60" s="97"/>
    </row>
    <row r="61" spans="1:66" ht="12.75">
      <c r="A61" s="79" t="s">
        <v>611</v>
      </c>
      <c r="B61" s="79" t="s">
        <v>338</v>
      </c>
      <c r="C61" s="79" t="s">
        <v>243</v>
      </c>
      <c r="D61" s="99">
        <v>7318</v>
      </c>
      <c r="E61" s="99">
        <v>1801</v>
      </c>
      <c r="F61" s="99" t="s">
        <v>395</v>
      </c>
      <c r="G61" s="99">
        <v>40</v>
      </c>
      <c r="H61" s="99">
        <v>27</v>
      </c>
      <c r="I61" s="99">
        <v>171</v>
      </c>
      <c r="J61" s="99">
        <v>855</v>
      </c>
      <c r="K61" s="99">
        <v>221</v>
      </c>
      <c r="L61" s="99">
        <v>1338</v>
      </c>
      <c r="M61" s="99">
        <v>719</v>
      </c>
      <c r="N61" s="99">
        <v>372</v>
      </c>
      <c r="O61" s="99">
        <v>179</v>
      </c>
      <c r="P61" s="159">
        <v>179</v>
      </c>
      <c r="Q61" s="99">
        <v>16</v>
      </c>
      <c r="R61" s="99">
        <v>42</v>
      </c>
      <c r="S61" s="99">
        <v>45</v>
      </c>
      <c r="T61" s="99">
        <v>39</v>
      </c>
      <c r="U61" s="99" t="s">
        <v>652</v>
      </c>
      <c r="V61" s="99">
        <v>21</v>
      </c>
      <c r="W61" s="99">
        <v>36</v>
      </c>
      <c r="X61" s="99">
        <v>46</v>
      </c>
      <c r="Y61" s="99">
        <v>85</v>
      </c>
      <c r="Z61" s="99">
        <v>45</v>
      </c>
      <c r="AA61" s="99" t="s">
        <v>652</v>
      </c>
      <c r="AB61" s="99" t="s">
        <v>652</v>
      </c>
      <c r="AC61" s="99" t="s">
        <v>652</v>
      </c>
      <c r="AD61" s="98" t="s">
        <v>372</v>
      </c>
      <c r="AE61" s="100">
        <v>0.24610549330418147</v>
      </c>
      <c r="AF61" s="100">
        <v>0.13</v>
      </c>
      <c r="AG61" s="98">
        <v>546.5974309920744</v>
      </c>
      <c r="AH61" s="98">
        <v>368.95326591965016</v>
      </c>
      <c r="AI61" s="100">
        <v>0.023</v>
      </c>
      <c r="AJ61" s="100">
        <v>0.785846</v>
      </c>
      <c r="AK61" s="100">
        <v>0.770035</v>
      </c>
      <c r="AL61" s="100">
        <v>0.775652</v>
      </c>
      <c r="AM61" s="100">
        <v>0.645422</v>
      </c>
      <c r="AN61" s="100">
        <v>0.678832</v>
      </c>
      <c r="AO61" s="98">
        <v>2446.023503689533</v>
      </c>
      <c r="AP61" s="158">
        <v>1.07565094</v>
      </c>
      <c r="AQ61" s="100">
        <v>0.0893854748603352</v>
      </c>
      <c r="AR61" s="100">
        <v>0.38095238095238093</v>
      </c>
      <c r="AS61" s="98">
        <v>614.9221098660836</v>
      </c>
      <c r="AT61" s="98">
        <v>532.9324952172725</v>
      </c>
      <c r="AU61" s="98" t="s">
        <v>652</v>
      </c>
      <c r="AV61" s="98">
        <v>286.963651270839</v>
      </c>
      <c r="AW61" s="98">
        <v>491.9376878928669</v>
      </c>
      <c r="AX61" s="98">
        <v>628.5870456408854</v>
      </c>
      <c r="AY61" s="98">
        <v>1161.519540858158</v>
      </c>
      <c r="AZ61" s="98">
        <v>614.9221098660836</v>
      </c>
      <c r="BA61" s="100" t="s">
        <v>652</v>
      </c>
      <c r="BB61" s="100" t="s">
        <v>652</v>
      </c>
      <c r="BC61" s="100" t="s">
        <v>652</v>
      </c>
      <c r="BD61" s="158">
        <v>0.9238404083</v>
      </c>
      <c r="BE61" s="158">
        <v>1.24528923</v>
      </c>
      <c r="BF61" s="162">
        <v>1088</v>
      </c>
      <c r="BG61" s="162">
        <v>287</v>
      </c>
      <c r="BH61" s="162">
        <v>1725</v>
      </c>
      <c r="BI61" s="162">
        <v>1114</v>
      </c>
      <c r="BJ61" s="162">
        <v>548</v>
      </c>
      <c r="BK61" s="97"/>
      <c r="BL61" s="97"/>
      <c r="BM61" s="97"/>
      <c r="BN61" s="97"/>
    </row>
    <row r="62" spans="1:66" ht="12.75">
      <c r="A62" s="79" t="s">
        <v>638</v>
      </c>
      <c r="B62" s="79" t="s">
        <v>365</v>
      </c>
      <c r="C62" s="79" t="s">
        <v>243</v>
      </c>
      <c r="D62" s="99">
        <v>5359</v>
      </c>
      <c r="E62" s="99">
        <v>1421</v>
      </c>
      <c r="F62" s="99" t="s">
        <v>395</v>
      </c>
      <c r="G62" s="99">
        <v>31</v>
      </c>
      <c r="H62" s="99">
        <v>14</v>
      </c>
      <c r="I62" s="99">
        <v>153</v>
      </c>
      <c r="J62" s="99">
        <v>684</v>
      </c>
      <c r="K62" s="99">
        <v>200</v>
      </c>
      <c r="L62" s="99">
        <v>973</v>
      </c>
      <c r="M62" s="99">
        <v>528</v>
      </c>
      <c r="N62" s="99">
        <v>295</v>
      </c>
      <c r="O62" s="99">
        <v>139</v>
      </c>
      <c r="P62" s="159">
        <v>139</v>
      </c>
      <c r="Q62" s="99">
        <v>14</v>
      </c>
      <c r="R62" s="99">
        <v>35</v>
      </c>
      <c r="S62" s="99">
        <v>17</v>
      </c>
      <c r="T62" s="99">
        <v>28</v>
      </c>
      <c r="U62" s="99" t="s">
        <v>652</v>
      </c>
      <c r="V62" s="99">
        <v>26</v>
      </c>
      <c r="W62" s="99">
        <v>82</v>
      </c>
      <c r="X62" s="99">
        <v>20</v>
      </c>
      <c r="Y62" s="99">
        <v>63</v>
      </c>
      <c r="Z62" s="99">
        <v>46</v>
      </c>
      <c r="AA62" s="99" t="s">
        <v>652</v>
      </c>
      <c r="AB62" s="99" t="s">
        <v>652</v>
      </c>
      <c r="AC62" s="99" t="s">
        <v>652</v>
      </c>
      <c r="AD62" s="98" t="s">
        <v>372</v>
      </c>
      <c r="AE62" s="100">
        <v>0.26516141071095356</v>
      </c>
      <c r="AF62" s="100">
        <v>0.13</v>
      </c>
      <c r="AG62" s="98">
        <v>578.4661317409965</v>
      </c>
      <c r="AH62" s="98">
        <v>261.2427691733532</v>
      </c>
      <c r="AI62" s="100">
        <v>0.028999999999999998</v>
      </c>
      <c r="AJ62" s="100">
        <v>0.779932</v>
      </c>
      <c r="AK62" s="100">
        <v>0.784314</v>
      </c>
      <c r="AL62" s="100">
        <v>0.798195</v>
      </c>
      <c r="AM62" s="100">
        <v>0.599319</v>
      </c>
      <c r="AN62" s="100">
        <v>0.641304</v>
      </c>
      <c r="AO62" s="98">
        <v>2593.7674939354356</v>
      </c>
      <c r="AP62" s="158">
        <v>1.086743011</v>
      </c>
      <c r="AQ62" s="100">
        <v>0.10071942446043165</v>
      </c>
      <c r="AR62" s="100">
        <v>0.4</v>
      </c>
      <c r="AS62" s="98">
        <v>317.2233625676432</v>
      </c>
      <c r="AT62" s="98">
        <v>522.4855383467064</v>
      </c>
      <c r="AU62" s="98" t="s">
        <v>652</v>
      </c>
      <c r="AV62" s="98">
        <v>485.16514275051316</v>
      </c>
      <c r="AW62" s="98">
        <v>1530.1362194439262</v>
      </c>
      <c r="AX62" s="98">
        <v>373.2039559619332</v>
      </c>
      <c r="AY62" s="98">
        <v>1175.5924612800895</v>
      </c>
      <c r="AZ62" s="98">
        <v>858.3690987124463</v>
      </c>
      <c r="BA62" s="100" t="s">
        <v>652</v>
      </c>
      <c r="BB62" s="100" t="s">
        <v>652</v>
      </c>
      <c r="BC62" s="100" t="s">
        <v>652</v>
      </c>
      <c r="BD62" s="158">
        <v>0.9135958099</v>
      </c>
      <c r="BE62" s="158">
        <v>1.2831600950000002</v>
      </c>
      <c r="BF62" s="162">
        <v>877</v>
      </c>
      <c r="BG62" s="162">
        <v>255</v>
      </c>
      <c r="BH62" s="162">
        <v>1219</v>
      </c>
      <c r="BI62" s="162">
        <v>881</v>
      </c>
      <c r="BJ62" s="162">
        <v>460</v>
      </c>
      <c r="BK62" s="97"/>
      <c r="BL62" s="97"/>
      <c r="BM62" s="97"/>
      <c r="BN62" s="97"/>
    </row>
    <row r="63" spans="1:66" ht="12.75">
      <c r="A63" s="79" t="s">
        <v>625</v>
      </c>
      <c r="B63" s="79" t="s">
        <v>352</v>
      </c>
      <c r="C63" s="79" t="s">
        <v>243</v>
      </c>
      <c r="D63" s="99">
        <v>5569</v>
      </c>
      <c r="E63" s="99">
        <v>579</v>
      </c>
      <c r="F63" s="99" t="s">
        <v>392</v>
      </c>
      <c r="G63" s="99">
        <v>24</v>
      </c>
      <c r="H63" s="99">
        <v>13</v>
      </c>
      <c r="I63" s="99">
        <v>40</v>
      </c>
      <c r="J63" s="99">
        <v>332</v>
      </c>
      <c r="K63" s="99">
        <v>122</v>
      </c>
      <c r="L63" s="99">
        <v>1075</v>
      </c>
      <c r="M63" s="99">
        <v>183</v>
      </c>
      <c r="N63" s="99">
        <v>102</v>
      </c>
      <c r="O63" s="99">
        <v>91</v>
      </c>
      <c r="P63" s="159">
        <v>91</v>
      </c>
      <c r="Q63" s="99" t="s">
        <v>652</v>
      </c>
      <c r="R63" s="99">
        <v>14</v>
      </c>
      <c r="S63" s="99">
        <v>13</v>
      </c>
      <c r="T63" s="99">
        <v>11</v>
      </c>
      <c r="U63" s="99" t="s">
        <v>652</v>
      </c>
      <c r="V63" s="99">
        <v>20</v>
      </c>
      <c r="W63" s="99">
        <v>10</v>
      </c>
      <c r="X63" s="99">
        <v>15</v>
      </c>
      <c r="Y63" s="99">
        <v>62</v>
      </c>
      <c r="Z63" s="99">
        <v>29</v>
      </c>
      <c r="AA63" s="99" t="s">
        <v>652</v>
      </c>
      <c r="AB63" s="99" t="s">
        <v>652</v>
      </c>
      <c r="AC63" s="99" t="s">
        <v>652</v>
      </c>
      <c r="AD63" s="98" t="s">
        <v>372</v>
      </c>
      <c r="AE63" s="100">
        <v>0.10396839648051714</v>
      </c>
      <c r="AF63" s="100">
        <v>0.24</v>
      </c>
      <c r="AG63" s="98">
        <v>430.9570838570659</v>
      </c>
      <c r="AH63" s="98">
        <v>233.43508708924404</v>
      </c>
      <c r="AI63" s="100">
        <v>0.006999999999999999</v>
      </c>
      <c r="AJ63" s="100">
        <v>0.766744</v>
      </c>
      <c r="AK63" s="100">
        <v>0.709302</v>
      </c>
      <c r="AL63" s="100">
        <v>0.772825</v>
      </c>
      <c r="AM63" s="100">
        <v>0.476563</v>
      </c>
      <c r="AN63" s="100">
        <v>0.520408</v>
      </c>
      <c r="AO63" s="98">
        <v>1634.0456096247083</v>
      </c>
      <c r="AP63" s="158">
        <v>1.141681137</v>
      </c>
      <c r="AQ63" s="100" t="s">
        <v>652</v>
      </c>
      <c r="AR63" s="100" t="s">
        <v>652</v>
      </c>
      <c r="AS63" s="98">
        <v>233.43508708924404</v>
      </c>
      <c r="AT63" s="98">
        <v>197.52199676782186</v>
      </c>
      <c r="AU63" s="98" t="s">
        <v>652</v>
      </c>
      <c r="AV63" s="98">
        <v>359.1309032142216</v>
      </c>
      <c r="AW63" s="98">
        <v>179.5654516071108</v>
      </c>
      <c r="AX63" s="98">
        <v>269.3481774106662</v>
      </c>
      <c r="AY63" s="98">
        <v>1113.3057999640869</v>
      </c>
      <c r="AZ63" s="98">
        <v>520.7398096606213</v>
      </c>
      <c r="BA63" s="100" t="s">
        <v>652</v>
      </c>
      <c r="BB63" s="100" t="s">
        <v>652</v>
      </c>
      <c r="BC63" s="100" t="s">
        <v>652</v>
      </c>
      <c r="BD63" s="158">
        <v>0.919210434</v>
      </c>
      <c r="BE63" s="158">
        <v>1.4017314150000002</v>
      </c>
      <c r="BF63" s="162">
        <v>433</v>
      </c>
      <c r="BG63" s="162">
        <v>172</v>
      </c>
      <c r="BH63" s="162">
        <v>1391</v>
      </c>
      <c r="BI63" s="162">
        <v>384</v>
      </c>
      <c r="BJ63" s="162">
        <v>196</v>
      </c>
      <c r="BK63" s="97"/>
      <c r="BL63" s="97"/>
      <c r="BM63" s="97"/>
      <c r="BN63" s="97"/>
    </row>
    <row r="64" spans="1:66" ht="12.75">
      <c r="A64" s="79" t="s">
        <v>581</v>
      </c>
      <c r="B64" s="79" t="s">
        <v>307</v>
      </c>
      <c r="C64" s="79" t="s">
        <v>243</v>
      </c>
      <c r="D64" s="99">
        <v>9438</v>
      </c>
      <c r="E64" s="99">
        <v>1926</v>
      </c>
      <c r="F64" s="99" t="s">
        <v>394</v>
      </c>
      <c r="G64" s="99">
        <v>50</v>
      </c>
      <c r="H64" s="99">
        <v>22</v>
      </c>
      <c r="I64" s="99">
        <v>215</v>
      </c>
      <c r="J64" s="99">
        <v>1268</v>
      </c>
      <c r="K64" s="99">
        <v>476</v>
      </c>
      <c r="L64" s="99">
        <v>1842</v>
      </c>
      <c r="M64" s="99">
        <v>953</v>
      </c>
      <c r="N64" s="99">
        <v>514</v>
      </c>
      <c r="O64" s="99">
        <v>205</v>
      </c>
      <c r="P64" s="159">
        <v>205</v>
      </c>
      <c r="Q64" s="99">
        <v>24</v>
      </c>
      <c r="R64" s="99">
        <v>56</v>
      </c>
      <c r="S64" s="99">
        <v>43</v>
      </c>
      <c r="T64" s="99">
        <v>40</v>
      </c>
      <c r="U64" s="99" t="s">
        <v>652</v>
      </c>
      <c r="V64" s="99">
        <v>49</v>
      </c>
      <c r="W64" s="99">
        <v>37</v>
      </c>
      <c r="X64" s="99">
        <v>53</v>
      </c>
      <c r="Y64" s="99">
        <v>93</v>
      </c>
      <c r="Z64" s="99">
        <v>59</v>
      </c>
      <c r="AA64" s="99" t="s">
        <v>652</v>
      </c>
      <c r="AB64" s="99" t="s">
        <v>652</v>
      </c>
      <c r="AC64" s="99" t="s">
        <v>652</v>
      </c>
      <c r="AD64" s="98" t="s">
        <v>372</v>
      </c>
      <c r="AE64" s="100">
        <v>0.20406865861411316</v>
      </c>
      <c r="AF64" s="100">
        <v>0.1</v>
      </c>
      <c r="AG64" s="98">
        <v>529.7732570459843</v>
      </c>
      <c r="AH64" s="98">
        <v>233.1002331002331</v>
      </c>
      <c r="AI64" s="100">
        <v>0.023</v>
      </c>
      <c r="AJ64" s="100">
        <v>0.813864</v>
      </c>
      <c r="AK64" s="100">
        <v>0.80678</v>
      </c>
      <c r="AL64" s="100">
        <v>0.794308</v>
      </c>
      <c r="AM64" s="100">
        <v>0.61843</v>
      </c>
      <c r="AN64" s="100">
        <v>0.673657</v>
      </c>
      <c r="AO64" s="98">
        <v>2172.070353888536</v>
      </c>
      <c r="AP64" s="158">
        <v>1.00162117</v>
      </c>
      <c r="AQ64" s="100">
        <v>0.11707317073170732</v>
      </c>
      <c r="AR64" s="100">
        <v>0.42857142857142855</v>
      </c>
      <c r="AS64" s="98">
        <v>455.6050010595465</v>
      </c>
      <c r="AT64" s="98">
        <v>423.8186056367875</v>
      </c>
      <c r="AU64" s="98" t="s">
        <v>652</v>
      </c>
      <c r="AV64" s="98">
        <v>519.1777919050646</v>
      </c>
      <c r="AW64" s="98">
        <v>392.0322102140284</v>
      </c>
      <c r="AX64" s="98">
        <v>561.5596524687434</v>
      </c>
      <c r="AY64" s="98">
        <v>985.3782581055308</v>
      </c>
      <c r="AZ64" s="98">
        <v>625.1324433142615</v>
      </c>
      <c r="BA64" s="100" t="s">
        <v>652</v>
      </c>
      <c r="BB64" s="100" t="s">
        <v>652</v>
      </c>
      <c r="BC64" s="100" t="s">
        <v>652</v>
      </c>
      <c r="BD64" s="158">
        <v>0.8691941833</v>
      </c>
      <c r="BE64" s="158">
        <v>1.148520508</v>
      </c>
      <c r="BF64" s="162">
        <v>1558</v>
      </c>
      <c r="BG64" s="162">
        <v>590</v>
      </c>
      <c r="BH64" s="162">
        <v>2319</v>
      </c>
      <c r="BI64" s="162">
        <v>1541</v>
      </c>
      <c r="BJ64" s="162">
        <v>763</v>
      </c>
      <c r="BK64" s="97"/>
      <c r="BL64" s="97"/>
      <c r="BM64" s="97"/>
      <c r="BN64" s="97"/>
    </row>
    <row r="65" spans="1:66" ht="12.75">
      <c r="A65" s="79" t="s">
        <v>575</v>
      </c>
      <c r="B65" s="79" t="s">
        <v>300</v>
      </c>
      <c r="C65" s="79" t="s">
        <v>243</v>
      </c>
      <c r="D65" s="99">
        <v>9678</v>
      </c>
      <c r="E65" s="99">
        <v>1756</v>
      </c>
      <c r="F65" s="99" t="s">
        <v>394</v>
      </c>
      <c r="G65" s="99">
        <v>53</v>
      </c>
      <c r="H65" s="99">
        <v>33</v>
      </c>
      <c r="I65" s="99">
        <v>121</v>
      </c>
      <c r="J65" s="99">
        <v>948</v>
      </c>
      <c r="K65" s="99">
        <v>317</v>
      </c>
      <c r="L65" s="99">
        <v>2040</v>
      </c>
      <c r="M65" s="99">
        <v>742</v>
      </c>
      <c r="N65" s="99">
        <v>393</v>
      </c>
      <c r="O65" s="99">
        <v>266</v>
      </c>
      <c r="P65" s="159">
        <v>266</v>
      </c>
      <c r="Q65" s="99">
        <v>32</v>
      </c>
      <c r="R65" s="99">
        <v>66</v>
      </c>
      <c r="S65" s="99">
        <v>40</v>
      </c>
      <c r="T65" s="99">
        <v>25</v>
      </c>
      <c r="U65" s="99" t="s">
        <v>652</v>
      </c>
      <c r="V65" s="99">
        <v>52</v>
      </c>
      <c r="W65" s="99">
        <v>38</v>
      </c>
      <c r="X65" s="99">
        <v>47</v>
      </c>
      <c r="Y65" s="99">
        <v>122</v>
      </c>
      <c r="Z65" s="99">
        <v>76</v>
      </c>
      <c r="AA65" s="99" t="s">
        <v>652</v>
      </c>
      <c r="AB65" s="99" t="s">
        <v>652</v>
      </c>
      <c r="AC65" s="99" t="s">
        <v>652</v>
      </c>
      <c r="AD65" s="98" t="s">
        <v>372</v>
      </c>
      <c r="AE65" s="100">
        <v>0.18144244678652613</v>
      </c>
      <c r="AF65" s="100">
        <v>0.12</v>
      </c>
      <c r="AG65" s="98">
        <v>547.6338086381484</v>
      </c>
      <c r="AH65" s="98">
        <v>340.97954122752634</v>
      </c>
      <c r="AI65" s="100">
        <v>0.013000000000000001</v>
      </c>
      <c r="AJ65" s="100">
        <v>0.784768</v>
      </c>
      <c r="AK65" s="100">
        <v>0.823377</v>
      </c>
      <c r="AL65" s="100">
        <v>0.798747</v>
      </c>
      <c r="AM65" s="100">
        <v>0.653744</v>
      </c>
      <c r="AN65" s="100">
        <v>0.699288</v>
      </c>
      <c r="AO65" s="98">
        <v>2748.501756561273</v>
      </c>
      <c r="AP65" s="158">
        <v>1.412372894</v>
      </c>
      <c r="AQ65" s="100">
        <v>0.12030075187969924</v>
      </c>
      <c r="AR65" s="100">
        <v>0.48484848484848486</v>
      </c>
      <c r="AS65" s="98">
        <v>413.30853482124405</v>
      </c>
      <c r="AT65" s="98">
        <v>258.3178342632775</v>
      </c>
      <c r="AU65" s="98" t="s">
        <v>652</v>
      </c>
      <c r="AV65" s="98">
        <v>537.3010952676173</v>
      </c>
      <c r="AW65" s="98">
        <v>392.64310808018183</v>
      </c>
      <c r="AX65" s="98">
        <v>485.63752841496176</v>
      </c>
      <c r="AY65" s="98">
        <v>1260.5910312047945</v>
      </c>
      <c r="AZ65" s="98">
        <v>785.2862161603637</v>
      </c>
      <c r="BA65" s="100" t="s">
        <v>652</v>
      </c>
      <c r="BB65" s="100" t="s">
        <v>652</v>
      </c>
      <c r="BC65" s="100" t="s">
        <v>652</v>
      </c>
      <c r="BD65" s="158">
        <v>1.24772728</v>
      </c>
      <c r="BE65" s="158">
        <v>1.5927024840000001</v>
      </c>
      <c r="BF65" s="162">
        <v>1208</v>
      </c>
      <c r="BG65" s="162">
        <v>385</v>
      </c>
      <c r="BH65" s="162">
        <v>2554</v>
      </c>
      <c r="BI65" s="162">
        <v>1135</v>
      </c>
      <c r="BJ65" s="162">
        <v>562</v>
      </c>
      <c r="BK65" s="97"/>
      <c r="BL65" s="97"/>
      <c r="BM65" s="97"/>
      <c r="BN65" s="97"/>
    </row>
    <row r="66" spans="1:66" ht="12.75">
      <c r="A66" s="79" t="s">
        <v>635</v>
      </c>
      <c r="B66" s="79" t="s">
        <v>362</v>
      </c>
      <c r="C66" s="79" t="s">
        <v>243</v>
      </c>
      <c r="D66" s="99">
        <v>1932</v>
      </c>
      <c r="E66" s="99">
        <v>427</v>
      </c>
      <c r="F66" s="99" t="s">
        <v>396</v>
      </c>
      <c r="G66" s="99">
        <v>8</v>
      </c>
      <c r="H66" s="99" t="s">
        <v>652</v>
      </c>
      <c r="I66" s="99">
        <v>36</v>
      </c>
      <c r="J66" s="99">
        <v>218</v>
      </c>
      <c r="K66" s="99">
        <v>72</v>
      </c>
      <c r="L66" s="99">
        <v>396</v>
      </c>
      <c r="M66" s="99">
        <v>173</v>
      </c>
      <c r="N66" s="99">
        <v>87</v>
      </c>
      <c r="O66" s="99">
        <v>21</v>
      </c>
      <c r="P66" s="159">
        <v>21</v>
      </c>
      <c r="Q66" s="99">
        <v>8</v>
      </c>
      <c r="R66" s="99">
        <v>16</v>
      </c>
      <c r="S66" s="99" t="s">
        <v>652</v>
      </c>
      <c r="T66" s="99" t="s">
        <v>652</v>
      </c>
      <c r="U66" s="99" t="s">
        <v>652</v>
      </c>
      <c r="V66" s="99" t="s">
        <v>652</v>
      </c>
      <c r="W66" s="99" t="s">
        <v>652</v>
      </c>
      <c r="X66" s="99">
        <v>14</v>
      </c>
      <c r="Y66" s="99">
        <v>16</v>
      </c>
      <c r="Z66" s="99">
        <v>10</v>
      </c>
      <c r="AA66" s="99" t="s">
        <v>652</v>
      </c>
      <c r="AB66" s="99" t="s">
        <v>652</v>
      </c>
      <c r="AC66" s="99" t="s">
        <v>652</v>
      </c>
      <c r="AD66" s="98" t="s">
        <v>372</v>
      </c>
      <c r="AE66" s="100">
        <v>0.2210144927536232</v>
      </c>
      <c r="AF66" s="100">
        <v>0.07</v>
      </c>
      <c r="AG66" s="98">
        <v>414.0786749482402</v>
      </c>
      <c r="AH66" s="98" t="s">
        <v>652</v>
      </c>
      <c r="AI66" s="100">
        <v>0.019</v>
      </c>
      <c r="AJ66" s="100">
        <v>0.804428</v>
      </c>
      <c r="AK66" s="100">
        <v>0.782609</v>
      </c>
      <c r="AL66" s="100">
        <v>0.821577</v>
      </c>
      <c r="AM66" s="100">
        <v>0.622302</v>
      </c>
      <c r="AN66" s="100">
        <v>0.719008</v>
      </c>
      <c r="AO66" s="98">
        <v>1086.9565217391305</v>
      </c>
      <c r="AP66" s="158">
        <v>0.5063463593</v>
      </c>
      <c r="AQ66" s="100">
        <v>0.38095238095238093</v>
      </c>
      <c r="AR66" s="100">
        <v>0.5</v>
      </c>
      <c r="AS66" s="98" t="s">
        <v>652</v>
      </c>
      <c r="AT66" s="98" t="s">
        <v>652</v>
      </c>
      <c r="AU66" s="98" t="s">
        <v>652</v>
      </c>
      <c r="AV66" s="98" t="s">
        <v>652</v>
      </c>
      <c r="AW66" s="98" t="s">
        <v>652</v>
      </c>
      <c r="AX66" s="98">
        <v>724.6376811594203</v>
      </c>
      <c r="AY66" s="98">
        <v>828.1573498964804</v>
      </c>
      <c r="AZ66" s="98">
        <v>517.5983436853002</v>
      </c>
      <c r="BA66" s="100" t="s">
        <v>652</v>
      </c>
      <c r="BB66" s="100" t="s">
        <v>652</v>
      </c>
      <c r="BC66" s="100" t="s">
        <v>652</v>
      </c>
      <c r="BD66" s="158">
        <v>0.3134363747</v>
      </c>
      <c r="BE66" s="158">
        <v>0.7740042114000001</v>
      </c>
      <c r="BF66" s="162">
        <v>271</v>
      </c>
      <c r="BG66" s="162">
        <v>92</v>
      </c>
      <c r="BH66" s="162">
        <v>482</v>
      </c>
      <c r="BI66" s="162">
        <v>278</v>
      </c>
      <c r="BJ66" s="162">
        <v>121</v>
      </c>
      <c r="BK66" s="97"/>
      <c r="BL66" s="97"/>
      <c r="BM66" s="97"/>
      <c r="BN66" s="97"/>
    </row>
    <row r="67" spans="1:66" ht="12.75">
      <c r="A67" s="79" t="s">
        <v>591</v>
      </c>
      <c r="B67" s="79" t="s">
        <v>317</v>
      </c>
      <c r="C67" s="79" t="s">
        <v>243</v>
      </c>
      <c r="D67" s="99">
        <v>11230</v>
      </c>
      <c r="E67" s="99">
        <v>1571</v>
      </c>
      <c r="F67" s="99" t="s">
        <v>395</v>
      </c>
      <c r="G67" s="99">
        <v>54</v>
      </c>
      <c r="H67" s="99">
        <v>24</v>
      </c>
      <c r="I67" s="99">
        <v>240</v>
      </c>
      <c r="J67" s="99">
        <v>938</v>
      </c>
      <c r="K67" s="99">
        <v>449</v>
      </c>
      <c r="L67" s="99">
        <v>1886</v>
      </c>
      <c r="M67" s="99">
        <v>656</v>
      </c>
      <c r="N67" s="99">
        <v>341</v>
      </c>
      <c r="O67" s="99">
        <v>187</v>
      </c>
      <c r="P67" s="159">
        <v>187</v>
      </c>
      <c r="Q67" s="99">
        <v>25</v>
      </c>
      <c r="R67" s="99">
        <v>47</v>
      </c>
      <c r="S67" s="99">
        <v>38</v>
      </c>
      <c r="T67" s="99">
        <v>30</v>
      </c>
      <c r="U67" s="99" t="s">
        <v>652</v>
      </c>
      <c r="V67" s="99">
        <v>29</v>
      </c>
      <c r="W67" s="99">
        <v>8</v>
      </c>
      <c r="X67" s="99">
        <v>7</v>
      </c>
      <c r="Y67" s="99">
        <v>22</v>
      </c>
      <c r="Z67" s="99">
        <v>69</v>
      </c>
      <c r="AA67" s="99" t="s">
        <v>652</v>
      </c>
      <c r="AB67" s="99" t="s">
        <v>652</v>
      </c>
      <c r="AC67" s="99" t="s">
        <v>652</v>
      </c>
      <c r="AD67" s="98" t="s">
        <v>372</v>
      </c>
      <c r="AE67" s="100">
        <v>0.13989314336598396</v>
      </c>
      <c r="AF67" s="100">
        <v>0.15</v>
      </c>
      <c r="AG67" s="98">
        <v>480.8548530721282</v>
      </c>
      <c r="AH67" s="98">
        <v>213.713268032057</v>
      </c>
      <c r="AI67" s="100">
        <v>0.021</v>
      </c>
      <c r="AJ67" s="100">
        <v>0.733385</v>
      </c>
      <c r="AK67" s="100">
        <v>0.73127</v>
      </c>
      <c r="AL67" s="100">
        <v>0.678906</v>
      </c>
      <c r="AM67" s="100">
        <v>0.557823</v>
      </c>
      <c r="AN67" s="100">
        <v>0.587931</v>
      </c>
      <c r="AO67" s="98">
        <v>1665.1825467497774</v>
      </c>
      <c r="AP67" s="158">
        <v>0.9783422089</v>
      </c>
      <c r="AQ67" s="100">
        <v>0.13368983957219252</v>
      </c>
      <c r="AR67" s="100">
        <v>0.5319148936170213</v>
      </c>
      <c r="AS67" s="98">
        <v>338.3793410507569</v>
      </c>
      <c r="AT67" s="98">
        <v>267.1415850400712</v>
      </c>
      <c r="AU67" s="98" t="s">
        <v>652</v>
      </c>
      <c r="AV67" s="98">
        <v>258.2368655387355</v>
      </c>
      <c r="AW67" s="98">
        <v>71.23775601068566</v>
      </c>
      <c r="AX67" s="98">
        <v>62.33303650934995</v>
      </c>
      <c r="AY67" s="98">
        <v>195.90382902938558</v>
      </c>
      <c r="AZ67" s="98">
        <v>614.4256455921638</v>
      </c>
      <c r="BA67" s="101" t="s">
        <v>652</v>
      </c>
      <c r="BB67" s="101" t="s">
        <v>652</v>
      </c>
      <c r="BC67" s="101" t="s">
        <v>652</v>
      </c>
      <c r="BD67" s="158">
        <v>0.8431387329000001</v>
      </c>
      <c r="BE67" s="158">
        <v>1.129058914</v>
      </c>
      <c r="BF67" s="162">
        <v>1279</v>
      </c>
      <c r="BG67" s="162">
        <v>614</v>
      </c>
      <c r="BH67" s="162">
        <v>2778</v>
      </c>
      <c r="BI67" s="162">
        <v>1176</v>
      </c>
      <c r="BJ67" s="162">
        <v>580</v>
      </c>
      <c r="BK67" s="97"/>
      <c r="BL67" s="97"/>
      <c r="BM67" s="97"/>
      <c r="BN67" s="97"/>
    </row>
    <row r="68" spans="1:66" ht="12.75">
      <c r="A68" s="79" t="s">
        <v>561</v>
      </c>
      <c r="B68" s="79" t="s">
        <v>285</v>
      </c>
      <c r="C68" s="79" t="s">
        <v>243</v>
      </c>
      <c r="D68" s="99">
        <v>10100</v>
      </c>
      <c r="E68" s="99">
        <v>3486</v>
      </c>
      <c r="F68" s="99" t="s">
        <v>394</v>
      </c>
      <c r="G68" s="99">
        <v>78</v>
      </c>
      <c r="H68" s="99">
        <v>43</v>
      </c>
      <c r="I68" s="99">
        <v>338</v>
      </c>
      <c r="J68" s="99">
        <v>1315</v>
      </c>
      <c r="K68" s="99">
        <v>467</v>
      </c>
      <c r="L68" s="99">
        <v>1526</v>
      </c>
      <c r="M68" s="99">
        <v>1155</v>
      </c>
      <c r="N68" s="99">
        <v>590</v>
      </c>
      <c r="O68" s="99">
        <v>424</v>
      </c>
      <c r="P68" s="159">
        <v>424</v>
      </c>
      <c r="Q68" s="99">
        <v>46</v>
      </c>
      <c r="R68" s="99">
        <v>89</v>
      </c>
      <c r="S68" s="99">
        <v>46</v>
      </c>
      <c r="T68" s="99">
        <v>89</v>
      </c>
      <c r="U68" s="99">
        <v>10</v>
      </c>
      <c r="V68" s="99">
        <v>86</v>
      </c>
      <c r="W68" s="99">
        <v>66</v>
      </c>
      <c r="X68" s="99">
        <v>71</v>
      </c>
      <c r="Y68" s="99">
        <v>164</v>
      </c>
      <c r="Z68" s="99">
        <v>95</v>
      </c>
      <c r="AA68" s="99" t="s">
        <v>652</v>
      </c>
      <c r="AB68" s="99" t="s">
        <v>652</v>
      </c>
      <c r="AC68" s="99" t="s">
        <v>652</v>
      </c>
      <c r="AD68" s="98" t="s">
        <v>372</v>
      </c>
      <c r="AE68" s="100">
        <v>0.3451485148514851</v>
      </c>
      <c r="AF68" s="100">
        <v>0.11</v>
      </c>
      <c r="AG68" s="98">
        <v>772.2772277227723</v>
      </c>
      <c r="AH68" s="98">
        <v>425.74257425742576</v>
      </c>
      <c r="AI68" s="100">
        <v>0.033</v>
      </c>
      <c r="AJ68" s="100">
        <v>0.790264</v>
      </c>
      <c r="AK68" s="100">
        <v>0.806563</v>
      </c>
      <c r="AL68" s="100">
        <v>0.782966</v>
      </c>
      <c r="AM68" s="100">
        <v>0.64238</v>
      </c>
      <c r="AN68" s="100">
        <v>0.677382</v>
      </c>
      <c r="AO68" s="98">
        <v>4198.019801980198</v>
      </c>
      <c r="AP68" s="158">
        <v>1.5668757629999999</v>
      </c>
      <c r="AQ68" s="100">
        <v>0.10849056603773585</v>
      </c>
      <c r="AR68" s="100">
        <v>0.5168539325842697</v>
      </c>
      <c r="AS68" s="98">
        <v>455.44554455445547</v>
      </c>
      <c r="AT68" s="98">
        <v>881.1881188118812</v>
      </c>
      <c r="AU68" s="98">
        <v>99.00990099009901</v>
      </c>
      <c r="AV68" s="98">
        <v>851.4851485148515</v>
      </c>
      <c r="AW68" s="98">
        <v>653.4653465346535</v>
      </c>
      <c r="AX68" s="98">
        <v>702.9702970297029</v>
      </c>
      <c r="AY68" s="98">
        <v>1623.7623762376238</v>
      </c>
      <c r="AZ68" s="98">
        <v>940.5940594059406</v>
      </c>
      <c r="BA68" s="100" t="s">
        <v>652</v>
      </c>
      <c r="BB68" s="100" t="s">
        <v>652</v>
      </c>
      <c r="BC68" s="100" t="s">
        <v>652</v>
      </c>
      <c r="BD68" s="158">
        <v>1.421261139</v>
      </c>
      <c r="BE68" s="158">
        <v>1.7233599849999999</v>
      </c>
      <c r="BF68" s="162">
        <v>1664</v>
      </c>
      <c r="BG68" s="162">
        <v>579</v>
      </c>
      <c r="BH68" s="162">
        <v>1949</v>
      </c>
      <c r="BI68" s="162">
        <v>1798</v>
      </c>
      <c r="BJ68" s="162">
        <v>871</v>
      </c>
      <c r="BK68" s="97"/>
      <c r="BL68" s="97"/>
      <c r="BM68" s="97"/>
      <c r="BN68" s="97"/>
    </row>
    <row r="69" spans="1:66" ht="12.75">
      <c r="A69" s="79" t="s">
        <v>629</v>
      </c>
      <c r="B69" s="79" t="s">
        <v>356</v>
      </c>
      <c r="C69" s="79" t="s">
        <v>243</v>
      </c>
      <c r="D69" s="99">
        <v>3131</v>
      </c>
      <c r="E69" s="99">
        <v>799</v>
      </c>
      <c r="F69" s="99" t="s">
        <v>394</v>
      </c>
      <c r="G69" s="99">
        <v>13</v>
      </c>
      <c r="H69" s="99">
        <v>9</v>
      </c>
      <c r="I69" s="99">
        <v>65</v>
      </c>
      <c r="J69" s="99">
        <v>365</v>
      </c>
      <c r="K69" s="99">
        <v>107</v>
      </c>
      <c r="L69" s="99">
        <v>547</v>
      </c>
      <c r="M69" s="99">
        <v>337</v>
      </c>
      <c r="N69" s="99">
        <v>165</v>
      </c>
      <c r="O69" s="99">
        <v>71</v>
      </c>
      <c r="P69" s="159">
        <v>71</v>
      </c>
      <c r="Q69" s="99">
        <v>7</v>
      </c>
      <c r="R69" s="99">
        <v>19</v>
      </c>
      <c r="S69" s="99">
        <v>15</v>
      </c>
      <c r="T69" s="99">
        <v>15</v>
      </c>
      <c r="U69" s="99" t="s">
        <v>652</v>
      </c>
      <c r="V69" s="99">
        <v>9</v>
      </c>
      <c r="W69" s="99">
        <v>10</v>
      </c>
      <c r="X69" s="99">
        <v>17</v>
      </c>
      <c r="Y69" s="99">
        <v>41</v>
      </c>
      <c r="Z69" s="99">
        <v>21</v>
      </c>
      <c r="AA69" s="99" t="s">
        <v>652</v>
      </c>
      <c r="AB69" s="99" t="s">
        <v>652</v>
      </c>
      <c r="AC69" s="99" t="s">
        <v>652</v>
      </c>
      <c r="AD69" s="98" t="s">
        <v>372</v>
      </c>
      <c r="AE69" s="100">
        <v>0.2551900351325455</v>
      </c>
      <c r="AF69" s="100">
        <v>0.11</v>
      </c>
      <c r="AG69" s="98">
        <v>415.202810603641</v>
      </c>
      <c r="AH69" s="98">
        <v>287.44809964867454</v>
      </c>
      <c r="AI69" s="100">
        <v>0.021</v>
      </c>
      <c r="AJ69" s="100">
        <v>0.774947</v>
      </c>
      <c r="AK69" s="100">
        <v>0.769784</v>
      </c>
      <c r="AL69" s="100">
        <v>0.774788</v>
      </c>
      <c r="AM69" s="100">
        <v>0.614964</v>
      </c>
      <c r="AN69" s="100">
        <v>0.593525</v>
      </c>
      <c r="AO69" s="98">
        <v>2267.6461194506546</v>
      </c>
      <c r="AP69" s="158">
        <v>0.9821001434</v>
      </c>
      <c r="AQ69" s="100">
        <v>0.09859154929577464</v>
      </c>
      <c r="AR69" s="100">
        <v>0.3684210526315789</v>
      </c>
      <c r="AS69" s="98">
        <v>479.0801660811242</v>
      </c>
      <c r="AT69" s="98">
        <v>479.0801660811242</v>
      </c>
      <c r="AU69" s="98" t="s">
        <v>652</v>
      </c>
      <c r="AV69" s="98">
        <v>287.44809964867454</v>
      </c>
      <c r="AW69" s="98">
        <v>319.38677738741615</v>
      </c>
      <c r="AX69" s="98">
        <v>542.9575215586075</v>
      </c>
      <c r="AY69" s="98">
        <v>1309.4857872884063</v>
      </c>
      <c r="AZ69" s="98">
        <v>670.7122325135739</v>
      </c>
      <c r="BA69" s="100" t="s">
        <v>652</v>
      </c>
      <c r="BB69" s="100" t="s">
        <v>652</v>
      </c>
      <c r="BC69" s="100" t="s">
        <v>652</v>
      </c>
      <c r="BD69" s="158">
        <v>0.7670283508</v>
      </c>
      <c r="BE69" s="158">
        <v>1.238785706</v>
      </c>
      <c r="BF69" s="162">
        <v>471</v>
      </c>
      <c r="BG69" s="162">
        <v>139</v>
      </c>
      <c r="BH69" s="162">
        <v>706</v>
      </c>
      <c r="BI69" s="162">
        <v>548</v>
      </c>
      <c r="BJ69" s="162">
        <v>278</v>
      </c>
      <c r="BK69" s="97"/>
      <c r="BL69" s="97"/>
      <c r="BM69" s="97"/>
      <c r="BN69" s="97"/>
    </row>
    <row r="70" spans="1:66" ht="12.75">
      <c r="A70" s="79" t="s">
        <v>628</v>
      </c>
      <c r="B70" s="79" t="s">
        <v>355</v>
      </c>
      <c r="C70" s="79" t="s">
        <v>243</v>
      </c>
      <c r="D70" s="99">
        <v>12372</v>
      </c>
      <c r="E70" s="99">
        <v>1409</v>
      </c>
      <c r="F70" s="99" t="s">
        <v>392</v>
      </c>
      <c r="G70" s="99">
        <v>35</v>
      </c>
      <c r="H70" s="99">
        <v>15</v>
      </c>
      <c r="I70" s="99">
        <v>206</v>
      </c>
      <c r="J70" s="99">
        <v>844</v>
      </c>
      <c r="K70" s="99">
        <v>233</v>
      </c>
      <c r="L70" s="99">
        <v>2317</v>
      </c>
      <c r="M70" s="99">
        <v>550</v>
      </c>
      <c r="N70" s="99">
        <v>311</v>
      </c>
      <c r="O70" s="99">
        <v>187</v>
      </c>
      <c r="P70" s="159">
        <v>187</v>
      </c>
      <c r="Q70" s="99">
        <v>21</v>
      </c>
      <c r="R70" s="99">
        <v>48</v>
      </c>
      <c r="S70" s="99">
        <v>49</v>
      </c>
      <c r="T70" s="99">
        <v>37</v>
      </c>
      <c r="U70" s="99">
        <v>7</v>
      </c>
      <c r="V70" s="99">
        <v>20</v>
      </c>
      <c r="W70" s="99">
        <v>112</v>
      </c>
      <c r="X70" s="99">
        <v>20</v>
      </c>
      <c r="Y70" s="99">
        <v>120</v>
      </c>
      <c r="Z70" s="99">
        <v>46</v>
      </c>
      <c r="AA70" s="99" t="s">
        <v>652</v>
      </c>
      <c r="AB70" s="99" t="s">
        <v>652</v>
      </c>
      <c r="AC70" s="99" t="s">
        <v>652</v>
      </c>
      <c r="AD70" s="98" t="s">
        <v>372</v>
      </c>
      <c r="AE70" s="100">
        <v>0.11388619463304235</v>
      </c>
      <c r="AF70" s="100">
        <v>0.19</v>
      </c>
      <c r="AG70" s="98">
        <v>282.89686388619464</v>
      </c>
      <c r="AH70" s="98">
        <v>121.24151309408342</v>
      </c>
      <c r="AI70" s="100">
        <v>0.017</v>
      </c>
      <c r="AJ70" s="100">
        <v>0.673583</v>
      </c>
      <c r="AK70" s="100">
        <v>0.6793</v>
      </c>
      <c r="AL70" s="100">
        <v>0.726332</v>
      </c>
      <c r="AM70" s="100">
        <v>0.501825</v>
      </c>
      <c r="AN70" s="100">
        <v>0.522689</v>
      </c>
      <c r="AO70" s="98">
        <v>1511.4775299062399</v>
      </c>
      <c r="AP70" s="158">
        <v>0.9519385529000001</v>
      </c>
      <c r="AQ70" s="100">
        <v>0.11229946524064172</v>
      </c>
      <c r="AR70" s="100">
        <v>0.4375</v>
      </c>
      <c r="AS70" s="98">
        <v>396.05560944067247</v>
      </c>
      <c r="AT70" s="98">
        <v>299.06239896540575</v>
      </c>
      <c r="AU70" s="98">
        <v>56.57937277723892</v>
      </c>
      <c r="AV70" s="98">
        <v>161.65535079211122</v>
      </c>
      <c r="AW70" s="98">
        <v>905.2699644358228</v>
      </c>
      <c r="AX70" s="98">
        <v>161.65535079211122</v>
      </c>
      <c r="AY70" s="98">
        <v>969.9321047526673</v>
      </c>
      <c r="AZ70" s="98">
        <v>371.8073068218558</v>
      </c>
      <c r="BA70" s="100" t="s">
        <v>652</v>
      </c>
      <c r="BB70" s="100" t="s">
        <v>652</v>
      </c>
      <c r="BC70" s="100" t="s">
        <v>652</v>
      </c>
      <c r="BD70" s="158">
        <v>0.8203839874000001</v>
      </c>
      <c r="BE70" s="158">
        <v>1.098587723</v>
      </c>
      <c r="BF70" s="162">
        <v>1253</v>
      </c>
      <c r="BG70" s="162">
        <v>343</v>
      </c>
      <c r="BH70" s="162">
        <v>3190</v>
      </c>
      <c r="BI70" s="162">
        <v>1096</v>
      </c>
      <c r="BJ70" s="162">
        <v>595</v>
      </c>
      <c r="BK70" s="97"/>
      <c r="BL70" s="97"/>
      <c r="BM70" s="97"/>
      <c r="BN70" s="97"/>
    </row>
    <row r="71" spans="1:66" ht="12.75">
      <c r="A71" s="79" t="s">
        <v>632</v>
      </c>
      <c r="B71" s="79" t="s">
        <v>359</v>
      </c>
      <c r="C71" s="79" t="s">
        <v>243</v>
      </c>
      <c r="D71" s="99">
        <v>5009</v>
      </c>
      <c r="E71" s="99">
        <v>1026</v>
      </c>
      <c r="F71" s="99" t="s">
        <v>395</v>
      </c>
      <c r="G71" s="99">
        <v>27</v>
      </c>
      <c r="H71" s="99">
        <v>10</v>
      </c>
      <c r="I71" s="99">
        <v>66</v>
      </c>
      <c r="J71" s="99">
        <v>609</v>
      </c>
      <c r="K71" s="99">
        <v>156</v>
      </c>
      <c r="L71" s="99">
        <v>886</v>
      </c>
      <c r="M71" s="99">
        <v>433</v>
      </c>
      <c r="N71" s="99">
        <v>242</v>
      </c>
      <c r="O71" s="99">
        <v>61</v>
      </c>
      <c r="P71" s="159">
        <v>61</v>
      </c>
      <c r="Q71" s="99">
        <v>7</v>
      </c>
      <c r="R71" s="99">
        <v>17</v>
      </c>
      <c r="S71" s="99">
        <v>7</v>
      </c>
      <c r="T71" s="99">
        <v>12</v>
      </c>
      <c r="U71" s="99" t="s">
        <v>652</v>
      </c>
      <c r="V71" s="99">
        <v>18</v>
      </c>
      <c r="W71" s="99">
        <v>53</v>
      </c>
      <c r="X71" s="99">
        <v>18</v>
      </c>
      <c r="Y71" s="99">
        <v>66</v>
      </c>
      <c r="Z71" s="99">
        <v>30</v>
      </c>
      <c r="AA71" s="99" t="s">
        <v>652</v>
      </c>
      <c r="AB71" s="99" t="s">
        <v>652</v>
      </c>
      <c r="AC71" s="99" t="s">
        <v>652</v>
      </c>
      <c r="AD71" s="98" t="s">
        <v>372</v>
      </c>
      <c r="AE71" s="100">
        <v>0.20483130365342384</v>
      </c>
      <c r="AF71" s="100">
        <v>0.13</v>
      </c>
      <c r="AG71" s="98">
        <v>539.0297464563786</v>
      </c>
      <c r="AH71" s="98">
        <v>199.64064683569575</v>
      </c>
      <c r="AI71" s="100">
        <v>0.013000000000000001</v>
      </c>
      <c r="AJ71" s="100">
        <v>0.771863</v>
      </c>
      <c r="AK71" s="100">
        <v>0.816754</v>
      </c>
      <c r="AL71" s="100">
        <v>0.755973</v>
      </c>
      <c r="AM71" s="100">
        <v>0.580429</v>
      </c>
      <c r="AN71" s="100">
        <v>0.597531</v>
      </c>
      <c r="AO71" s="98">
        <v>1217.8079456977441</v>
      </c>
      <c r="AP71" s="158">
        <v>0.5745183563</v>
      </c>
      <c r="AQ71" s="100">
        <v>0.11475409836065574</v>
      </c>
      <c r="AR71" s="100">
        <v>0.4117647058823529</v>
      </c>
      <c r="AS71" s="98">
        <v>139.74845278498702</v>
      </c>
      <c r="AT71" s="98">
        <v>239.5687762028349</v>
      </c>
      <c r="AU71" s="98" t="s">
        <v>652</v>
      </c>
      <c r="AV71" s="98">
        <v>359.35316430425235</v>
      </c>
      <c r="AW71" s="98">
        <v>1058.0954282291875</v>
      </c>
      <c r="AX71" s="98">
        <v>359.35316430425235</v>
      </c>
      <c r="AY71" s="98">
        <v>1317.628269115592</v>
      </c>
      <c r="AZ71" s="98">
        <v>598.9219405070872</v>
      </c>
      <c r="BA71" s="100" t="s">
        <v>652</v>
      </c>
      <c r="BB71" s="100" t="s">
        <v>652</v>
      </c>
      <c r="BC71" s="100" t="s">
        <v>652</v>
      </c>
      <c r="BD71" s="158">
        <v>0.4394610214</v>
      </c>
      <c r="BE71" s="158">
        <v>0.7379928588999999</v>
      </c>
      <c r="BF71" s="162">
        <v>789</v>
      </c>
      <c r="BG71" s="162">
        <v>191</v>
      </c>
      <c r="BH71" s="162">
        <v>1172</v>
      </c>
      <c r="BI71" s="162">
        <v>746</v>
      </c>
      <c r="BJ71" s="162">
        <v>405</v>
      </c>
      <c r="BK71" s="97"/>
      <c r="BL71" s="97"/>
      <c r="BM71" s="97"/>
      <c r="BN71" s="97"/>
    </row>
    <row r="72" spans="1:66" ht="12.75">
      <c r="A72" s="79" t="s">
        <v>600</v>
      </c>
      <c r="B72" s="79" t="s">
        <v>327</v>
      </c>
      <c r="C72" s="79" t="s">
        <v>243</v>
      </c>
      <c r="D72" s="99">
        <v>16415</v>
      </c>
      <c r="E72" s="99">
        <v>3330</v>
      </c>
      <c r="F72" s="99" t="s">
        <v>392</v>
      </c>
      <c r="G72" s="99">
        <v>100</v>
      </c>
      <c r="H72" s="99">
        <v>46</v>
      </c>
      <c r="I72" s="99">
        <v>220</v>
      </c>
      <c r="J72" s="99">
        <v>1565</v>
      </c>
      <c r="K72" s="99">
        <v>423</v>
      </c>
      <c r="L72" s="99">
        <v>2518</v>
      </c>
      <c r="M72" s="99">
        <v>1028</v>
      </c>
      <c r="N72" s="99">
        <v>566</v>
      </c>
      <c r="O72" s="99">
        <v>274</v>
      </c>
      <c r="P72" s="159">
        <v>274</v>
      </c>
      <c r="Q72" s="99">
        <v>41</v>
      </c>
      <c r="R72" s="99">
        <v>78</v>
      </c>
      <c r="S72" s="99">
        <v>40</v>
      </c>
      <c r="T72" s="99">
        <v>37</v>
      </c>
      <c r="U72" s="99">
        <v>11</v>
      </c>
      <c r="V72" s="99">
        <v>40</v>
      </c>
      <c r="W72" s="99">
        <v>123</v>
      </c>
      <c r="X72" s="99">
        <v>33</v>
      </c>
      <c r="Y72" s="99">
        <v>185</v>
      </c>
      <c r="Z72" s="99">
        <v>134</v>
      </c>
      <c r="AA72" s="99" t="s">
        <v>652</v>
      </c>
      <c r="AB72" s="99" t="s">
        <v>652</v>
      </c>
      <c r="AC72" s="99" t="s">
        <v>652</v>
      </c>
      <c r="AD72" s="98" t="s">
        <v>372</v>
      </c>
      <c r="AE72" s="100">
        <v>0.20286323484617727</v>
      </c>
      <c r="AF72" s="100">
        <v>0.18</v>
      </c>
      <c r="AG72" s="98">
        <v>609.1989034419738</v>
      </c>
      <c r="AH72" s="98">
        <v>280.23149558330795</v>
      </c>
      <c r="AI72" s="100">
        <v>0.013000000000000001</v>
      </c>
      <c r="AJ72" s="100">
        <v>0.734742</v>
      </c>
      <c r="AK72" s="100">
        <v>0.764919</v>
      </c>
      <c r="AL72" s="100">
        <v>0.667373</v>
      </c>
      <c r="AM72" s="100">
        <v>0.546809</v>
      </c>
      <c r="AN72" s="100">
        <v>0.584107</v>
      </c>
      <c r="AO72" s="98">
        <v>1669.2049954310082</v>
      </c>
      <c r="AP72" s="158">
        <v>0.8183583069</v>
      </c>
      <c r="AQ72" s="100">
        <v>0.14963503649635038</v>
      </c>
      <c r="AR72" s="100">
        <v>0.5256410256410257</v>
      </c>
      <c r="AS72" s="98">
        <v>243.6795613767895</v>
      </c>
      <c r="AT72" s="98">
        <v>225.4035942735303</v>
      </c>
      <c r="AU72" s="98">
        <v>67.01187937861712</v>
      </c>
      <c r="AV72" s="98">
        <v>243.6795613767895</v>
      </c>
      <c r="AW72" s="98">
        <v>749.3146512336277</v>
      </c>
      <c r="AX72" s="98">
        <v>201.03563813585134</v>
      </c>
      <c r="AY72" s="98">
        <v>1127.0179713676516</v>
      </c>
      <c r="AZ72" s="98">
        <v>816.3265306122449</v>
      </c>
      <c r="BA72" s="100" t="s">
        <v>652</v>
      </c>
      <c r="BB72" s="100" t="s">
        <v>652</v>
      </c>
      <c r="BC72" s="100" t="s">
        <v>652</v>
      </c>
      <c r="BD72" s="158">
        <v>0.7243190765</v>
      </c>
      <c r="BE72" s="158">
        <v>0.9212171936</v>
      </c>
      <c r="BF72" s="162">
        <v>2130</v>
      </c>
      <c r="BG72" s="162">
        <v>553</v>
      </c>
      <c r="BH72" s="162">
        <v>3773</v>
      </c>
      <c r="BI72" s="162">
        <v>1880</v>
      </c>
      <c r="BJ72" s="162">
        <v>969</v>
      </c>
      <c r="BK72" s="97"/>
      <c r="BL72" s="97"/>
      <c r="BM72" s="97"/>
      <c r="BN72" s="97"/>
    </row>
    <row r="73" spans="1:66" ht="12.75">
      <c r="A73" s="79" t="s">
        <v>644</v>
      </c>
      <c r="B73" s="79" t="s">
        <v>554</v>
      </c>
      <c r="C73" s="79" t="s">
        <v>243</v>
      </c>
      <c r="D73" s="99">
        <v>5781</v>
      </c>
      <c r="E73" s="99">
        <v>1267</v>
      </c>
      <c r="F73" s="99" t="s">
        <v>395</v>
      </c>
      <c r="G73" s="99" t="s">
        <v>652</v>
      </c>
      <c r="H73" s="99">
        <v>11</v>
      </c>
      <c r="I73" s="99">
        <v>40</v>
      </c>
      <c r="J73" s="99">
        <v>733</v>
      </c>
      <c r="K73" s="99">
        <v>293</v>
      </c>
      <c r="L73" s="99">
        <v>1013</v>
      </c>
      <c r="M73" s="99">
        <v>450</v>
      </c>
      <c r="N73" s="99">
        <v>239</v>
      </c>
      <c r="O73" s="99">
        <v>64</v>
      </c>
      <c r="P73" s="159">
        <v>64</v>
      </c>
      <c r="Q73" s="99">
        <v>12</v>
      </c>
      <c r="R73" s="99">
        <v>19</v>
      </c>
      <c r="S73" s="99">
        <v>11</v>
      </c>
      <c r="T73" s="99" t="s">
        <v>652</v>
      </c>
      <c r="U73" s="99" t="s">
        <v>652</v>
      </c>
      <c r="V73" s="99">
        <v>9</v>
      </c>
      <c r="W73" s="99">
        <v>36</v>
      </c>
      <c r="X73" s="99" t="s">
        <v>652</v>
      </c>
      <c r="Y73" s="99">
        <v>37</v>
      </c>
      <c r="Z73" s="99">
        <v>25</v>
      </c>
      <c r="AA73" s="99" t="s">
        <v>652</v>
      </c>
      <c r="AB73" s="99" t="s">
        <v>652</v>
      </c>
      <c r="AC73" s="99" t="s">
        <v>652</v>
      </c>
      <c r="AD73" s="98" t="s">
        <v>372</v>
      </c>
      <c r="AE73" s="100">
        <v>0.21916623421553363</v>
      </c>
      <c r="AF73" s="100">
        <v>0.15</v>
      </c>
      <c r="AG73" s="98" t="s">
        <v>652</v>
      </c>
      <c r="AH73" s="98">
        <v>190.27849852966614</v>
      </c>
      <c r="AI73" s="100">
        <v>0.006999999999999999</v>
      </c>
      <c r="AJ73" s="100">
        <v>0.792432</v>
      </c>
      <c r="AK73" s="100">
        <v>0.787634</v>
      </c>
      <c r="AL73" s="100">
        <v>0.774465</v>
      </c>
      <c r="AM73" s="100">
        <v>0.508475</v>
      </c>
      <c r="AN73" s="100">
        <v>0.553241</v>
      </c>
      <c r="AO73" s="98">
        <v>1107.0749005362395</v>
      </c>
      <c r="AP73" s="158">
        <v>0.5044258499000001</v>
      </c>
      <c r="AQ73" s="100">
        <v>0.1875</v>
      </c>
      <c r="AR73" s="100">
        <v>0.631578947368421</v>
      </c>
      <c r="AS73" s="98">
        <v>190.27849852966614</v>
      </c>
      <c r="AT73" s="98" t="s">
        <v>652</v>
      </c>
      <c r="AU73" s="98" t="s">
        <v>652</v>
      </c>
      <c r="AV73" s="98">
        <v>155.68240788790865</v>
      </c>
      <c r="AW73" s="98">
        <v>622.7296315516346</v>
      </c>
      <c r="AX73" s="98" t="s">
        <v>652</v>
      </c>
      <c r="AY73" s="98">
        <v>640.0276768725134</v>
      </c>
      <c r="AZ73" s="98">
        <v>432.45113302196853</v>
      </c>
      <c r="BA73" s="100" t="s">
        <v>652</v>
      </c>
      <c r="BB73" s="100" t="s">
        <v>652</v>
      </c>
      <c r="BC73" s="100" t="s">
        <v>652</v>
      </c>
      <c r="BD73" s="158">
        <v>0.3884693909</v>
      </c>
      <c r="BE73" s="158">
        <v>0.6441405487</v>
      </c>
      <c r="BF73" s="162">
        <v>925</v>
      </c>
      <c r="BG73" s="162">
        <v>372</v>
      </c>
      <c r="BH73" s="162">
        <v>1308</v>
      </c>
      <c r="BI73" s="162">
        <v>885</v>
      </c>
      <c r="BJ73" s="162">
        <v>432</v>
      </c>
      <c r="BK73" s="97"/>
      <c r="BL73" s="97"/>
      <c r="BM73" s="97"/>
      <c r="BN73" s="97"/>
    </row>
    <row r="74" spans="1:66" ht="12.75">
      <c r="A74" s="79" t="s">
        <v>563</v>
      </c>
      <c r="B74" s="79" t="s">
        <v>287</v>
      </c>
      <c r="C74" s="79" t="s">
        <v>243</v>
      </c>
      <c r="D74" s="99">
        <v>12672</v>
      </c>
      <c r="E74" s="99">
        <v>2146</v>
      </c>
      <c r="F74" s="99" t="s">
        <v>395</v>
      </c>
      <c r="G74" s="99">
        <v>64</v>
      </c>
      <c r="H74" s="99">
        <v>30</v>
      </c>
      <c r="I74" s="99">
        <v>220</v>
      </c>
      <c r="J74" s="99">
        <v>1084</v>
      </c>
      <c r="K74" s="99">
        <v>407</v>
      </c>
      <c r="L74" s="99">
        <v>2735</v>
      </c>
      <c r="M74" s="99">
        <v>732</v>
      </c>
      <c r="N74" s="99">
        <v>375</v>
      </c>
      <c r="O74" s="99">
        <v>228</v>
      </c>
      <c r="P74" s="159">
        <v>228</v>
      </c>
      <c r="Q74" s="99">
        <v>33</v>
      </c>
      <c r="R74" s="99">
        <v>66</v>
      </c>
      <c r="S74" s="99">
        <v>35</v>
      </c>
      <c r="T74" s="99">
        <v>48</v>
      </c>
      <c r="U74" s="99" t="s">
        <v>652</v>
      </c>
      <c r="V74" s="99">
        <v>39</v>
      </c>
      <c r="W74" s="99">
        <v>45</v>
      </c>
      <c r="X74" s="99">
        <v>55</v>
      </c>
      <c r="Y74" s="99">
        <v>118</v>
      </c>
      <c r="Z74" s="99">
        <v>63</v>
      </c>
      <c r="AA74" s="99" t="s">
        <v>652</v>
      </c>
      <c r="AB74" s="99" t="s">
        <v>652</v>
      </c>
      <c r="AC74" s="99" t="s">
        <v>652</v>
      </c>
      <c r="AD74" s="98" t="s">
        <v>372</v>
      </c>
      <c r="AE74" s="100">
        <v>0.1693497474747475</v>
      </c>
      <c r="AF74" s="100">
        <v>0.16</v>
      </c>
      <c r="AG74" s="98">
        <v>505.050505050505</v>
      </c>
      <c r="AH74" s="98">
        <v>236.74242424242425</v>
      </c>
      <c r="AI74" s="100">
        <v>0.017</v>
      </c>
      <c r="AJ74" s="100">
        <v>0.777618</v>
      </c>
      <c r="AK74" s="100">
        <v>0.769376</v>
      </c>
      <c r="AL74" s="100">
        <v>0.823795</v>
      </c>
      <c r="AM74" s="100">
        <v>0.581876</v>
      </c>
      <c r="AN74" s="100">
        <v>0.62709</v>
      </c>
      <c r="AO74" s="98">
        <v>1799.2424242424242</v>
      </c>
      <c r="AP74" s="158">
        <v>0.9613291931000001</v>
      </c>
      <c r="AQ74" s="100">
        <v>0.14473684210526316</v>
      </c>
      <c r="AR74" s="100">
        <v>0.5</v>
      </c>
      <c r="AS74" s="98">
        <v>276.199494949495</v>
      </c>
      <c r="AT74" s="98">
        <v>378.7878787878788</v>
      </c>
      <c r="AU74" s="98" t="s">
        <v>652</v>
      </c>
      <c r="AV74" s="98">
        <v>307.7651515151515</v>
      </c>
      <c r="AW74" s="98">
        <v>355.1136363636364</v>
      </c>
      <c r="AX74" s="98">
        <v>434.02777777777777</v>
      </c>
      <c r="AY74" s="98">
        <v>931.1868686868687</v>
      </c>
      <c r="AZ74" s="98">
        <v>497.15909090909093</v>
      </c>
      <c r="BA74" s="100" t="s">
        <v>652</v>
      </c>
      <c r="BB74" s="100" t="s">
        <v>652</v>
      </c>
      <c r="BC74" s="100" t="s">
        <v>652</v>
      </c>
      <c r="BD74" s="158">
        <v>0.8405871582000001</v>
      </c>
      <c r="BE74" s="158">
        <v>1.094545517</v>
      </c>
      <c r="BF74" s="162">
        <v>1394</v>
      </c>
      <c r="BG74" s="162">
        <v>529</v>
      </c>
      <c r="BH74" s="162">
        <v>3320</v>
      </c>
      <c r="BI74" s="162">
        <v>1258</v>
      </c>
      <c r="BJ74" s="162">
        <v>598</v>
      </c>
      <c r="BK74" s="97"/>
      <c r="BL74" s="97"/>
      <c r="BM74" s="97"/>
      <c r="BN74" s="97"/>
    </row>
    <row r="75" spans="1:66" ht="12.75">
      <c r="A75" s="79" t="s">
        <v>564</v>
      </c>
      <c r="B75" s="79" t="s">
        <v>288</v>
      </c>
      <c r="C75" s="79" t="s">
        <v>243</v>
      </c>
      <c r="D75" s="99">
        <v>7482</v>
      </c>
      <c r="E75" s="99">
        <v>1919</v>
      </c>
      <c r="F75" s="99" t="s">
        <v>395</v>
      </c>
      <c r="G75" s="99">
        <v>47</v>
      </c>
      <c r="H75" s="99">
        <v>29</v>
      </c>
      <c r="I75" s="99">
        <v>176</v>
      </c>
      <c r="J75" s="99">
        <v>938</v>
      </c>
      <c r="K75" s="99">
        <v>327</v>
      </c>
      <c r="L75" s="99">
        <v>1326</v>
      </c>
      <c r="M75" s="99">
        <v>738</v>
      </c>
      <c r="N75" s="99">
        <v>373</v>
      </c>
      <c r="O75" s="99">
        <v>195</v>
      </c>
      <c r="P75" s="159">
        <v>195</v>
      </c>
      <c r="Q75" s="99">
        <v>38</v>
      </c>
      <c r="R75" s="99">
        <v>69</v>
      </c>
      <c r="S75" s="99">
        <v>26</v>
      </c>
      <c r="T75" s="99">
        <v>38</v>
      </c>
      <c r="U75" s="99" t="s">
        <v>652</v>
      </c>
      <c r="V75" s="99">
        <v>20</v>
      </c>
      <c r="W75" s="99">
        <v>34</v>
      </c>
      <c r="X75" s="99">
        <v>37</v>
      </c>
      <c r="Y75" s="99">
        <v>93</v>
      </c>
      <c r="Z75" s="99">
        <v>54</v>
      </c>
      <c r="AA75" s="99" t="s">
        <v>652</v>
      </c>
      <c r="AB75" s="99" t="s">
        <v>652</v>
      </c>
      <c r="AC75" s="99" t="s">
        <v>652</v>
      </c>
      <c r="AD75" s="98" t="s">
        <v>372</v>
      </c>
      <c r="AE75" s="100">
        <v>0.25648222400427695</v>
      </c>
      <c r="AF75" s="100">
        <v>0.13</v>
      </c>
      <c r="AG75" s="98">
        <v>628.174284950548</v>
      </c>
      <c r="AH75" s="98">
        <v>387.5968992248062</v>
      </c>
      <c r="AI75" s="100">
        <v>0.024</v>
      </c>
      <c r="AJ75" s="100">
        <v>0.742089</v>
      </c>
      <c r="AK75" s="100">
        <v>0.776722</v>
      </c>
      <c r="AL75" s="100">
        <v>0.766474</v>
      </c>
      <c r="AM75" s="100">
        <v>0.564652</v>
      </c>
      <c r="AN75" s="100">
        <v>0.5968</v>
      </c>
      <c r="AO75" s="98">
        <v>2606.2550120288693</v>
      </c>
      <c r="AP75" s="158">
        <v>1.094299698</v>
      </c>
      <c r="AQ75" s="100">
        <v>0.19487179487179487</v>
      </c>
      <c r="AR75" s="100">
        <v>0.5507246376811594</v>
      </c>
      <c r="AS75" s="98">
        <v>347.5006682705159</v>
      </c>
      <c r="AT75" s="98">
        <v>507.8855920876771</v>
      </c>
      <c r="AU75" s="98" t="s">
        <v>652</v>
      </c>
      <c r="AV75" s="98">
        <v>267.30820636193533</v>
      </c>
      <c r="AW75" s="98">
        <v>454.42395081529</v>
      </c>
      <c r="AX75" s="98">
        <v>494.52018176958035</v>
      </c>
      <c r="AY75" s="98">
        <v>1242.9831595829992</v>
      </c>
      <c r="AZ75" s="98">
        <v>721.7321571772253</v>
      </c>
      <c r="BA75" s="100" t="s">
        <v>652</v>
      </c>
      <c r="BB75" s="100" t="s">
        <v>652</v>
      </c>
      <c r="BC75" s="100" t="s">
        <v>652</v>
      </c>
      <c r="BD75" s="158">
        <v>0.9460905457</v>
      </c>
      <c r="BE75" s="158">
        <v>1.259140701</v>
      </c>
      <c r="BF75" s="162">
        <v>1264</v>
      </c>
      <c r="BG75" s="162">
        <v>421</v>
      </c>
      <c r="BH75" s="162">
        <v>1730</v>
      </c>
      <c r="BI75" s="162">
        <v>1307</v>
      </c>
      <c r="BJ75" s="162">
        <v>625</v>
      </c>
      <c r="BK75" s="97"/>
      <c r="BL75" s="97"/>
      <c r="BM75" s="97"/>
      <c r="BN75" s="97"/>
    </row>
    <row r="76" spans="1:66" ht="12.75">
      <c r="A76" s="79" t="s">
        <v>576</v>
      </c>
      <c r="B76" s="79" t="s">
        <v>301</v>
      </c>
      <c r="C76" s="79" t="s">
        <v>243</v>
      </c>
      <c r="D76" s="99">
        <v>12862</v>
      </c>
      <c r="E76" s="99">
        <v>2196</v>
      </c>
      <c r="F76" s="99" t="s">
        <v>394</v>
      </c>
      <c r="G76" s="99">
        <v>52</v>
      </c>
      <c r="H76" s="99">
        <v>34</v>
      </c>
      <c r="I76" s="99">
        <v>234</v>
      </c>
      <c r="J76" s="99">
        <v>1321</v>
      </c>
      <c r="K76" s="99">
        <v>492</v>
      </c>
      <c r="L76" s="99">
        <v>2687</v>
      </c>
      <c r="M76" s="99">
        <v>932</v>
      </c>
      <c r="N76" s="99">
        <v>481</v>
      </c>
      <c r="O76" s="99">
        <v>237</v>
      </c>
      <c r="P76" s="159">
        <v>237</v>
      </c>
      <c r="Q76" s="99">
        <v>32</v>
      </c>
      <c r="R76" s="99">
        <v>68</v>
      </c>
      <c r="S76" s="99">
        <v>44</v>
      </c>
      <c r="T76" s="99">
        <v>30</v>
      </c>
      <c r="U76" s="99" t="s">
        <v>652</v>
      </c>
      <c r="V76" s="99">
        <v>37</v>
      </c>
      <c r="W76" s="99">
        <v>32</v>
      </c>
      <c r="X76" s="99">
        <v>43</v>
      </c>
      <c r="Y76" s="99">
        <v>116</v>
      </c>
      <c r="Z76" s="99">
        <v>54</v>
      </c>
      <c r="AA76" s="99" t="s">
        <v>652</v>
      </c>
      <c r="AB76" s="99" t="s">
        <v>652</v>
      </c>
      <c r="AC76" s="99" t="s">
        <v>652</v>
      </c>
      <c r="AD76" s="98" t="s">
        <v>372</v>
      </c>
      <c r="AE76" s="100">
        <v>0.1707354999222516</v>
      </c>
      <c r="AF76" s="100">
        <v>0.09</v>
      </c>
      <c r="AG76" s="98">
        <v>404.29171201990357</v>
      </c>
      <c r="AH76" s="98">
        <v>264.34458093609084</v>
      </c>
      <c r="AI76" s="100">
        <v>0.018000000000000002</v>
      </c>
      <c r="AJ76" s="100">
        <v>0.845711</v>
      </c>
      <c r="AK76" s="100">
        <v>0.828283</v>
      </c>
      <c r="AL76" s="100">
        <v>0.844703</v>
      </c>
      <c r="AM76" s="100">
        <v>0.66619</v>
      </c>
      <c r="AN76" s="100">
        <v>0.696093</v>
      </c>
      <c r="AO76" s="98">
        <v>1842.6372259368684</v>
      </c>
      <c r="AP76" s="158">
        <v>0.9708538818</v>
      </c>
      <c r="AQ76" s="100">
        <v>0.1350210970464135</v>
      </c>
      <c r="AR76" s="100">
        <v>0.47058823529411764</v>
      </c>
      <c r="AS76" s="98">
        <v>342.0929870937646</v>
      </c>
      <c r="AT76" s="98">
        <v>233.2452184730213</v>
      </c>
      <c r="AU76" s="98" t="s">
        <v>652</v>
      </c>
      <c r="AV76" s="98">
        <v>287.66910278339293</v>
      </c>
      <c r="AW76" s="98">
        <v>248.79489970455606</v>
      </c>
      <c r="AX76" s="98">
        <v>334.3181464779972</v>
      </c>
      <c r="AY76" s="98">
        <v>901.8815114290157</v>
      </c>
      <c r="AZ76" s="98">
        <v>419.8413932514383</v>
      </c>
      <c r="BA76" s="100" t="s">
        <v>652</v>
      </c>
      <c r="BB76" s="100" t="s">
        <v>652</v>
      </c>
      <c r="BC76" s="100" t="s">
        <v>652</v>
      </c>
      <c r="BD76" s="158">
        <v>0.8511757660000001</v>
      </c>
      <c r="BE76" s="158">
        <v>1.102646637</v>
      </c>
      <c r="BF76" s="162">
        <v>1562</v>
      </c>
      <c r="BG76" s="162">
        <v>594</v>
      </c>
      <c r="BH76" s="162">
        <v>3181</v>
      </c>
      <c r="BI76" s="162">
        <v>1399</v>
      </c>
      <c r="BJ76" s="162">
        <v>691</v>
      </c>
      <c r="BK76" s="97"/>
      <c r="BL76" s="97"/>
      <c r="BM76" s="97"/>
      <c r="BN76" s="97"/>
    </row>
    <row r="77" spans="1:66" ht="12.75">
      <c r="A77" s="79" t="s">
        <v>599</v>
      </c>
      <c r="B77" s="79" t="s">
        <v>326</v>
      </c>
      <c r="C77" s="79" t="s">
        <v>243</v>
      </c>
      <c r="D77" s="99">
        <v>9262</v>
      </c>
      <c r="E77" s="99">
        <v>2158</v>
      </c>
      <c r="F77" s="99" t="s">
        <v>395</v>
      </c>
      <c r="G77" s="99">
        <v>76</v>
      </c>
      <c r="H77" s="99">
        <v>30</v>
      </c>
      <c r="I77" s="99">
        <v>197</v>
      </c>
      <c r="J77" s="99">
        <v>971</v>
      </c>
      <c r="K77" s="99">
        <v>299</v>
      </c>
      <c r="L77" s="99">
        <v>1715</v>
      </c>
      <c r="M77" s="99">
        <v>775</v>
      </c>
      <c r="N77" s="99">
        <v>404</v>
      </c>
      <c r="O77" s="99">
        <v>158</v>
      </c>
      <c r="P77" s="159">
        <v>158</v>
      </c>
      <c r="Q77" s="99">
        <v>23</v>
      </c>
      <c r="R77" s="99">
        <v>52</v>
      </c>
      <c r="S77" s="99">
        <v>24</v>
      </c>
      <c r="T77" s="99">
        <v>32</v>
      </c>
      <c r="U77" s="99" t="s">
        <v>652</v>
      </c>
      <c r="V77" s="99">
        <v>27</v>
      </c>
      <c r="W77" s="99">
        <v>39</v>
      </c>
      <c r="X77" s="99">
        <v>41</v>
      </c>
      <c r="Y77" s="99">
        <v>118</v>
      </c>
      <c r="Z77" s="99">
        <v>45</v>
      </c>
      <c r="AA77" s="99" t="s">
        <v>652</v>
      </c>
      <c r="AB77" s="99" t="s">
        <v>652</v>
      </c>
      <c r="AC77" s="99" t="s">
        <v>652</v>
      </c>
      <c r="AD77" s="98" t="s">
        <v>372</v>
      </c>
      <c r="AE77" s="100">
        <v>0.23299503347009284</v>
      </c>
      <c r="AF77" s="100">
        <v>0.13</v>
      </c>
      <c r="AG77" s="98">
        <v>820.5571150939322</v>
      </c>
      <c r="AH77" s="98">
        <v>323.90412437918377</v>
      </c>
      <c r="AI77" s="100">
        <v>0.021</v>
      </c>
      <c r="AJ77" s="100">
        <v>0.785599</v>
      </c>
      <c r="AK77" s="100">
        <v>0.799465</v>
      </c>
      <c r="AL77" s="100">
        <v>0.785616</v>
      </c>
      <c r="AM77" s="100">
        <v>0.639439</v>
      </c>
      <c r="AN77" s="100">
        <v>0.681282</v>
      </c>
      <c r="AO77" s="98">
        <v>1705.8950550637012</v>
      </c>
      <c r="AP77" s="158">
        <v>0.7883765411</v>
      </c>
      <c r="AQ77" s="100">
        <v>0.14556962025316456</v>
      </c>
      <c r="AR77" s="100">
        <v>0.4423076923076923</v>
      </c>
      <c r="AS77" s="98">
        <v>259.123299503347</v>
      </c>
      <c r="AT77" s="98">
        <v>345.49773267112937</v>
      </c>
      <c r="AU77" s="98" t="s">
        <v>652</v>
      </c>
      <c r="AV77" s="98">
        <v>291.5137119412654</v>
      </c>
      <c r="AW77" s="98">
        <v>421.0753616929389</v>
      </c>
      <c r="AX77" s="98">
        <v>442.6689699848845</v>
      </c>
      <c r="AY77" s="98">
        <v>1274.0228892247894</v>
      </c>
      <c r="AZ77" s="98">
        <v>485.8561865687756</v>
      </c>
      <c r="BA77" s="100" t="s">
        <v>652</v>
      </c>
      <c r="BB77" s="100" t="s">
        <v>652</v>
      </c>
      <c r="BC77" s="100" t="s">
        <v>652</v>
      </c>
      <c r="BD77" s="158">
        <v>0.6702399445</v>
      </c>
      <c r="BE77" s="158">
        <v>0.9213392639</v>
      </c>
      <c r="BF77" s="162">
        <v>1236</v>
      </c>
      <c r="BG77" s="162">
        <v>374</v>
      </c>
      <c r="BH77" s="162">
        <v>2183</v>
      </c>
      <c r="BI77" s="162">
        <v>1212</v>
      </c>
      <c r="BJ77" s="162">
        <v>593</v>
      </c>
      <c r="BK77" s="97"/>
      <c r="BL77" s="97"/>
      <c r="BM77" s="97"/>
      <c r="BN77" s="97"/>
    </row>
    <row r="78" spans="1:66" ht="12.75">
      <c r="A78" s="79" t="s">
        <v>597</v>
      </c>
      <c r="B78" s="79" t="s">
        <v>324</v>
      </c>
      <c r="C78" s="79" t="s">
        <v>243</v>
      </c>
      <c r="D78" s="99">
        <v>14233</v>
      </c>
      <c r="E78" s="99">
        <v>2546</v>
      </c>
      <c r="F78" s="99" t="s">
        <v>394</v>
      </c>
      <c r="G78" s="99">
        <v>77</v>
      </c>
      <c r="H78" s="99">
        <v>29</v>
      </c>
      <c r="I78" s="99">
        <v>219</v>
      </c>
      <c r="J78" s="99">
        <v>1325</v>
      </c>
      <c r="K78" s="99">
        <v>497</v>
      </c>
      <c r="L78" s="99">
        <v>2869</v>
      </c>
      <c r="M78" s="99">
        <v>968</v>
      </c>
      <c r="N78" s="99">
        <v>536</v>
      </c>
      <c r="O78" s="99">
        <v>357</v>
      </c>
      <c r="P78" s="159">
        <v>357</v>
      </c>
      <c r="Q78" s="99">
        <v>38</v>
      </c>
      <c r="R78" s="99">
        <v>87</v>
      </c>
      <c r="S78" s="99">
        <v>85</v>
      </c>
      <c r="T78" s="99">
        <v>58</v>
      </c>
      <c r="U78" s="99" t="s">
        <v>652</v>
      </c>
      <c r="V78" s="99">
        <v>69</v>
      </c>
      <c r="W78" s="99">
        <v>61</v>
      </c>
      <c r="X78" s="99">
        <v>94</v>
      </c>
      <c r="Y78" s="99">
        <v>185</v>
      </c>
      <c r="Z78" s="99">
        <v>58</v>
      </c>
      <c r="AA78" s="99" t="s">
        <v>652</v>
      </c>
      <c r="AB78" s="99" t="s">
        <v>652</v>
      </c>
      <c r="AC78" s="99" t="s">
        <v>652</v>
      </c>
      <c r="AD78" s="98" t="s">
        <v>372</v>
      </c>
      <c r="AE78" s="100">
        <v>0.1788800674488864</v>
      </c>
      <c r="AF78" s="100">
        <v>0.11</v>
      </c>
      <c r="AG78" s="98">
        <v>540.9962762593972</v>
      </c>
      <c r="AH78" s="98">
        <v>203.75184430548725</v>
      </c>
      <c r="AI78" s="100">
        <v>0.015</v>
      </c>
      <c r="AJ78" s="100">
        <v>0.751986</v>
      </c>
      <c r="AK78" s="100">
        <v>0.812092</v>
      </c>
      <c r="AL78" s="100">
        <v>0.796723</v>
      </c>
      <c r="AM78" s="100">
        <v>0.621708</v>
      </c>
      <c r="AN78" s="100">
        <v>0.689833</v>
      </c>
      <c r="AO78" s="98">
        <v>2508.255462657205</v>
      </c>
      <c r="AP78" s="158">
        <v>1.296334991</v>
      </c>
      <c r="AQ78" s="100">
        <v>0.10644257703081232</v>
      </c>
      <c r="AR78" s="100">
        <v>0.4367816091954023</v>
      </c>
      <c r="AS78" s="98">
        <v>597.2036815850488</v>
      </c>
      <c r="AT78" s="98">
        <v>407.5036886109745</v>
      </c>
      <c r="AU78" s="98" t="s">
        <v>652</v>
      </c>
      <c r="AV78" s="98">
        <v>484.7888709337455</v>
      </c>
      <c r="AW78" s="98">
        <v>428.5814656080939</v>
      </c>
      <c r="AX78" s="98">
        <v>660.4370125764069</v>
      </c>
      <c r="AY78" s="98">
        <v>1299.7962481556945</v>
      </c>
      <c r="AZ78" s="98">
        <v>407.5036886109745</v>
      </c>
      <c r="BA78" s="100" t="s">
        <v>652</v>
      </c>
      <c r="BB78" s="100" t="s">
        <v>652</v>
      </c>
      <c r="BC78" s="100" t="s">
        <v>652</v>
      </c>
      <c r="BD78" s="158">
        <v>1.1653348540000001</v>
      </c>
      <c r="BE78" s="158">
        <v>1.4380317690000002</v>
      </c>
      <c r="BF78" s="162">
        <v>1762</v>
      </c>
      <c r="BG78" s="162">
        <v>612</v>
      </c>
      <c r="BH78" s="162">
        <v>3601</v>
      </c>
      <c r="BI78" s="162">
        <v>1557</v>
      </c>
      <c r="BJ78" s="162">
        <v>777</v>
      </c>
      <c r="BK78" s="97"/>
      <c r="BL78" s="97"/>
      <c r="BM78" s="97"/>
      <c r="BN78" s="97"/>
    </row>
    <row r="79" spans="1:66" ht="12.75">
      <c r="A79" s="79" t="s">
        <v>655</v>
      </c>
      <c r="B79" s="79" t="s">
        <v>295</v>
      </c>
      <c r="C79" s="79" t="s">
        <v>243</v>
      </c>
      <c r="D79" s="99">
        <v>9728</v>
      </c>
      <c r="E79" s="99">
        <v>1312</v>
      </c>
      <c r="F79" s="99" t="s">
        <v>395</v>
      </c>
      <c r="G79" s="99">
        <v>49</v>
      </c>
      <c r="H79" s="99">
        <v>29</v>
      </c>
      <c r="I79" s="99">
        <v>145</v>
      </c>
      <c r="J79" s="99">
        <v>835</v>
      </c>
      <c r="K79" s="99">
        <v>288</v>
      </c>
      <c r="L79" s="99">
        <v>1979</v>
      </c>
      <c r="M79" s="99">
        <v>544</v>
      </c>
      <c r="N79" s="99">
        <v>267</v>
      </c>
      <c r="O79" s="99">
        <v>173</v>
      </c>
      <c r="P79" s="159">
        <v>173</v>
      </c>
      <c r="Q79" s="99">
        <v>12</v>
      </c>
      <c r="R79" s="99">
        <v>36</v>
      </c>
      <c r="S79" s="99">
        <v>27</v>
      </c>
      <c r="T79" s="99">
        <v>19</v>
      </c>
      <c r="U79" s="99" t="s">
        <v>652</v>
      </c>
      <c r="V79" s="99">
        <v>53</v>
      </c>
      <c r="W79" s="99">
        <v>32</v>
      </c>
      <c r="X79" s="99">
        <v>34</v>
      </c>
      <c r="Y79" s="99">
        <v>65</v>
      </c>
      <c r="Z79" s="99">
        <v>42</v>
      </c>
      <c r="AA79" s="99" t="s">
        <v>652</v>
      </c>
      <c r="AB79" s="99" t="s">
        <v>652</v>
      </c>
      <c r="AC79" s="99" t="s">
        <v>652</v>
      </c>
      <c r="AD79" s="98" t="s">
        <v>372</v>
      </c>
      <c r="AE79" s="100">
        <v>0.13486842105263158</v>
      </c>
      <c r="AF79" s="100">
        <v>0.17</v>
      </c>
      <c r="AG79" s="98">
        <v>503.7006578947368</v>
      </c>
      <c r="AH79" s="98">
        <v>298.10855263157896</v>
      </c>
      <c r="AI79" s="100">
        <v>0.015</v>
      </c>
      <c r="AJ79" s="100">
        <v>0.712457</v>
      </c>
      <c r="AK79" s="100">
        <v>0.744186</v>
      </c>
      <c r="AL79" s="100">
        <v>0.765275</v>
      </c>
      <c r="AM79" s="100">
        <v>0.554536</v>
      </c>
      <c r="AN79" s="100">
        <v>0.582969</v>
      </c>
      <c r="AO79" s="98">
        <v>1778.3717105263158</v>
      </c>
      <c r="AP79" s="158">
        <v>1.0384939579999999</v>
      </c>
      <c r="AQ79" s="100">
        <v>0.06936416184971098</v>
      </c>
      <c r="AR79" s="100">
        <v>0.3333333333333333</v>
      </c>
      <c r="AS79" s="98">
        <v>277.5493421052632</v>
      </c>
      <c r="AT79" s="98">
        <v>195.3125</v>
      </c>
      <c r="AU79" s="98" t="s">
        <v>652</v>
      </c>
      <c r="AV79" s="98">
        <v>544.8190789473684</v>
      </c>
      <c r="AW79" s="98">
        <v>328.94736842105266</v>
      </c>
      <c r="AX79" s="98">
        <v>349.50657894736844</v>
      </c>
      <c r="AY79" s="98">
        <v>668.1743421052631</v>
      </c>
      <c r="AZ79" s="98">
        <v>431.74342105263156</v>
      </c>
      <c r="BA79" s="100" t="s">
        <v>652</v>
      </c>
      <c r="BB79" s="100" t="s">
        <v>652</v>
      </c>
      <c r="BC79" s="100" t="s">
        <v>652</v>
      </c>
      <c r="BD79" s="158">
        <v>0.8895062256</v>
      </c>
      <c r="BE79" s="158">
        <v>1.205297928</v>
      </c>
      <c r="BF79" s="162">
        <v>1172</v>
      </c>
      <c r="BG79" s="162">
        <v>387</v>
      </c>
      <c r="BH79" s="162">
        <v>2586</v>
      </c>
      <c r="BI79" s="162">
        <v>981</v>
      </c>
      <c r="BJ79" s="162">
        <v>458</v>
      </c>
      <c r="BK79" s="97"/>
      <c r="BL79" s="97"/>
      <c r="BM79" s="97"/>
      <c r="BN79" s="97"/>
    </row>
    <row r="80" spans="1:66" ht="12.75">
      <c r="A80" s="79" t="s">
        <v>626</v>
      </c>
      <c r="B80" s="79" t="s">
        <v>353</v>
      </c>
      <c r="C80" s="79" t="s">
        <v>243</v>
      </c>
      <c r="D80" s="99">
        <v>15133</v>
      </c>
      <c r="E80" s="99">
        <v>36</v>
      </c>
      <c r="F80" s="99" t="s">
        <v>394</v>
      </c>
      <c r="G80" s="99" t="s">
        <v>652</v>
      </c>
      <c r="H80" s="99" t="s">
        <v>652</v>
      </c>
      <c r="I80" s="99">
        <v>31</v>
      </c>
      <c r="J80" s="99">
        <v>108</v>
      </c>
      <c r="K80" s="99">
        <v>43</v>
      </c>
      <c r="L80" s="99">
        <v>1315</v>
      </c>
      <c r="M80" s="99">
        <v>44</v>
      </c>
      <c r="N80" s="99">
        <v>25</v>
      </c>
      <c r="O80" s="99">
        <v>57</v>
      </c>
      <c r="P80" s="159">
        <v>57</v>
      </c>
      <c r="Q80" s="99" t="s">
        <v>652</v>
      </c>
      <c r="R80" s="99" t="s">
        <v>652</v>
      </c>
      <c r="S80" s="99" t="s">
        <v>652</v>
      </c>
      <c r="T80" s="99" t="s">
        <v>652</v>
      </c>
      <c r="U80" s="99" t="s">
        <v>652</v>
      </c>
      <c r="V80" s="99">
        <v>35</v>
      </c>
      <c r="W80" s="99">
        <v>14</v>
      </c>
      <c r="X80" s="99">
        <v>18</v>
      </c>
      <c r="Y80" s="99">
        <v>31</v>
      </c>
      <c r="Z80" s="99" t="s">
        <v>652</v>
      </c>
      <c r="AA80" s="99" t="s">
        <v>652</v>
      </c>
      <c r="AB80" s="99" t="s">
        <v>652</v>
      </c>
      <c r="AC80" s="99" t="s">
        <v>652</v>
      </c>
      <c r="AD80" s="98" t="s">
        <v>372</v>
      </c>
      <c r="AE80" s="100">
        <v>0.002378907024383797</v>
      </c>
      <c r="AF80" s="100">
        <v>0.1</v>
      </c>
      <c r="AG80" s="98" t="s">
        <v>652</v>
      </c>
      <c r="AH80" s="98" t="s">
        <v>652</v>
      </c>
      <c r="AI80" s="100">
        <v>0.002</v>
      </c>
      <c r="AJ80" s="100">
        <v>0.705882</v>
      </c>
      <c r="AK80" s="100">
        <v>0.671875</v>
      </c>
      <c r="AL80" s="100">
        <v>0.530028</v>
      </c>
      <c r="AM80" s="100">
        <v>0.536585</v>
      </c>
      <c r="AN80" s="100">
        <v>0.609756</v>
      </c>
      <c r="AO80" s="98">
        <v>376.66027886076785</v>
      </c>
      <c r="AP80" s="158">
        <v>0.5608976746</v>
      </c>
      <c r="AQ80" s="100" t="s">
        <v>652</v>
      </c>
      <c r="AR80" s="100" t="s">
        <v>652</v>
      </c>
      <c r="AS80" s="98" t="s">
        <v>652</v>
      </c>
      <c r="AT80" s="98" t="s">
        <v>652</v>
      </c>
      <c r="AU80" s="98" t="s">
        <v>652</v>
      </c>
      <c r="AV80" s="98">
        <v>231.28262737064694</v>
      </c>
      <c r="AW80" s="98">
        <v>92.51305094825877</v>
      </c>
      <c r="AX80" s="98">
        <v>118.94535121918985</v>
      </c>
      <c r="AY80" s="98">
        <v>204.85032709971586</v>
      </c>
      <c r="AZ80" s="98" t="s">
        <v>652</v>
      </c>
      <c r="BA80" s="100" t="s">
        <v>652</v>
      </c>
      <c r="BB80" s="100" t="s">
        <v>652</v>
      </c>
      <c r="BC80" s="100" t="s">
        <v>652</v>
      </c>
      <c r="BD80" s="158">
        <v>0.42481842039999995</v>
      </c>
      <c r="BE80" s="158">
        <v>0.7267079926</v>
      </c>
      <c r="BF80" s="162">
        <v>153</v>
      </c>
      <c r="BG80" s="162">
        <v>64</v>
      </c>
      <c r="BH80" s="162">
        <v>2481</v>
      </c>
      <c r="BI80" s="162">
        <v>82</v>
      </c>
      <c r="BJ80" s="162">
        <v>41</v>
      </c>
      <c r="BK80" s="97"/>
      <c r="BL80" s="97"/>
      <c r="BM80" s="97"/>
      <c r="BN80" s="97"/>
    </row>
    <row r="81" spans="1:66" ht="12.75">
      <c r="A81" s="79" t="s">
        <v>585</v>
      </c>
      <c r="B81" s="79" t="s">
        <v>311</v>
      </c>
      <c r="C81" s="79" t="s">
        <v>243</v>
      </c>
      <c r="D81" s="99">
        <v>9407</v>
      </c>
      <c r="E81" s="99">
        <v>1974</v>
      </c>
      <c r="F81" s="99" t="s">
        <v>392</v>
      </c>
      <c r="G81" s="99">
        <v>57</v>
      </c>
      <c r="H81" s="99">
        <v>20</v>
      </c>
      <c r="I81" s="99">
        <v>189</v>
      </c>
      <c r="J81" s="99">
        <v>1151</v>
      </c>
      <c r="K81" s="99">
        <v>509</v>
      </c>
      <c r="L81" s="99">
        <v>1688</v>
      </c>
      <c r="M81" s="99">
        <v>747</v>
      </c>
      <c r="N81" s="99">
        <v>409</v>
      </c>
      <c r="O81" s="99">
        <v>253</v>
      </c>
      <c r="P81" s="159">
        <v>253</v>
      </c>
      <c r="Q81" s="99">
        <v>27</v>
      </c>
      <c r="R81" s="99">
        <v>58</v>
      </c>
      <c r="S81" s="99">
        <v>12</v>
      </c>
      <c r="T81" s="99">
        <v>65</v>
      </c>
      <c r="U81" s="99">
        <v>14</v>
      </c>
      <c r="V81" s="99">
        <v>42</v>
      </c>
      <c r="W81" s="99">
        <v>116</v>
      </c>
      <c r="X81" s="99">
        <v>41</v>
      </c>
      <c r="Y81" s="99">
        <v>173</v>
      </c>
      <c r="Z81" s="99">
        <v>78</v>
      </c>
      <c r="AA81" s="99" t="s">
        <v>652</v>
      </c>
      <c r="AB81" s="99" t="s">
        <v>652</v>
      </c>
      <c r="AC81" s="99" t="s">
        <v>652</v>
      </c>
      <c r="AD81" s="98" t="s">
        <v>372</v>
      </c>
      <c r="AE81" s="100">
        <v>0.2098437333900287</v>
      </c>
      <c r="AF81" s="100">
        <v>0.17</v>
      </c>
      <c r="AG81" s="98">
        <v>605.9317529499309</v>
      </c>
      <c r="AH81" s="98">
        <v>212.60763261401084</v>
      </c>
      <c r="AI81" s="100">
        <v>0.02</v>
      </c>
      <c r="AJ81" s="100">
        <v>0.836483</v>
      </c>
      <c r="AK81" s="100">
        <v>0.780675</v>
      </c>
      <c r="AL81" s="100">
        <v>0.780398</v>
      </c>
      <c r="AM81" s="100">
        <v>0.534717</v>
      </c>
      <c r="AN81" s="100">
        <v>0.64613</v>
      </c>
      <c r="AO81" s="98">
        <v>2689.486552567237</v>
      </c>
      <c r="AP81" s="158">
        <v>1.273429642</v>
      </c>
      <c r="AQ81" s="100">
        <v>0.1067193675889328</v>
      </c>
      <c r="AR81" s="100">
        <v>0.46551724137931033</v>
      </c>
      <c r="AS81" s="98">
        <v>127.5645795684065</v>
      </c>
      <c r="AT81" s="98">
        <v>690.9748059955352</v>
      </c>
      <c r="AU81" s="98">
        <v>148.8253428298076</v>
      </c>
      <c r="AV81" s="98">
        <v>446.4760284894228</v>
      </c>
      <c r="AW81" s="98">
        <v>1233.1242691612629</v>
      </c>
      <c r="AX81" s="98">
        <v>435.8456468587222</v>
      </c>
      <c r="AY81" s="98">
        <v>1839.056022111194</v>
      </c>
      <c r="AZ81" s="98">
        <v>829.1697671946423</v>
      </c>
      <c r="BA81" s="100" t="s">
        <v>652</v>
      </c>
      <c r="BB81" s="100" t="s">
        <v>652</v>
      </c>
      <c r="BC81" s="100" t="s">
        <v>652</v>
      </c>
      <c r="BD81" s="158">
        <v>1.121335526</v>
      </c>
      <c r="BE81" s="158">
        <v>1.440398865</v>
      </c>
      <c r="BF81" s="162">
        <v>1376</v>
      </c>
      <c r="BG81" s="162">
        <v>652</v>
      </c>
      <c r="BH81" s="162">
        <v>2163</v>
      </c>
      <c r="BI81" s="162">
        <v>1397</v>
      </c>
      <c r="BJ81" s="162">
        <v>633</v>
      </c>
      <c r="BK81" s="97"/>
      <c r="BL81" s="97"/>
      <c r="BM81" s="97"/>
      <c r="BN81" s="97"/>
    </row>
    <row r="82" spans="1:66" ht="12.75">
      <c r="A82" s="79" t="s">
        <v>593</v>
      </c>
      <c r="B82" s="79" t="s">
        <v>320</v>
      </c>
      <c r="C82" s="79" t="s">
        <v>243</v>
      </c>
      <c r="D82" s="99">
        <v>21575</v>
      </c>
      <c r="E82" s="99">
        <v>5222</v>
      </c>
      <c r="F82" s="99" t="s">
        <v>395</v>
      </c>
      <c r="G82" s="99">
        <v>139</v>
      </c>
      <c r="H82" s="99">
        <v>64</v>
      </c>
      <c r="I82" s="99">
        <v>456</v>
      </c>
      <c r="J82" s="99">
        <v>2409</v>
      </c>
      <c r="K82" s="99">
        <v>870</v>
      </c>
      <c r="L82" s="99">
        <v>3558</v>
      </c>
      <c r="M82" s="99">
        <v>1740</v>
      </c>
      <c r="N82" s="99">
        <v>998</v>
      </c>
      <c r="O82" s="99">
        <v>614</v>
      </c>
      <c r="P82" s="159">
        <v>614</v>
      </c>
      <c r="Q82" s="99">
        <v>65</v>
      </c>
      <c r="R82" s="99">
        <v>135</v>
      </c>
      <c r="S82" s="99">
        <v>106</v>
      </c>
      <c r="T82" s="99">
        <v>136</v>
      </c>
      <c r="U82" s="99">
        <v>32</v>
      </c>
      <c r="V82" s="99">
        <v>135</v>
      </c>
      <c r="W82" s="99">
        <v>198</v>
      </c>
      <c r="X82" s="99">
        <v>60</v>
      </c>
      <c r="Y82" s="99">
        <v>253</v>
      </c>
      <c r="Z82" s="99">
        <v>104</v>
      </c>
      <c r="AA82" s="99" t="s">
        <v>652</v>
      </c>
      <c r="AB82" s="99" t="s">
        <v>652</v>
      </c>
      <c r="AC82" s="99" t="s">
        <v>652</v>
      </c>
      <c r="AD82" s="98" t="s">
        <v>372</v>
      </c>
      <c r="AE82" s="100">
        <v>0.24203939745075317</v>
      </c>
      <c r="AF82" s="100">
        <v>0.15</v>
      </c>
      <c r="AG82" s="98">
        <v>644.2641946697566</v>
      </c>
      <c r="AH82" s="98">
        <v>296.6396292004635</v>
      </c>
      <c r="AI82" s="100">
        <v>0.021</v>
      </c>
      <c r="AJ82" s="100">
        <v>0.769403</v>
      </c>
      <c r="AK82" s="100">
        <v>0.838959</v>
      </c>
      <c r="AL82" s="100">
        <v>0.730595</v>
      </c>
      <c r="AM82" s="100">
        <v>0.577306</v>
      </c>
      <c r="AN82" s="100">
        <v>0.626098</v>
      </c>
      <c r="AO82" s="98">
        <v>2845.886442641947</v>
      </c>
      <c r="AP82" s="158">
        <v>1.278289261</v>
      </c>
      <c r="AQ82" s="100">
        <v>0.10586319218241043</v>
      </c>
      <c r="AR82" s="100">
        <v>0.48148148148148145</v>
      </c>
      <c r="AS82" s="98">
        <v>491.30938586326766</v>
      </c>
      <c r="AT82" s="98">
        <v>630.359212050985</v>
      </c>
      <c r="AU82" s="98">
        <v>148.31981460023175</v>
      </c>
      <c r="AV82" s="98">
        <v>625.7242178447277</v>
      </c>
      <c r="AW82" s="98">
        <v>917.7288528389339</v>
      </c>
      <c r="AX82" s="98">
        <v>278.0996523754345</v>
      </c>
      <c r="AY82" s="98">
        <v>1172.6535341830822</v>
      </c>
      <c r="AZ82" s="98">
        <v>482.0393974507532</v>
      </c>
      <c r="BA82" s="100" t="s">
        <v>652</v>
      </c>
      <c r="BB82" s="100" t="s">
        <v>652</v>
      </c>
      <c r="BC82" s="100" t="s">
        <v>652</v>
      </c>
      <c r="BD82" s="158">
        <v>1.1791642</v>
      </c>
      <c r="BE82" s="158">
        <v>1.383521576</v>
      </c>
      <c r="BF82" s="162">
        <v>3131</v>
      </c>
      <c r="BG82" s="162">
        <v>1037</v>
      </c>
      <c r="BH82" s="162">
        <v>4870</v>
      </c>
      <c r="BI82" s="162">
        <v>3014</v>
      </c>
      <c r="BJ82" s="162">
        <v>1594</v>
      </c>
      <c r="BK82" s="97"/>
      <c r="BL82" s="97"/>
      <c r="BM82" s="97"/>
      <c r="BN82" s="97"/>
    </row>
    <row r="83" spans="1:66" ht="12.75">
      <c r="A83" s="79" t="s">
        <v>641</v>
      </c>
      <c r="B83" s="79" t="s">
        <v>368</v>
      </c>
      <c r="C83" s="79" t="s">
        <v>243</v>
      </c>
      <c r="D83" s="99">
        <v>3438</v>
      </c>
      <c r="E83" s="99">
        <v>755</v>
      </c>
      <c r="F83" s="99" t="s">
        <v>394</v>
      </c>
      <c r="G83" s="99">
        <v>16</v>
      </c>
      <c r="H83" s="99">
        <v>6</v>
      </c>
      <c r="I83" s="99">
        <v>114</v>
      </c>
      <c r="J83" s="99">
        <v>346</v>
      </c>
      <c r="K83" s="99">
        <v>120</v>
      </c>
      <c r="L83" s="99">
        <v>672</v>
      </c>
      <c r="M83" s="99">
        <v>298</v>
      </c>
      <c r="N83" s="99">
        <v>142</v>
      </c>
      <c r="O83" s="99">
        <v>103</v>
      </c>
      <c r="P83" s="159">
        <v>103</v>
      </c>
      <c r="Q83" s="99">
        <v>7</v>
      </c>
      <c r="R83" s="99">
        <v>25</v>
      </c>
      <c r="S83" s="99">
        <v>21</v>
      </c>
      <c r="T83" s="99">
        <v>14</v>
      </c>
      <c r="U83" s="99" t="s">
        <v>652</v>
      </c>
      <c r="V83" s="99">
        <v>21</v>
      </c>
      <c r="W83" s="99">
        <v>19</v>
      </c>
      <c r="X83" s="99">
        <v>19</v>
      </c>
      <c r="Y83" s="99">
        <v>50</v>
      </c>
      <c r="Z83" s="99">
        <v>15</v>
      </c>
      <c r="AA83" s="99" t="s">
        <v>652</v>
      </c>
      <c r="AB83" s="99" t="s">
        <v>652</v>
      </c>
      <c r="AC83" s="99" t="s">
        <v>652</v>
      </c>
      <c r="AD83" s="98" t="s">
        <v>372</v>
      </c>
      <c r="AE83" s="100">
        <v>0.21960442117510182</v>
      </c>
      <c r="AF83" s="100">
        <v>0.11</v>
      </c>
      <c r="AG83" s="98">
        <v>465.3868528214078</v>
      </c>
      <c r="AH83" s="98">
        <v>174.52006980802793</v>
      </c>
      <c r="AI83" s="100">
        <v>0.033</v>
      </c>
      <c r="AJ83" s="100">
        <v>0.789954</v>
      </c>
      <c r="AK83" s="100">
        <v>0.816327</v>
      </c>
      <c r="AL83" s="100">
        <v>0.835821</v>
      </c>
      <c r="AM83" s="100">
        <v>0.624738</v>
      </c>
      <c r="AN83" s="100">
        <v>0.636771</v>
      </c>
      <c r="AO83" s="98">
        <v>2995.927865037813</v>
      </c>
      <c r="AP83" s="158">
        <v>1.454829712</v>
      </c>
      <c r="AQ83" s="100">
        <v>0.06796116504854369</v>
      </c>
      <c r="AR83" s="100">
        <v>0.28</v>
      </c>
      <c r="AS83" s="98">
        <v>610.8202443280977</v>
      </c>
      <c r="AT83" s="98">
        <v>407.21349621873185</v>
      </c>
      <c r="AU83" s="98" t="s">
        <v>652</v>
      </c>
      <c r="AV83" s="98">
        <v>610.8202443280977</v>
      </c>
      <c r="AW83" s="98">
        <v>552.6468877254217</v>
      </c>
      <c r="AX83" s="98">
        <v>552.6468877254217</v>
      </c>
      <c r="AY83" s="98">
        <v>1454.3339150668994</v>
      </c>
      <c r="AZ83" s="98">
        <v>436.3001745200698</v>
      </c>
      <c r="BA83" s="100" t="s">
        <v>652</v>
      </c>
      <c r="BB83" s="100" t="s">
        <v>652</v>
      </c>
      <c r="BC83" s="100" t="s">
        <v>652</v>
      </c>
      <c r="BD83" s="158">
        <v>1.187479172</v>
      </c>
      <c r="BE83" s="158">
        <v>1.764404144</v>
      </c>
      <c r="BF83" s="162">
        <v>438</v>
      </c>
      <c r="BG83" s="162">
        <v>147</v>
      </c>
      <c r="BH83" s="162">
        <v>804</v>
      </c>
      <c r="BI83" s="162">
        <v>477</v>
      </c>
      <c r="BJ83" s="162">
        <v>223</v>
      </c>
      <c r="BK83" s="97"/>
      <c r="BL83" s="97"/>
      <c r="BM83" s="97"/>
      <c r="BN83" s="97"/>
    </row>
    <row r="84" spans="1:66" ht="12.75">
      <c r="A84" s="79" t="s">
        <v>592</v>
      </c>
      <c r="B84" s="79" t="s">
        <v>319</v>
      </c>
      <c r="C84" s="79" t="s">
        <v>243</v>
      </c>
      <c r="D84" s="99">
        <v>6234</v>
      </c>
      <c r="E84" s="99">
        <v>1345</v>
      </c>
      <c r="F84" s="99" t="s">
        <v>394</v>
      </c>
      <c r="G84" s="99">
        <v>27</v>
      </c>
      <c r="H84" s="99">
        <v>20</v>
      </c>
      <c r="I84" s="99">
        <v>148</v>
      </c>
      <c r="J84" s="99">
        <v>724</v>
      </c>
      <c r="K84" s="99">
        <v>180</v>
      </c>
      <c r="L84" s="99">
        <v>1092</v>
      </c>
      <c r="M84" s="99">
        <v>594</v>
      </c>
      <c r="N84" s="99">
        <v>352</v>
      </c>
      <c r="O84" s="99">
        <v>120</v>
      </c>
      <c r="P84" s="159">
        <v>120</v>
      </c>
      <c r="Q84" s="99">
        <v>21</v>
      </c>
      <c r="R84" s="99">
        <v>39</v>
      </c>
      <c r="S84" s="99">
        <v>8</v>
      </c>
      <c r="T84" s="99">
        <v>22</v>
      </c>
      <c r="U84" s="99">
        <v>7</v>
      </c>
      <c r="V84" s="99">
        <v>24</v>
      </c>
      <c r="W84" s="99">
        <v>78</v>
      </c>
      <c r="X84" s="99">
        <v>9</v>
      </c>
      <c r="Y84" s="99">
        <v>71</v>
      </c>
      <c r="Z84" s="99">
        <v>31</v>
      </c>
      <c r="AA84" s="99" t="s">
        <v>652</v>
      </c>
      <c r="AB84" s="99" t="s">
        <v>652</v>
      </c>
      <c r="AC84" s="99" t="s">
        <v>652</v>
      </c>
      <c r="AD84" s="98" t="s">
        <v>372</v>
      </c>
      <c r="AE84" s="100">
        <v>0.21575232595444338</v>
      </c>
      <c r="AF84" s="100">
        <v>0.11</v>
      </c>
      <c r="AG84" s="98">
        <v>433.1087584215592</v>
      </c>
      <c r="AH84" s="98">
        <v>320.82130253448827</v>
      </c>
      <c r="AI84" s="100">
        <v>0.024</v>
      </c>
      <c r="AJ84" s="100">
        <v>0.775161</v>
      </c>
      <c r="AK84" s="100">
        <v>0.786026</v>
      </c>
      <c r="AL84" s="100">
        <v>0.743869</v>
      </c>
      <c r="AM84" s="100">
        <v>0.619395</v>
      </c>
      <c r="AN84" s="100">
        <v>0.647059</v>
      </c>
      <c r="AO84" s="98">
        <v>1924.9278152069298</v>
      </c>
      <c r="AP84" s="158">
        <v>0.8976217651</v>
      </c>
      <c r="AQ84" s="100">
        <v>0.175</v>
      </c>
      <c r="AR84" s="100">
        <v>0.5384615384615384</v>
      </c>
      <c r="AS84" s="98">
        <v>128.32852101379532</v>
      </c>
      <c r="AT84" s="98">
        <v>352.9034327879371</v>
      </c>
      <c r="AU84" s="98">
        <v>112.2874558870709</v>
      </c>
      <c r="AV84" s="98">
        <v>384.98556304138594</v>
      </c>
      <c r="AW84" s="98">
        <v>1251.2030798845044</v>
      </c>
      <c r="AX84" s="98">
        <v>144.36958614051974</v>
      </c>
      <c r="AY84" s="98">
        <v>1138.9156239974334</v>
      </c>
      <c r="AZ84" s="98">
        <v>497.27301892845685</v>
      </c>
      <c r="BA84" s="101" t="s">
        <v>652</v>
      </c>
      <c r="BB84" s="101" t="s">
        <v>652</v>
      </c>
      <c r="BC84" s="101" t="s">
        <v>652</v>
      </c>
      <c r="BD84" s="158">
        <v>0.7442176818999999</v>
      </c>
      <c r="BE84" s="158">
        <v>1.073335648</v>
      </c>
      <c r="BF84" s="162">
        <v>934</v>
      </c>
      <c r="BG84" s="162">
        <v>229</v>
      </c>
      <c r="BH84" s="162">
        <v>1468</v>
      </c>
      <c r="BI84" s="162">
        <v>959</v>
      </c>
      <c r="BJ84" s="162">
        <v>544</v>
      </c>
      <c r="BK84" s="97"/>
      <c r="BL84" s="97"/>
      <c r="BM84" s="97"/>
      <c r="BN84" s="97"/>
    </row>
    <row r="85" spans="1:66" ht="12.75">
      <c r="A85" s="79" t="s">
        <v>608</v>
      </c>
      <c r="B85" s="79" t="s">
        <v>335</v>
      </c>
      <c r="C85" s="79" t="s">
        <v>243</v>
      </c>
      <c r="D85" s="99">
        <v>12630</v>
      </c>
      <c r="E85" s="99">
        <v>3268</v>
      </c>
      <c r="F85" s="99" t="s">
        <v>394</v>
      </c>
      <c r="G85" s="99">
        <v>72</v>
      </c>
      <c r="H85" s="99">
        <v>45</v>
      </c>
      <c r="I85" s="99">
        <v>223</v>
      </c>
      <c r="J85" s="99">
        <v>1375</v>
      </c>
      <c r="K85" s="99">
        <v>484</v>
      </c>
      <c r="L85" s="99">
        <v>2151</v>
      </c>
      <c r="M85" s="99">
        <v>1162</v>
      </c>
      <c r="N85" s="99">
        <v>629</v>
      </c>
      <c r="O85" s="99">
        <v>380</v>
      </c>
      <c r="P85" s="159">
        <v>380</v>
      </c>
      <c r="Q85" s="99">
        <v>36</v>
      </c>
      <c r="R85" s="99">
        <v>96</v>
      </c>
      <c r="S85" s="99">
        <v>45</v>
      </c>
      <c r="T85" s="99">
        <v>82</v>
      </c>
      <c r="U85" s="99">
        <v>11</v>
      </c>
      <c r="V85" s="99">
        <v>82</v>
      </c>
      <c r="W85" s="99">
        <v>68</v>
      </c>
      <c r="X85" s="99">
        <v>95</v>
      </c>
      <c r="Y85" s="99">
        <v>188</v>
      </c>
      <c r="Z85" s="99">
        <v>99</v>
      </c>
      <c r="AA85" s="99" t="s">
        <v>652</v>
      </c>
      <c r="AB85" s="99" t="s">
        <v>652</v>
      </c>
      <c r="AC85" s="99" t="s">
        <v>652</v>
      </c>
      <c r="AD85" s="98" t="s">
        <v>372</v>
      </c>
      <c r="AE85" s="100">
        <v>0.2587490102929533</v>
      </c>
      <c r="AF85" s="100">
        <v>0.1</v>
      </c>
      <c r="AG85" s="98">
        <v>570.0712589073635</v>
      </c>
      <c r="AH85" s="98">
        <v>356.29453681710214</v>
      </c>
      <c r="AI85" s="100">
        <v>0.018000000000000002</v>
      </c>
      <c r="AJ85" s="100">
        <v>0.774212</v>
      </c>
      <c r="AK85" s="100">
        <v>0.809365</v>
      </c>
      <c r="AL85" s="100">
        <v>0.768763</v>
      </c>
      <c r="AM85" s="100">
        <v>0.629128</v>
      </c>
      <c r="AN85" s="100">
        <v>0.695028</v>
      </c>
      <c r="AO85" s="98">
        <v>3008.709422011085</v>
      </c>
      <c r="AP85" s="158">
        <v>1.314826965</v>
      </c>
      <c r="AQ85" s="100">
        <v>0.09473684210526316</v>
      </c>
      <c r="AR85" s="100">
        <v>0.375</v>
      </c>
      <c r="AS85" s="98">
        <v>356.29453681710214</v>
      </c>
      <c r="AT85" s="98">
        <v>649.2478226444972</v>
      </c>
      <c r="AU85" s="98">
        <v>87.09422011084719</v>
      </c>
      <c r="AV85" s="98">
        <v>649.2478226444972</v>
      </c>
      <c r="AW85" s="98">
        <v>538.4006334125099</v>
      </c>
      <c r="AX85" s="98">
        <v>752.1773555027712</v>
      </c>
      <c r="AY85" s="98">
        <v>1488.5193982581156</v>
      </c>
      <c r="AZ85" s="98">
        <v>783.8479809976247</v>
      </c>
      <c r="BA85" s="100" t="s">
        <v>652</v>
      </c>
      <c r="BB85" s="100" t="s">
        <v>652</v>
      </c>
      <c r="BC85" s="100" t="s">
        <v>652</v>
      </c>
      <c r="BD85" s="158">
        <v>1.18593605</v>
      </c>
      <c r="BE85" s="158">
        <v>1.453905029</v>
      </c>
      <c r="BF85" s="162">
        <v>1776</v>
      </c>
      <c r="BG85" s="162">
        <v>598</v>
      </c>
      <c r="BH85" s="162">
        <v>2798</v>
      </c>
      <c r="BI85" s="162">
        <v>1847</v>
      </c>
      <c r="BJ85" s="162">
        <v>905</v>
      </c>
      <c r="BK85" s="97"/>
      <c r="BL85" s="97"/>
      <c r="BM85" s="97"/>
      <c r="BN85" s="97"/>
    </row>
    <row r="86" spans="1:66" ht="12.75">
      <c r="A86" s="79" t="s">
        <v>588</v>
      </c>
      <c r="B86" s="79" t="s">
        <v>314</v>
      </c>
      <c r="C86" s="79" t="s">
        <v>243</v>
      </c>
      <c r="D86" s="99">
        <v>3084</v>
      </c>
      <c r="E86" s="99">
        <v>958</v>
      </c>
      <c r="F86" s="99" t="s">
        <v>395</v>
      </c>
      <c r="G86" s="99">
        <v>21</v>
      </c>
      <c r="H86" s="99">
        <v>13</v>
      </c>
      <c r="I86" s="99">
        <v>79</v>
      </c>
      <c r="J86" s="99">
        <v>303</v>
      </c>
      <c r="K86" s="99">
        <v>144</v>
      </c>
      <c r="L86" s="99">
        <v>505</v>
      </c>
      <c r="M86" s="99">
        <v>305</v>
      </c>
      <c r="N86" s="99">
        <v>144</v>
      </c>
      <c r="O86" s="99">
        <v>54</v>
      </c>
      <c r="P86" s="159">
        <v>54</v>
      </c>
      <c r="Q86" s="99">
        <v>17</v>
      </c>
      <c r="R86" s="99">
        <v>24</v>
      </c>
      <c r="S86" s="99" t="s">
        <v>652</v>
      </c>
      <c r="T86" s="99">
        <v>6</v>
      </c>
      <c r="U86" s="99" t="s">
        <v>652</v>
      </c>
      <c r="V86" s="99">
        <v>8</v>
      </c>
      <c r="W86" s="99">
        <v>18</v>
      </c>
      <c r="X86" s="99">
        <v>14</v>
      </c>
      <c r="Y86" s="99">
        <v>37</v>
      </c>
      <c r="Z86" s="99">
        <v>27</v>
      </c>
      <c r="AA86" s="99" t="s">
        <v>652</v>
      </c>
      <c r="AB86" s="99" t="s">
        <v>652</v>
      </c>
      <c r="AC86" s="99" t="s">
        <v>652</v>
      </c>
      <c r="AD86" s="98" t="s">
        <v>372</v>
      </c>
      <c r="AE86" s="100">
        <v>0.3106355382619974</v>
      </c>
      <c r="AF86" s="100">
        <v>0.14</v>
      </c>
      <c r="AG86" s="98">
        <v>680.9338521400779</v>
      </c>
      <c r="AH86" s="98">
        <v>421.53047989623866</v>
      </c>
      <c r="AI86" s="100">
        <v>0.026000000000000002</v>
      </c>
      <c r="AJ86" s="100">
        <v>0.617108</v>
      </c>
      <c r="AK86" s="100">
        <v>0.818182</v>
      </c>
      <c r="AL86" s="100">
        <v>0.773354</v>
      </c>
      <c r="AM86" s="100">
        <v>0.608782</v>
      </c>
      <c r="AN86" s="100">
        <v>0.64</v>
      </c>
      <c r="AO86" s="98">
        <v>1750.9727626459144</v>
      </c>
      <c r="AP86" s="158">
        <v>0.6912365723</v>
      </c>
      <c r="AQ86" s="100">
        <v>0.3148148148148148</v>
      </c>
      <c r="AR86" s="100">
        <v>0.7083333333333334</v>
      </c>
      <c r="AS86" s="98" t="s">
        <v>652</v>
      </c>
      <c r="AT86" s="98">
        <v>194.55252918287937</v>
      </c>
      <c r="AU86" s="98" t="s">
        <v>652</v>
      </c>
      <c r="AV86" s="98">
        <v>259.40337224383916</v>
      </c>
      <c r="AW86" s="98">
        <v>583.6575875486382</v>
      </c>
      <c r="AX86" s="98">
        <v>453.9559014267185</v>
      </c>
      <c r="AY86" s="98">
        <v>1199.740596627756</v>
      </c>
      <c r="AZ86" s="98">
        <v>875.4863813229572</v>
      </c>
      <c r="BA86" s="100" t="s">
        <v>652</v>
      </c>
      <c r="BB86" s="100" t="s">
        <v>652</v>
      </c>
      <c r="BC86" s="100" t="s">
        <v>652</v>
      </c>
      <c r="BD86" s="158">
        <v>0.5192782211</v>
      </c>
      <c r="BE86" s="158">
        <v>0.9019138336</v>
      </c>
      <c r="BF86" s="162">
        <v>491</v>
      </c>
      <c r="BG86" s="162">
        <v>176</v>
      </c>
      <c r="BH86" s="162">
        <v>653</v>
      </c>
      <c r="BI86" s="162">
        <v>501</v>
      </c>
      <c r="BJ86" s="162">
        <v>225</v>
      </c>
      <c r="BK86" s="97"/>
      <c r="BL86" s="97"/>
      <c r="BM86" s="97"/>
      <c r="BN86" s="97"/>
    </row>
    <row r="87" spans="1:66" ht="12.75">
      <c r="A87" s="79" t="s">
        <v>590</v>
      </c>
      <c r="B87" s="79" t="s">
        <v>316</v>
      </c>
      <c r="C87" s="79" t="s">
        <v>243</v>
      </c>
      <c r="D87" s="99">
        <v>11629</v>
      </c>
      <c r="E87" s="99">
        <v>1408</v>
      </c>
      <c r="F87" s="99" t="s">
        <v>393</v>
      </c>
      <c r="G87" s="99">
        <v>34</v>
      </c>
      <c r="H87" s="99">
        <v>26</v>
      </c>
      <c r="I87" s="99">
        <v>106</v>
      </c>
      <c r="J87" s="99">
        <v>734</v>
      </c>
      <c r="K87" s="99">
        <v>229</v>
      </c>
      <c r="L87" s="99">
        <v>1845</v>
      </c>
      <c r="M87" s="99">
        <v>478</v>
      </c>
      <c r="N87" s="99">
        <v>274</v>
      </c>
      <c r="O87" s="99">
        <v>231</v>
      </c>
      <c r="P87" s="159">
        <v>231</v>
      </c>
      <c r="Q87" s="99">
        <v>14</v>
      </c>
      <c r="R87" s="99">
        <v>40</v>
      </c>
      <c r="S87" s="99">
        <v>41</v>
      </c>
      <c r="T87" s="99">
        <v>34</v>
      </c>
      <c r="U87" s="99">
        <v>6</v>
      </c>
      <c r="V87" s="99">
        <v>61</v>
      </c>
      <c r="W87" s="99">
        <v>41</v>
      </c>
      <c r="X87" s="99">
        <v>43</v>
      </c>
      <c r="Y87" s="99">
        <v>105</v>
      </c>
      <c r="Z87" s="99">
        <v>62</v>
      </c>
      <c r="AA87" s="99" t="s">
        <v>652</v>
      </c>
      <c r="AB87" s="99" t="s">
        <v>652</v>
      </c>
      <c r="AC87" s="99" t="s">
        <v>652</v>
      </c>
      <c r="AD87" s="98" t="s">
        <v>372</v>
      </c>
      <c r="AE87" s="100">
        <v>0.121076618797833</v>
      </c>
      <c r="AF87" s="100">
        <v>0.26</v>
      </c>
      <c r="AG87" s="98">
        <v>292.37251698340356</v>
      </c>
      <c r="AH87" s="98">
        <v>223.5789835755439</v>
      </c>
      <c r="AI87" s="100">
        <v>0.009000000000000001</v>
      </c>
      <c r="AJ87" s="100">
        <v>0.665458</v>
      </c>
      <c r="AK87" s="100">
        <v>0.677515</v>
      </c>
      <c r="AL87" s="100">
        <v>0.674096</v>
      </c>
      <c r="AM87" s="100">
        <v>0.516199</v>
      </c>
      <c r="AN87" s="100">
        <v>0.558045</v>
      </c>
      <c r="AO87" s="98">
        <v>1986.4132771519478</v>
      </c>
      <c r="AP87" s="158">
        <v>1.293164215</v>
      </c>
      <c r="AQ87" s="100">
        <v>0.06060606060606061</v>
      </c>
      <c r="AR87" s="100">
        <v>0.35</v>
      </c>
      <c r="AS87" s="98">
        <v>352.5668587152808</v>
      </c>
      <c r="AT87" s="98">
        <v>292.37251698340356</v>
      </c>
      <c r="AU87" s="98">
        <v>51.59515005589475</v>
      </c>
      <c r="AV87" s="98">
        <v>524.5506922349299</v>
      </c>
      <c r="AW87" s="98">
        <v>352.5668587152808</v>
      </c>
      <c r="AX87" s="98">
        <v>369.76524206724565</v>
      </c>
      <c r="AY87" s="98">
        <v>902.915125978158</v>
      </c>
      <c r="AZ87" s="98">
        <v>533.1498839109124</v>
      </c>
      <c r="BA87" s="100" t="s">
        <v>652</v>
      </c>
      <c r="BB87" s="100" t="s">
        <v>652</v>
      </c>
      <c r="BC87" s="100" t="s">
        <v>652</v>
      </c>
      <c r="BD87" s="158">
        <v>1.1317666629999998</v>
      </c>
      <c r="BE87" s="158">
        <v>1.471121979</v>
      </c>
      <c r="BF87" s="162">
        <v>1103</v>
      </c>
      <c r="BG87" s="162">
        <v>338</v>
      </c>
      <c r="BH87" s="162">
        <v>2737</v>
      </c>
      <c r="BI87" s="162">
        <v>926</v>
      </c>
      <c r="BJ87" s="162">
        <v>491</v>
      </c>
      <c r="BK87" s="97"/>
      <c r="BL87" s="97"/>
      <c r="BM87" s="97"/>
      <c r="BN87" s="97"/>
    </row>
    <row r="88" spans="1:66" ht="12.75">
      <c r="A88" s="79" t="s">
        <v>633</v>
      </c>
      <c r="B88" s="79" t="s">
        <v>360</v>
      </c>
      <c r="C88" s="79" t="s">
        <v>243</v>
      </c>
      <c r="D88" s="99">
        <v>4078</v>
      </c>
      <c r="E88" s="99">
        <v>699</v>
      </c>
      <c r="F88" s="99" t="s">
        <v>395</v>
      </c>
      <c r="G88" s="99">
        <v>26</v>
      </c>
      <c r="H88" s="99" t="s">
        <v>652</v>
      </c>
      <c r="I88" s="99">
        <v>63</v>
      </c>
      <c r="J88" s="99">
        <v>390</v>
      </c>
      <c r="K88" s="99">
        <v>139</v>
      </c>
      <c r="L88" s="99">
        <v>842</v>
      </c>
      <c r="M88" s="99">
        <v>246</v>
      </c>
      <c r="N88" s="99">
        <v>134</v>
      </c>
      <c r="O88" s="99">
        <v>61</v>
      </c>
      <c r="P88" s="159">
        <v>61</v>
      </c>
      <c r="Q88" s="99">
        <v>9</v>
      </c>
      <c r="R88" s="99">
        <v>17</v>
      </c>
      <c r="S88" s="99">
        <v>8</v>
      </c>
      <c r="T88" s="99">
        <v>12</v>
      </c>
      <c r="U88" s="99" t="s">
        <v>652</v>
      </c>
      <c r="V88" s="99">
        <v>17</v>
      </c>
      <c r="W88" s="99">
        <v>18</v>
      </c>
      <c r="X88" s="99">
        <v>21</v>
      </c>
      <c r="Y88" s="99">
        <v>34</v>
      </c>
      <c r="Z88" s="99">
        <v>11</v>
      </c>
      <c r="AA88" s="99" t="s">
        <v>652</v>
      </c>
      <c r="AB88" s="99" t="s">
        <v>652</v>
      </c>
      <c r="AC88" s="99" t="s">
        <v>652</v>
      </c>
      <c r="AD88" s="98" t="s">
        <v>372</v>
      </c>
      <c r="AE88" s="100">
        <v>0.1714075527219225</v>
      </c>
      <c r="AF88" s="100">
        <v>0.15</v>
      </c>
      <c r="AG88" s="98">
        <v>637.5674350171653</v>
      </c>
      <c r="AH88" s="98" t="s">
        <v>652</v>
      </c>
      <c r="AI88" s="100">
        <v>0.015</v>
      </c>
      <c r="AJ88" s="100">
        <v>0.819328</v>
      </c>
      <c r="AK88" s="100">
        <v>0.776536</v>
      </c>
      <c r="AL88" s="100">
        <v>0.819864</v>
      </c>
      <c r="AM88" s="100">
        <v>0.573427</v>
      </c>
      <c r="AN88" s="100">
        <v>0.641148</v>
      </c>
      <c r="AO88" s="98">
        <v>1495.8312898479646</v>
      </c>
      <c r="AP88" s="158">
        <v>0.7924001312</v>
      </c>
      <c r="AQ88" s="100">
        <v>0.14754098360655737</v>
      </c>
      <c r="AR88" s="100">
        <v>0.5294117647058824</v>
      </c>
      <c r="AS88" s="98">
        <v>196.174595389897</v>
      </c>
      <c r="AT88" s="98">
        <v>294.2618930848455</v>
      </c>
      <c r="AU88" s="98" t="s">
        <v>652</v>
      </c>
      <c r="AV88" s="98">
        <v>416.87101520353116</v>
      </c>
      <c r="AW88" s="98">
        <v>441.39283962726824</v>
      </c>
      <c r="AX88" s="98">
        <v>514.9583128984797</v>
      </c>
      <c r="AY88" s="98">
        <v>833.7420304070623</v>
      </c>
      <c r="AZ88" s="98">
        <v>269.7400686611084</v>
      </c>
      <c r="BA88" s="100" t="s">
        <v>652</v>
      </c>
      <c r="BB88" s="100" t="s">
        <v>652</v>
      </c>
      <c r="BC88" s="100" t="s">
        <v>652</v>
      </c>
      <c r="BD88" s="158">
        <v>0.6061233139</v>
      </c>
      <c r="BE88" s="158">
        <v>1.01787117</v>
      </c>
      <c r="BF88" s="162">
        <v>476</v>
      </c>
      <c r="BG88" s="162">
        <v>179</v>
      </c>
      <c r="BH88" s="162">
        <v>1027</v>
      </c>
      <c r="BI88" s="162">
        <v>429</v>
      </c>
      <c r="BJ88" s="162">
        <v>209</v>
      </c>
      <c r="BK88" s="97"/>
      <c r="BL88" s="97"/>
      <c r="BM88" s="97"/>
      <c r="BN88" s="97"/>
    </row>
    <row r="89" spans="1:66" ht="12.75">
      <c r="A89" s="79" t="s">
        <v>639</v>
      </c>
      <c r="B89" s="79" t="s">
        <v>366</v>
      </c>
      <c r="C89" s="79" t="s">
        <v>243</v>
      </c>
      <c r="D89" s="99">
        <v>2890</v>
      </c>
      <c r="E89" s="99">
        <v>476</v>
      </c>
      <c r="F89" s="99" t="s">
        <v>394</v>
      </c>
      <c r="G89" s="99">
        <v>12</v>
      </c>
      <c r="H89" s="99">
        <v>9</v>
      </c>
      <c r="I89" s="99">
        <v>54</v>
      </c>
      <c r="J89" s="99">
        <v>300</v>
      </c>
      <c r="K89" s="99">
        <v>86</v>
      </c>
      <c r="L89" s="99">
        <v>610</v>
      </c>
      <c r="M89" s="99">
        <v>205</v>
      </c>
      <c r="N89" s="99">
        <v>96</v>
      </c>
      <c r="O89" s="99">
        <v>77</v>
      </c>
      <c r="P89" s="159">
        <v>77</v>
      </c>
      <c r="Q89" s="99">
        <v>10</v>
      </c>
      <c r="R89" s="99">
        <v>21</v>
      </c>
      <c r="S89" s="99">
        <v>14</v>
      </c>
      <c r="T89" s="99">
        <v>9</v>
      </c>
      <c r="U89" s="99" t="s">
        <v>652</v>
      </c>
      <c r="V89" s="99" t="s">
        <v>652</v>
      </c>
      <c r="W89" s="99">
        <v>13</v>
      </c>
      <c r="X89" s="99">
        <v>22</v>
      </c>
      <c r="Y89" s="99">
        <v>31</v>
      </c>
      <c r="Z89" s="99">
        <v>19</v>
      </c>
      <c r="AA89" s="99" t="s">
        <v>652</v>
      </c>
      <c r="AB89" s="99" t="s">
        <v>652</v>
      </c>
      <c r="AC89" s="99" t="s">
        <v>652</v>
      </c>
      <c r="AD89" s="98" t="s">
        <v>372</v>
      </c>
      <c r="AE89" s="100">
        <v>0.16470588235294117</v>
      </c>
      <c r="AF89" s="100">
        <v>0.09</v>
      </c>
      <c r="AG89" s="98">
        <v>415.2249134948097</v>
      </c>
      <c r="AH89" s="98">
        <v>311.4186851211073</v>
      </c>
      <c r="AI89" s="100">
        <v>0.019</v>
      </c>
      <c r="AJ89" s="100">
        <v>0.738916</v>
      </c>
      <c r="AK89" s="100">
        <v>0.788991</v>
      </c>
      <c r="AL89" s="100">
        <v>0.804749</v>
      </c>
      <c r="AM89" s="100">
        <v>0.642633</v>
      </c>
      <c r="AN89" s="100">
        <v>0.676056</v>
      </c>
      <c r="AO89" s="98">
        <v>2664.3598615916953</v>
      </c>
      <c r="AP89" s="158">
        <v>1.379234314</v>
      </c>
      <c r="AQ89" s="100">
        <v>0.12987012987012986</v>
      </c>
      <c r="AR89" s="100">
        <v>0.47619047619047616</v>
      </c>
      <c r="AS89" s="98">
        <v>484.42906574394465</v>
      </c>
      <c r="AT89" s="98">
        <v>311.4186851211073</v>
      </c>
      <c r="AU89" s="98" t="s">
        <v>652</v>
      </c>
      <c r="AV89" s="98" t="s">
        <v>652</v>
      </c>
      <c r="AW89" s="98">
        <v>449.8269896193772</v>
      </c>
      <c r="AX89" s="98">
        <v>761.2456747404844</v>
      </c>
      <c r="AY89" s="98">
        <v>1072.6643598615917</v>
      </c>
      <c r="AZ89" s="98">
        <v>657.439446366782</v>
      </c>
      <c r="BA89" s="100" t="s">
        <v>652</v>
      </c>
      <c r="BB89" s="100" t="s">
        <v>652</v>
      </c>
      <c r="BC89" s="100" t="s">
        <v>652</v>
      </c>
      <c r="BD89" s="158">
        <v>1.0884701540000001</v>
      </c>
      <c r="BE89" s="158">
        <v>1.7238063049999999</v>
      </c>
      <c r="BF89" s="162">
        <v>406</v>
      </c>
      <c r="BG89" s="162">
        <v>109</v>
      </c>
      <c r="BH89" s="162">
        <v>758</v>
      </c>
      <c r="BI89" s="162">
        <v>319</v>
      </c>
      <c r="BJ89" s="162">
        <v>142</v>
      </c>
      <c r="BK89" s="97"/>
      <c r="BL89" s="97"/>
      <c r="BM89" s="97"/>
      <c r="BN89" s="97"/>
    </row>
    <row r="90" spans="1:66" ht="12.75">
      <c r="A90" s="79" t="s">
        <v>627</v>
      </c>
      <c r="B90" s="79" t="s">
        <v>354</v>
      </c>
      <c r="C90" s="79" t="s">
        <v>243</v>
      </c>
      <c r="D90" s="99">
        <v>6672</v>
      </c>
      <c r="E90" s="99">
        <v>924</v>
      </c>
      <c r="F90" s="99" t="s">
        <v>392</v>
      </c>
      <c r="G90" s="99">
        <v>25</v>
      </c>
      <c r="H90" s="99">
        <v>17</v>
      </c>
      <c r="I90" s="99">
        <v>121</v>
      </c>
      <c r="J90" s="99">
        <v>457</v>
      </c>
      <c r="K90" s="99">
        <v>150</v>
      </c>
      <c r="L90" s="99">
        <v>1202</v>
      </c>
      <c r="M90" s="99">
        <v>313</v>
      </c>
      <c r="N90" s="99">
        <v>151</v>
      </c>
      <c r="O90" s="99">
        <v>158</v>
      </c>
      <c r="P90" s="159">
        <v>158</v>
      </c>
      <c r="Q90" s="99">
        <v>16</v>
      </c>
      <c r="R90" s="99">
        <v>37</v>
      </c>
      <c r="S90" s="99">
        <v>20</v>
      </c>
      <c r="T90" s="99">
        <v>27</v>
      </c>
      <c r="U90" s="99" t="s">
        <v>652</v>
      </c>
      <c r="V90" s="99">
        <v>22</v>
      </c>
      <c r="W90" s="99">
        <v>17</v>
      </c>
      <c r="X90" s="99">
        <v>26</v>
      </c>
      <c r="Y90" s="99">
        <v>70</v>
      </c>
      <c r="Z90" s="99">
        <v>35</v>
      </c>
      <c r="AA90" s="99" t="s">
        <v>652</v>
      </c>
      <c r="AB90" s="99" t="s">
        <v>652</v>
      </c>
      <c r="AC90" s="99" t="s">
        <v>652</v>
      </c>
      <c r="AD90" s="98" t="s">
        <v>372</v>
      </c>
      <c r="AE90" s="100">
        <v>0.13848920863309352</v>
      </c>
      <c r="AF90" s="100">
        <v>0.22</v>
      </c>
      <c r="AG90" s="98">
        <v>374.70023980815347</v>
      </c>
      <c r="AH90" s="98">
        <v>254.79616306954438</v>
      </c>
      <c r="AI90" s="100">
        <v>0.018000000000000002</v>
      </c>
      <c r="AJ90" s="100">
        <v>0.728868</v>
      </c>
      <c r="AK90" s="100">
        <v>0.78534</v>
      </c>
      <c r="AL90" s="100">
        <v>0.788197</v>
      </c>
      <c r="AM90" s="100">
        <v>0.526936</v>
      </c>
      <c r="AN90" s="100">
        <v>0.541219</v>
      </c>
      <c r="AO90" s="98">
        <v>2368.10551558753</v>
      </c>
      <c r="AP90" s="158">
        <v>1.473677979</v>
      </c>
      <c r="AQ90" s="100">
        <v>0.10126582278481013</v>
      </c>
      <c r="AR90" s="100">
        <v>0.43243243243243246</v>
      </c>
      <c r="AS90" s="98">
        <v>299.7601918465228</v>
      </c>
      <c r="AT90" s="98">
        <v>404.67625899280574</v>
      </c>
      <c r="AU90" s="98" t="s">
        <v>652</v>
      </c>
      <c r="AV90" s="98">
        <v>329.73621103117506</v>
      </c>
      <c r="AW90" s="98">
        <v>254.79616306954438</v>
      </c>
      <c r="AX90" s="98">
        <v>389.6882494004796</v>
      </c>
      <c r="AY90" s="98">
        <v>1049.1606714628297</v>
      </c>
      <c r="AZ90" s="98">
        <v>524.5803357314148</v>
      </c>
      <c r="BA90" s="100" t="s">
        <v>652</v>
      </c>
      <c r="BB90" s="100" t="s">
        <v>652</v>
      </c>
      <c r="BC90" s="100" t="s">
        <v>652</v>
      </c>
      <c r="BD90" s="158">
        <v>1.252850266</v>
      </c>
      <c r="BE90" s="158">
        <v>1.7222193909999999</v>
      </c>
      <c r="BF90" s="162">
        <v>627</v>
      </c>
      <c r="BG90" s="162">
        <v>191</v>
      </c>
      <c r="BH90" s="162">
        <v>1525</v>
      </c>
      <c r="BI90" s="162">
        <v>594</v>
      </c>
      <c r="BJ90" s="162">
        <v>279</v>
      </c>
      <c r="BK90" s="97"/>
      <c r="BL90" s="97"/>
      <c r="BM90" s="97"/>
      <c r="BN90" s="97"/>
    </row>
    <row r="91" spans="1:66" ht="12.75">
      <c r="A91" s="79" t="s">
        <v>636</v>
      </c>
      <c r="B91" s="79" t="s">
        <v>363</v>
      </c>
      <c r="C91" s="79" t="s">
        <v>243</v>
      </c>
      <c r="D91" s="99">
        <v>5580</v>
      </c>
      <c r="E91" s="99">
        <v>1020</v>
      </c>
      <c r="F91" s="99" t="s">
        <v>396</v>
      </c>
      <c r="G91" s="99">
        <v>29</v>
      </c>
      <c r="H91" s="99">
        <v>15</v>
      </c>
      <c r="I91" s="99">
        <v>94</v>
      </c>
      <c r="J91" s="99">
        <v>645</v>
      </c>
      <c r="K91" s="99">
        <v>160</v>
      </c>
      <c r="L91" s="99">
        <v>1190</v>
      </c>
      <c r="M91" s="99">
        <v>481</v>
      </c>
      <c r="N91" s="99">
        <v>271</v>
      </c>
      <c r="O91" s="99">
        <v>125</v>
      </c>
      <c r="P91" s="159">
        <v>125</v>
      </c>
      <c r="Q91" s="99">
        <v>15</v>
      </c>
      <c r="R91" s="99">
        <v>31</v>
      </c>
      <c r="S91" s="99">
        <v>19</v>
      </c>
      <c r="T91" s="99">
        <v>23</v>
      </c>
      <c r="U91" s="99">
        <v>7</v>
      </c>
      <c r="V91" s="99">
        <v>26</v>
      </c>
      <c r="W91" s="99">
        <v>48</v>
      </c>
      <c r="X91" s="99">
        <v>15</v>
      </c>
      <c r="Y91" s="99">
        <v>68</v>
      </c>
      <c r="Z91" s="99">
        <v>35</v>
      </c>
      <c r="AA91" s="99" t="s">
        <v>652</v>
      </c>
      <c r="AB91" s="99" t="s">
        <v>652</v>
      </c>
      <c r="AC91" s="99" t="s">
        <v>652</v>
      </c>
      <c r="AD91" s="98" t="s">
        <v>372</v>
      </c>
      <c r="AE91" s="100">
        <v>0.1827956989247312</v>
      </c>
      <c r="AF91" s="100">
        <v>0.08</v>
      </c>
      <c r="AG91" s="98">
        <v>519.7132616487455</v>
      </c>
      <c r="AH91" s="98">
        <v>268.81720430107526</v>
      </c>
      <c r="AI91" s="100">
        <v>0.017</v>
      </c>
      <c r="AJ91" s="100">
        <v>0.809285</v>
      </c>
      <c r="AK91" s="100">
        <v>0.869565</v>
      </c>
      <c r="AL91" s="100">
        <v>0.851825</v>
      </c>
      <c r="AM91" s="100">
        <v>0.698113</v>
      </c>
      <c r="AN91" s="100">
        <v>0.711286</v>
      </c>
      <c r="AO91" s="98">
        <v>2240.1433691756274</v>
      </c>
      <c r="AP91" s="158">
        <v>1.126451721</v>
      </c>
      <c r="AQ91" s="100">
        <v>0.12</v>
      </c>
      <c r="AR91" s="100">
        <v>0.4838709677419355</v>
      </c>
      <c r="AS91" s="98">
        <v>340.5017921146953</v>
      </c>
      <c r="AT91" s="98">
        <v>412.18637992831543</v>
      </c>
      <c r="AU91" s="98">
        <v>125.44802867383513</v>
      </c>
      <c r="AV91" s="98">
        <v>465.9498207885305</v>
      </c>
      <c r="AW91" s="98">
        <v>860.2150537634409</v>
      </c>
      <c r="AX91" s="98">
        <v>268.81720430107526</v>
      </c>
      <c r="AY91" s="98">
        <v>1218.6379928315412</v>
      </c>
      <c r="AZ91" s="98">
        <v>627.2401433691756</v>
      </c>
      <c r="BA91" s="100" t="s">
        <v>652</v>
      </c>
      <c r="BB91" s="100" t="s">
        <v>652</v>
      </c>
      <c r="BC91" s="100" t="s">
        <v>652</v>
      </c>
      <c r="BD91" s="158">
        <v>0.937648468</v>
      </c>
      <c r="BE91" s="158">
        <v>1.342116394</v>
      </c>
      <c r="BF91" s="162">
        <v>797</v>
      </c>
      <c r="BG91" s="162">
        <v>184</v>
      </c>
      <c r="BH91" s="162">
        <v>1397</v>
      </c>
      <c r="BI91" s="162">
        <v>689</v>
      </c>
      <c r="BJ91" s="162">
        <v>381</v>
      </c>
      <c r="BK91" s="97"/>
      <c r="BL91" s="97"/>
      <c r="BM91" s="97"/>
      <c r="BN91" s="97"/>
    </row>
    <row r="92" spans="1:66" ht="12.75">
      <c r="A92" s="79" t="s">
        <v>594</v>
      </c>
      <c r="B92" s="79" t="s">
        <v>321</v>
      </c>
      <c r="C92" s="79" t="s">
        <v>243</v>
      </c>
      <c r="D92" s="99">
        <v>18448</v>
      </c>
      <c r="E92" s="99">
        <v>3614</v>
      </c>
      <c r="F92" s="99" t="s">
        <v>396</v>
      </c>
      <c r="G92" s="99">
        <v>102</v>
      </c>
      <c r="H92" s="99">
        <v>55</v>
      </c>
      <c r="I92" s="99">
        <v>301</v>
      </c>
      <c r="J92" s="99">
        <v>1971</v>
      </c>
      <c r="K92" s="99">
        <v>646</v>
      </c>
      <c r="L92" s="99">
        <v>3585</v>
      </c>
      <c r="M92" s="99">
        <v>1594</v>
      </c>
      <c r="N92" s="99">
        <v>809</v>
      </c>
      <c r="O92" s="99">
        <v>427</v>
      </c>
      <c r="P92" s="159">
        <v>427</v>
      </c>
      <c r="Q92" s="99">
        <v>46</v>
      </c>
      <c r="R92" s="99">
        <v>93</v>
      </c>
      <c r="S92" s="99">
        <v>76</v>
      </c>
      <c r="T92" s="99">
        <v>75</v>
      </c>
      <c r="U92" s="99" t="s">
        <v>652</v>
      </c>
      <c r="V92" s="99">
        <v>79</v>
      </c>
      <c r="W92" s="99">
        <v>93</v>
      </c>
      <c r="X92" s="99">
        <v>103</v>
      </c>
      <c r="Y92" s="99">
        <v>215</v>
      </c>
      <c r="Z92" s="99">
        <v>106</v>
      </c>
      <c r="AA92" s="99" t="s">
        <v>652</v>
      </c>
      <c r="AB92" s="99" t="s">
        <v>652</v>
      </c>
      <c r="AC92" s="99" t="s">
        <v>652</v>
      </c>
      <c r="AD92" s="98" t="s">
        <v>372</v>
      </c>
      <c r="AE92" s="100">
        <v>0.19590199479618386</v>
      </c>
      <c r="AF92" s="100">
        <v>0.08</v>
      </c>
      <c r="AG92" s="98">
        <v>552.9054640069385</v>
      </c>
      <c r="AH92" s="98">
        <v>298.13529921942757</v>
      </c>
      <c r="AI92" s="100">
        <v>0.016</v>
      </c>
      <c r="AJ92" s="100">
        <v>0.796686</v>
      </c>
      <c r="AK92" s="100">
        <v>0.841146</v>
      </c>
      <c r="AL92" s="100">
        <v>0.811821</v>
      </c>
      <c r="AM92" s="100">
        <v>0.665831</v>
      </c>
      <c r="AN92" s="100">
        <v>0.689097</v>
      </c>
      <c r="AO92" s="98">
        <v>2314.614050303556</v>
      </c>
      <c r="AP92" s="158">
        <v>1.145192184</v>
      </c>
      <c r="AQ92" s="100">
        <v>0.10772833723653395</v>
      </c>
      <c r="AR92" s="100">
        <v>0.4946236559139785</v>
      </c>
      <c r="AS92" s="98">
        <v>411.968777103209</v>
      </c>
      <c r="AT92" s="98">
        <v>406.54813529921944</v>
      </c>
      <c r="AU92" s="98" t="s">
        <v>652</v>
      </c>
      <c r="AV92" s="98">
        <v>428.2307025151778</v>
      </c>
      <c r="AW92" s="98">
        <v>504.1196877710321</v>
      </c>
      <c r="AX92" s="98">
        <v>558.326105810928</v>
      </c>
      <c r="AY92" s="98">
        <v>1165.4379878577624</v>
      </c>
      <c r="AZ92" s="98">
        <v>574.5880312228968</v>
      </c>
      <c r="BA92" s="100" t="s">
        <v>652</v>
      </c>
      <c r="BB92" s="100" t="s">
        <v>652</v>
      </c>
      <c r="BC92" s="100" t="s">
        <v>652</v>
      </c>
      <c r="BD92" s="158">
        <v>1.039131393</v>
      </c>
      <c r="BE92" s="158">
        <v>1.259141235</v>
      </c>
      <c r="BF92" s="162">
        <v>2474</v>
      </c>
      <c r="BG92" s="162">
        <v>768</v>
      </c>
      <c r="BH92" s="162">
        <v>4416</v>
      </c>
      <c r="BI92" s="162">
        <v>2394</v>
      </c>
      <c r="BJ92" s="162">
        <v>1174</v>
      </c>
      <c r="BK92" s="97"/>
      <c r="BL92" s="97"/>
      <c r="BM92" s="97"/>
      <c r="BN92" s="97"/>
    </row>
    <row r="93" spans="1:66" ht="12.75">
      <c r="A93" s="79" t="s">
        <v>617</v>
      </c>
      <c r="B93" s="79" t="s">
        <v>344</v>
      </c>
      <c r="C93" s="79" t="s">
        <v>243</v>
      </c>
      <c r="D93" s="99">
        <v>7938</v>
      </c>
      <c r="E93" s="99">
        <v>1374</v>
      </c>
      <c r="F93" s="99" t="s">
        <v>395</v>
      </c>
      <c r="G93" s="99">
        <v>38</v>
      </c>
      <c r="H93" s="99">
        <v>19</v>
      </c>
      <c r="I93" s="99">
        <v>121</v>
      </c>
      <c r="J93" s="99">
        <v>580</v>
      </c>
      <c r="K93" s="99">
        <v>199</v>
      </c>
      <c r="L93" s="99">
        <v>1426</v>
      </c>
      <c r="M93" s="99">
        <v>395</v>
      </c>
      <c r="N93" s="99">
        <v>204</v>
      </c>
      <c r="O93" s="99">
        <v>164</v>
      </c>
      <c r="P93" s="159">
        <v>164</v>
      </c>
      <c r="Q93" s="99">
        <v>23</v>
      </c>
      <c r="R93" s="99">
        <v>57</v>
      </c>
      <c r="S93" s="99">
        <v>35</v>
      </c>
      <c r="T93" s="99">
        <v>28</v>
      </c>
      <c r="U93" s="99" t="s">
        <v>652</v>
      </c>
      <c r="V93" s="99">
        <v>24</v>
      </c>
      <c r="W93" s="99">
        <v>26</v>
      </c>
      <c r="X93" s="99">
        <v>36</v>
      </c>
      <c r="Y93" s="99">
        <v>68</v>
      </c>
      <c r="Z93" s="99">
        <v>49</v>
      </c>
      <c r="AA93" s="99" t="s">
        <v>652</v>
      </c>
      <c r="AB93" s="99" t="s">
        <v>652</v>
      </c>
      <c r="AC93" s="99" t="s">
        <v>652</v>
      </c>
      <c r="AD93" s="98" t="s">
        <v>372</v>
      </c>
      <c r="AE93" s="100">
        <v>0.17309145880574453</v>
      </c>
      <c r="AF93" s="100">
        <v>0.13</v>
      </c>
      <c r="AG93" s="98">
        <v>478.7100025195263</v>
      </c>
      <c r="AH93" s="98">
        <v>239.35500125976316</v>
      </c>
      <c r="AI93" s="100">
        <v>0.015</v>
      </c>
      <c r="AJ93" s="100">
        <v>0.713407</v>
      </c>
      <c r="AK93" s="100">
        <v>0.783465</v>
      </c>
      <c r="AL93" s="100">
        <v>0.720566</v>
      </c>
      <c r="AM93" s="100">
        <v>0.535957</v>
      </c>
      <c r="AN93" s="100">
        <v>0.576271</v>
      </c>
      <c r="AO93" s="98">
        <v>2066.011589821114</v>
      </c>
      <c r="AP93" s="158">
        <v>1.109357834</v>
      </c>
      <c r="AQ93" s="100">
        <v>0.1402439024390244</v>
      </c>
      <c r="AR93" s="100">
        <v>0.40350877192982454</v>
      </c>
      <c r="AS93" s="98">
        <v>440.9171075837742</v>
      </c>
      <c r="AT93" s="98">
        <v>352.7336860670194</v>
      </c>
      <c r="AU93" s="98" t="s">
        <v>652</v>
      </c>
      <c r="AV93" s="98">
        <v>302.34315948601665</v>
      </c>
      <c r="AW93" s="98">
        <v>327.538422776518</v>
      </c>
      <c r="AX93" s="98">
        <v>453.51473922902494</v>
      </c>
      <c r="AY93" s="98">
        <v>856.6389518770471</v>
      </c>
      <c r="AZ93" s="98">
        <v>617.283950617284</v>
      </c>
      <c r="BA93" s="100" t="s">
        <v>652</v>
      </c>
      <c r="BB93" s="100" t="s">
        <v>652</v>
      </c>
      <c r="BC93" s="100" t="s">
        <v>652</v>
      </c>
      <c r="BD93" s="158">
        <v>0.9460682678000001</v>
      </c>
      <c r="BE93" s="158">
        <v>1.2927371220000001</v>
      </c>
      <c r="BF93" s="162">
        <v>813</v>
      </c>
      <c r="BG93" s="162">
        <v>254</v>
      </c>
      <c r="BH93" s="162">
        <v>1979</v>
      </c>
      <c r="BI93" s="162">
        <v>737</v>
      </c>
      <c r="BJ93" s="162">
        <v>354</v>
      </c>
      <c r="BK93" s="97"/>
      <c r="BL93" s="97"/>
      <c r="BM93" s="97"/>
      <c r="BN93" s="97"/>
    </row>
    <row r="94" spans="1:66" ht="12.75">
      <c r="A94" s="79" t="s">
        <v>483</v>
      </c>
      <c r="B94" s="94" t="s">
        <v>243</v>
      </c>
      <c r="C94" s="94" t="s">
        <v>7</v>
      </c>
      <c r="D94" s="99">
        <v>748575</v>
      </c>
      <c r="E94" s="99">
        <v>160919</v>
      </c>
      <c r="F94" s="99">
        <v>92327.95</v>
      </c>
      <c r="G94" s="99">
        <v>4234</v>
      </c>
      <c r="H94" s="99">
        <v>2134</v>
      </c>
      <c r="I94" s="99">
        <v>14820</v>
      </c>
      <c r="J94" s="99">
        <v>80370</v>
      </c>
      <c r="K94" s="99">
        <v>27973</v>
      </c>
      <c r="L94" s="99">
        <v>137787</v>
      </c>
      <c r="M94" s="99">
        <v>61512</v>
      </c>
      <c r="N94" s="99">
        <v>32360</v>
      </c>
      <c r="O94" s="99">
        <v>17688</v>
      </c>
      <c r="P94" s="99">
        <v>17688</v>
      </c>
      <c r="Q94" s="99">
        <v>2035</v>
      </c>
      <c r="R94" s="99">
        <v>4494</v>
      </c>
      <c r="S94" s="99">
        <v>2580</v>
      </c>
      <c r="T94" s="99">
        <v>3202</v>
      </c>
      <c r="U94" s="99">
        <v>385</v>
      </c>
      <c r="V94" s="99">
        <v>3365</v>
      </c>
      <c r="W94" s="99">
        <v>4187</v>
      </c>
      <c r="X94" s="99">
        <v>3570</v>
      </c>
      <c r="Y94" s="99">
        <v>8741</v>
      </c>
      <c r="Z94" s="99">
        <v>4770</v>
      </c>
      <c r="AA94" s="99">
        <v>0</v>
      </c>
      <c r="AB94" s="99">
        <v>0</v>
      </c>
      <c r="AC94" s="99">
        <v>0</v>
      </c>
      <c r="AD94" s="98">
        <v>0</v>
      </c>
      <c r="AE94" s="101">
        <v>0.21496710416457937</v>
      </c>
      <c r="AF94" s="101">
        <v>0.12333827605784323</v>
      </c>
      <c r="AG94" s="98">
        <v>565.6079885115051</v>
      </c>
      <c r="AH94" s="98">
        <v>285.07497578732927</v>
      </c>
      <c r="AI94" s="101">
        <v>0.019797615469391846</v>
      </c>
      <c r="AJ94" s="101">
        <v>0.7779423294712083</v>
      </c>
      <c r="AK94" s="101">
        <v>0.8001430205949657</v>
      </c>
      <c r="AL94" s="101">
        <v>0.7789549260262202</v>
      </c>
      <c r="AM94" s="101">
        <v>0.6139105961256325</v>
      </c>
      <c r="AN94" s="101">
        <v>0.6510411427421788</v>
      </c>
      <c r="AO94" s="98">
        <v>2362.889490031059</v>
      </c>
      <c r="AP94" s="98">
        <v>0</v>
      </c>
      <c r="AQ94" s="101">
        <v>0.1150497512437811</v>
      </c>
      <c r="AR94" s="101">
        <v>0.4528259902091678</v>
      </c>
      <c r="AS94" s="98">
        <v>344.6548442039876</v>
      </c>
      <c r="AT94" s="98">
        <v>427.7460508299102</v>
      </c>
      <c r="AU94" s="98">
        <v>51.43105233276559</v>
      </c>
      <c r="AV94" s="98">
        <v>449.52075610326284</v>
      </c>
      <c r="AW94" s="98">
        <v>559.3293925124403</v>
      </c>
      <c r="AX94" s="98">
        <v>476.9061216310991</v>
      </c>
      <c r="AY94" s="98">
        <v>1167.6852686771533</v>
      </c>
      <c r="AZ94" s="98">
        <v>637.2107003306282</v>
      </c>
      <c r="BA94" s="101">
        <v>0</v>
      </c>
      <c r="BB94" s="101">
        <v>0</v>
      </c>
      <c r="BC94" s="101">
        <v>0</v>
      </c>
      <c r="BD94" s="98">
        <v>0</v>
      </c>
      <c r="BE94" s="98">
        <v>0</v>
      </c>
      <c r="BF94" s="99">
        <v>103311</v>
      </c>
      <c r="BG94" s="99">
        <v>34960</v>
      </c>
      <c r="BH94" s="99">
        <v>176887</v>
      </c>
      <c r="BI94" s="99">
        <v>100197</v>
      </c>
      <c r="BJ94" s="99">
        <v>49705</v>
      </c>
      <c r="BK94" s="97"/>
      <c r="BL94" s="97"/>
      <c r="BM94" s="97"/>
      <c r="BN94" s="97"/>
    </row>
    <row r="95" spans="1:66" ht="12.75">
      <c r="A95" s="79" t="s">
        <v>24</v>
      </c>
      <c r="B95" s="94" t="s">
        <v>7</v>
      </c>
      <c r="C95" s="94" t="s">
        <v>7</v>
      </c>
      <c r="D95" s="99">
        <v>54615830</v>
      </c>
      <c r="E95" s="99">
        <v>8737890</v>
      </c>
      <c r="F95" s="99">
        <v>8198344.169999988</v>
      </c>
      <c r="G95" s="99">
        <v>243379</v>
      </c>
      <c r="H95" s="99">
        <v>127868</v>
      </c>
      <c r="I95" s="99">
        <v>870616</v>
      </c>
      <c r="J95" s="99">
        <v>4592627</v>
      </c>
      <c r="K95" s="99">
        <v>1679592</v>
      </c>
      <c r="L95" s="99">
        <v>10150944</v>
      </c>
      <c r="M95" s="99">
        <v>2959539</v>
      </c>
      <c r="N95" s="99">
        <v>1629320</v>
      </c>
      <c r="O95" s="99">
        <v>989730</v>
      </c>
      <c r="P95" s="99">
        <v>989730</v>
      </c>
      <c r="Q95" s="99">
        <v>108072</v>
      </c>
      <c r="R95" s="99">
        <v>238330</v>
      </c>
      <c r="S95" s="99">
        <v>206300</v>
      </c>
      <c r="T95" s="99">
        <v>154264</v>
      </c>
      <c r="U95" s="99">
        <v>38486</v>
      </c>
      <c r="V95" s="99">
        <v>176535</v>
      </c>
      <c r="W95" s="99">
        <v>307276</v>
      </c>
      <c r="X95" s="99">
        <v>221506</v>
      </c>
      <c r="Y95" s="99">
        <v>578574</v>
      </c>
      <c r="Z95" s="99">
        <v>318377</v>
      </c>
      <c r="AA95" s="99">
        <v>0</v>
      </c>
      <c r="AB95" s="99">
        <v>0</v>
      </c>
      <c r="AC95" s="99">
        <v>0</v>
      </c>
      <c r="AD95" s="98">
        <v>0</v>
      </c>
      <c r="AE95" s="101">
        <v>0.1599882305185145</v>
      </c>
      <c r="AF95" s="101">
        <v>0.15010930292554353</v>
      </c>
      <c r="AG95" s="98">
        <v>445.6198871279627</v>
      </c>
      <c r="AH95" s="98">
        <v>234.12259778895606</v>
      </c>
      <c r="AI95" s="101">
        <v>0.015940726342527432</v>
      </c>
      <c r="AJ95" s="101">
        <v>0.7248631360507991</v>
      </c>
      <c r="AK95" s="101">
        <v>0.7467412166569077</v>
      </c>
      <c r="AL95" s="101">
        <v>0.7559681673907895</v>
      </c>
      <c r="AM95" s="101">
        <v>0.5147293797466616</v>
      </c>
      <c r="AN95" s="101">
        <v>0.5752927626212945</v>
      </c>
      <c r="AO95" s="98">
        <v>1812.1669120472948</v>
      </c>
      <c r="AP95" s="98">
        <v>1</v>
      </c>
      <c r="AQ95" s="101">
        <v>0.10919341638628717</v>
      </c>
      <c r="AR95" s="101">
        <v>0.4534552930810221</v>
      </c>
      <c r="AS95" s="98">
        <v>377.7293140102421</v>
      </c>
      <c r="AT95" s="98">
        <v>282.45290788403287</v>
      </c>
      <c r="AU95" s="98">
        <v>70.46674929228394</v>
      </c>
      <c r="AV95" s="98">
        <v>323.23046266988894</v>
      </c>
      <c r="AW95" s="98">
        <v>562.6134400960308</v>
      </c>
      <c r="AX95" s="98">
        <v>405.57105879375996</v>
      </c>
      <c r="AY95" s="98">
        <v>1059.3522061277838</v>
      </c>
      <c r="AZ95" s="98">
        <v>582.9390489900089</v>
      </c>
      <c r="BA95" s="101">
        <v>0</v>
      </c>
      <c r="BB95" s="101">
        <v>0</v>
      </c>
      <c r="BC95" s="101">
        <v>0</v>
      </c>
      <c r="BD95" s="98">
        <v>0</v>
      </c>
      <c r="BE95" s="98">
        <v>0</v>
      </c>
      <c r="BF95" s="99">
        <v>6335854</v>
      </c>
      <c r="BG95" s="99">
        <v>2249229</v>
      </c>
      <c r="BH95" s="99">
        <v>13427740</v>
      </c>
      <c r="BI95" s="99">
        <v>5749699</v>
      </c>
      <c r="BJ95" s="99">
        <v>2832158</v>
      </c>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422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377</v>
      </c>
      <c r="O4" s="75" t="s">
        <v>376</v>
      </c>
      <c r="P4" s="75" t="s">
        <v>504</v>
      </c>
      <c r="Q4" s="75" t="s">
        <v>505</v>
      </c>
      <c r="R4" s="75" t="s">
        <v>506</v>
      </c>
      <c r="S4" s="75" t="s">
        <v>507</v>
      </c>
      <c r="T4" s="39" t="s">
        <v>278</v>
      </c>
      <c r="U4" s="40" t="s">
        <v>279</v>
      </c>
      <c r="V4" s="41" t="s">
        <v>7</v>
      </c>
      <c r="W4" s="24" t="s">
        <v>2</v>
      </c>
      <c r="X4" s="24" t="s">
        <v>3</v>
      </c>
      <c r="Y4" s="75" t="s">
        <v>659</v>
      </c>
      <c r="Z4" s="75" t="s">
        <v>658</v>
      </c>
      <c r="AA4" s="26" t="s">
        <v>280</v>
      </c>
      <c r="AB4" s="24" t="s">
        <v>5</v>
      </c>
      <c r="AC4" s="75" t="s">
        <v>35</v>
      </c>
      <c r="AD4" s="24" t="s">
        <v>6</v>
      </c>
      <c r="AE4" s="24" t="s">
        <v>281</v>
      </c>
      <c r="AF4" s="24" t="s">
        <v>16</v>
      </c>
      <c r="AG4" s="24" t="s">
        <v>15</v>
      </c>
      <c r="AH4" s="24" t="s">
        <v>14</v>
      </c>
      <c r="AI4" s="25" t="s">
        <v>30</v>
      </c>
      <c r="AJ4" s="47" t="s">
        <v>10</v>
      </c>
      <c r="AK4" s="26" t="s">
        <v>21</v>
      </c>
      <c r="AL4" s="25" t="s">
        <v>22</v>
      </c>
      <c r="AQ4" s="102" t="s">
        <v>419</v>
      </c>
      <c r="AR4" s="102" t="s">
        <v>421</v>
      </c>
      <c r="AS4" s="102" t="s">
        <v>420</v>
      </c>
      <c r="AY4" s="102" t="s">
        <v>501</v>
      </c>
      <c r="AZ4" s="102" t="s">
        <v>502</v>
      </c>
      <c r="BA4" s="102" t="s">
        <v>503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442</v>
      </c>
      <c r="BA5" s="103" t="s">
        <v>372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427</v>
      </c>
      <c r="BA6" s="103" t="s">
        <v>372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2051</v>
      </c>
      <c r="E7" s="38">
        <f>IF(LEFT(VLOOKUP($B7,'Indicator chart'!$D$1:$J$36,5,FALSE),1)=" "," ",VLOOKUP($B7,'Indicator chart'!$D$1:$J$36,5,FALSE))</f>
        <v>0.2244228033701718</v>
      </c>
      <c r="F7" s="38">
        <f>IF(LEFT(VLOOKUP($B7,'Indicator chart'!$D$1:$J$36,6,FALSE),1)=" "," ",VLOOKUP($B7,'Indicator chart'!$D$1:$J$36,6,FALSE))</f>
        <v>0.21598593267002913</v>
      </c>
      <c r="G7" s="38">
        <f>IF(LEFT(VLOOKUP($B7,'Indicator chart'!$D$1:$J$36,7,FALSE),1)=" "," ",VLOOKUP($B7,'Indicator chart'!$D$1:$J$36,7,FALSE))</f>
        <v>0.23309125576119122</v>
      </c>
      <c r="H7" s="50">
        <f aca="true" t="shared" si="0" ref="H7:H31">IF(LEFT(F7,1)=" ",4,IF(AND(ABS(N7-E7)&gt;SQRT((E7-G7)^2+(N7-R7)^2),E7&lt;N7),1,IF(AND(ABS(N7-E7)&gt;SQRT((E7-F7)^2+(N7-S7)^2),E7&gt;N7),3,2)))</f>
        <v>3</v>
      </c>
      <c r="I7" s="38">
        <v>0.0023789070546627045</v>
      </c>
      <c r="J7" s="38">
        <v>0.18118540942668915</v>
      </c>
      <c r="K7" s="38">
        <v>0.22030945122241974</v>
      </c>
      <c r="L7" s="38">
        <v>0.24799571931362152</v>
      </c>
      <c r="M7" s="38">
        <v>0.4042952358722687</v>
      </c>
      <c r="N7" s="80">
        <f>VLOOKUP('Hide - Control'!B$3,'All practice data'!A:CA,A7+29,FALSE)</f>
        <v>0.21496710416457937</v>
      </c>
      <c r="O7" s="80">
        <f>VLOOKUP('Hide - Control'!C$3,'All practice data'!A:CA,A7+29,FALSE)</f>
        <v>0.1599882305185145</v>
      </c>
      <c r="P7" s="38">
        <f>VLOOKUP('Hide - Control'!$B$4,'All practice data'!B:BC,A7+2,FALSE)</f>
        <v>160919</v>
      </c>
      <c r="Q7" s="38">
        <f>VLOOKUP('Hide - Control'!$B$4,'All practice data'!B:BC,3,FALSE)</f>
        <v>748575</v>
      </c>
      <c r="R7" s="38">
        <f>+((2*P7+1.96^2-1.96*SQRT(1.96^2+4*P7*(1-P7/Q7)))/(2*(Q7+1.96^2)))</f>
        <v>0.21403795680591942</v>
      </c>
      <c r="S7" s="38">
        <f>+((2*P7+1.96^2+1.96*SQRT(1.96^2+4*P7*(1-P7/Q7)))/(2*(Q7+1.96^2)))</f>
        <v>0.21589917701969147</v>
      </c>
      <c r="T7" s="53">
        <f>IF($C7=1,M7,I7)</f>
        <v>0.4042952358722687</v>
      </c>
      <c r="U7" s="51">
        <f aca="true" t="shared" si="1" ref="U7:U15">IF($C7=1,I7,M7)</f>
        <v>0.0023789070546627045</v>
      </c>
      <c r="V7" s="7">
        <v>1</v>
      </c>
      <c r="W7" s="27">
        <f aca="true" t="shared" si="2" ref="W7:W31">IF((K7-I7)&gt;(M7-K7),I7,(K7-(M7-K7)))</f>
        <v>0.0023789070546627045</v>
      </c>
      <c r="X7" s="27">
        <f aca="true" t="shared" si="3" ref="X7:X31">IF(W7=I7,K7+(K7-I7),M7)</f>
        <v>0.4382399953901768</v>
      </c>
      <c r="Y7" s="27">
        <f aca="true" t="shared" si="4" ref="Y7:Y31">IF(C7=1,W7,X7)</f>
        <v>0.0023789070546627045</v>
      </c>
      <c r="Z7" s="27">
        <f aca="true" t="shared" si="5" ref="Z7:Z31">IF(C7=1,X7,W7)</f>
        <v>0.4382399953901768</v>
      </c>
      <c r="AA7" s="32">
        <f aca="true" t="shared" si="6" ref="AA7:AA31">IF(ISERROR(IF(C7=1,(I7-$Y7)/($Z7-$Y7),(U7-$Y7)/($Z7-$Y7))),"",IF(C7=1,(I7-$Y7)/($Z7-$Y7),(U7-$Y7)/($Z7-$Y7)))</f>
        <v>0</v>
      </c>
      <c r="AB7" s="33">
        <f aca="true" t="shared" si="7" ref="AB7:AB31">IF(ISERROR(IF(C7=1,(J7-$Y7)/($Z7-$Y7),(L7-$Y7)/($Z7-$Y7))),"",IF(C7=1,(J7-$Y7)/($Z7-$Y7),(L7-$Y7)/($Z7-$Y7)))</f>
        <v>0.41023736038209047</v>
      </c>
      <c r="AC7" s="33">
        <v>0.5</v>
      </c>
      <c r="AD7" s="33">
        <f aca="true" t="shared" si="8" ref="AD7:AD31">IF(ISERROR(IF(C7=1,(L7-$Y7)/($Z7-$Y7),(J7-$Y7)/($Z7-$Y7))),"",IF(C7=1,(L7-$Y7)/($Z7-$Y7),(J7-$Y7)/($Z7-$Y7)))</f>
        <v>0.5635208529325968</v>
      </c>
      <c r="AE7" s="33">
        <f aca="true" t="shared" si="9" ref="AE7:AE31">IF(ISERROR(IF(C7=1,(M7-$Y7)/($Z7-$Y7),(I7-$Y7)/($Z7-$Y7))),"",IF(C7=1,(M7-$Y7)/($Z7-$Y7),(I7-$Y7)/($Z7-$Y7)))</f>
        <v>0.9221202341150988</v>
      </c>
      <c r="AF7" s="33">
        <f aca="true" t="shared" si="10" ref="AF7:AF30">IF(E7=" ",-999,IF(H7=4,(E7-$Y7)/($Z7-$Y7),-999))</f>
        <v>-999</v>
      </c>
      <c r="AG7" s="33">
        <f aca="true" t="shared" si="11" ref="AG7:AG31">IF(E7=" ",-999,IF(H7=2,(E7-$Y7)/($Z7-$Y7),-999))</f>
        <v>-999</v>
      </c>
      <c r="AH7" s="33">
        <f aca="true" t="shared" si="12" ref="AH7:AH31">IF(E7=" ",-999,IF(MAX(AK7:AL7)&gt;-999,MAX(AK7:AL7),-999))</f>
        <v>0.509437300685547</v>
      </c>
      <c r="AI7" s="34">
        <f aca="true" t="shared" si="13" ref="AI7:AI31">IF(ISERROR((O7-$Y7)/($Z7-$Y7)),-999,(O7-$Y7)/($Z7-$Y7))</f>
        <v>0.36160448290013075</v>
      </c>
      <c r="AJ7" s="4">
        <v>2.7020512924389086</v>
      </c>
      <c r="AK7" s="32">
        <f aca="true" t="shared" si="14" ref="AK7:AK31">IF(H7=1,(E7-$Y7)/($Z7-$Y7),-999)</f>
        <v>-999</v>
      </c>
      <c r="AL7" s="34">
        <f aca="true" t="shared" si="15" ref="AL7:AL31">IF(H7=3,(E7-$Y7)/($Z7-$Y7),-999)</f>
        <v>0.509437300685547</v>
      </c>
      <c r="AQ7" s="103">
        <v>2</v>
      </c>
      <c r="AR7" s="103">
        <v>0.2422</v>
      </c>
      <c r="AS7" s="103">
        <v>7.2247</v>
      </c>
      <c r="AY7" s="103" t="s">
        <v>68</v>
      </c>
      <c r="AZ7" s="103" t="s">
        <v>426</v>
      </c>
      <c r="BA7" s="103" t="s">
        <v>372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0.09401631753485035</v>
      </c>
      <c r="G8" s="38">
        <f>IF(LEFT(VLOOKUP($B8,'Indicator chart'!$D$1:$J$36,7,FALSE),1)=" "," ",VLOOKUP($B8,'Indicator chart'!$D$1:$J$36,7,FALSE))</f>
        <v>0.10631982303658864</v>
      </c>
      <c r="H8" s="50">
        <f t="shared" si="0"/>
        <v>1</v>
      </c>
      <c r="I8" s="38">
        <v>0.07000000029802322</v>
      </c>
      <c r="J8" s="38">
        <v>0.10000000149011612</v>
      </c>
      <c r="K8" s="38">
        <v>0.11500000208616257</v>
      </c>
      <c r="L8" s="38">
        <v>0.13750000298023224</v>
      </c>
      <c r="M8" s="38">
        <v>0.25999999046325684</v>
      </c>
      <c r="N8" s="80">
        <f>VLOOKUP('Hide - Control'!B$3,'All practice data'!A:CA,A8+29,FALSE)</f>
        <v>0.12333827605784323</v>
      </c>
      <c r="O8" s="80">
        <f>VLOOKUP('Hide - Control'!C$3,'All practice data'!A:CA,A8+29,FALSE)</f>
        <v>0.15010930292554353</v>
      </c>
      <c r="P8" s="38">
        <f>VLOOKUP('Hide - Control'!$B$4,'All practice data'!B:BC,A8+2,FALSE)</f>
        <v>92327.95</v>
      </c>
      <c r="Q8" s="38">
        <f>VLOOKUP('Hide - Control'!$B$4,'All practice data'!B:BC,3,FALSE)</f>
        <v>748575</v>
      </c>
      <c r="R8" s="38">
        <f>+((2*P8+1.96^2-1.96*SQRT(1.96^2+4*P8*(1-P8/Q8)))/(2*(Q8+1.96^2)))</f>
        <v>0.12259529917845677</v>
      </c>
      <c r="S8" s="38">
        <f>+((2*P8+1.96^2+1.96*SQRT(1.96^2+4*P8*(1-P8/Q8)))/(2*(Q8+1.96^2)))</f>
        <v>0.12408511888587341</v>
      </c>
      <c r="T8" s="53">
        <f aca="true" t="shared" si="16" ref="T8:T15">IF($C8=1,M8,I8)</f>
        <v>0.25999999046325684</v>
      </c>
      <c r="U8" s="51">
        <f t="shared" si="1"/>
        <v>0.07000000029802322</v>
      </c>
      <c r="V8" s="7"/>
      <c r="W8" s="27">
        <f t="shared" si="2"/>
        <v>-0.0299999862909317</v>
      </c>
      <c r="X8" s="27">
        <f t="shared" si="3"/>
        <v>0.25999999046325684</v>
      </c>
      <c r="Y8" s="27">
        <f t="shared" si="4"/>
        <v>-0.0299999862909317</v>
      </c>
      <c r="Z8" s="27">
        <f t="shared" si="5"/>
        <v>0.25999999046325684</v>
      </c>
      <c r="AA8" s="32">
        <f t="shared" si="6"/>
        <v>0.34482756760259153</v>
      </c>
      <c r="AB8" s="33">
        <f t="shared" si="7"/>
        <v>0.4482758558675305</v>
      </c>
      <c r="AC8" s="33">
        <v>0.5</v>
      </c>
      <c r="AD8" s="33">
        <f t="shared" si="8"/>
        <v>0.5775862161987042</v>
      </c>
      <c r="AE8" s="33">
        <f t="shared" si="9"/>
        <v>1</v>
      </c>
      <c r="AF8" s="33">
        <f t="shared" si="10"/>
        <v>-999</v>
      </c>
      <c r="AG8" s="33">
        <f t="shared" si="11"/>
        <v>-999</v>
      </c>
      <c r="AH8" s="33">
        <f t="shared" si="12"/>
        <v>0.4482758507291987</v>
      </c>
      <c r="AI8" s="34">
        <f t="shared" si="13"/>
        <v>0.6210665643230051</v>
      </c>
      <c r="AJ8" s="4">
        <v>3.778046717820832</v>
      </c>
      <c r="AK8" s="32">
        <f t="shared" si="14"/>
        <v>0.4482758507291987</v>
      </c>
      <c r="AL8" s="34">
        <f t="shared" si="15"/>
        <v>-999</v>
      </c>
      <c r="AQ8" s="103">
        <v>3</v>
      </c>
      <c r="AR8" s="103">
        <v>0.6187</v>
      </c>
      <c r="AS8" s="103">
        <v>8.7673</v>
      </c>
      <c r="AY8" s="103" t="s">
        <v>118</v>
      </c>
      <c r="AZ8" s="103" t="s">
        <v>119</v>
      </c>
      <c r="BA8" s="103" t="s">
        <v>372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67</v>
      </c>
      <c r="E9" s="38">
        <f>IF(LEFT(VLOOKUP($B9,'Indicator chart'!$D$1:$J$36,5,FALSE),1)=" "," ",VLOOKUP($B9,'Indicator chart'!$D$1:$J$36,5,FALSE))</f>
        <v>733.1217857533647</v>
      </c>
      <c r="F9" s="38">
        <f>IF(LEFT(VLOOKUP($B9,'Indicator chart'!$D$1:$J$36,6,FALSE),1)=" "," ",VLOOKUP($B9,'Indicator chart'!$D$1:$J$36,6,FALSE))</f>
        <v>568.1303786595524</v>
      </c>
      <c r="G9" s="38">
        <f>IF(LEFT(VLOOKUP($B9,'Indicator chart'!$D$1:$J$36,7,FALSE),1)=" "," ",VLOOKUP($B9,'Indicator chart'!$D$1:$J$36,7,FALSE))</f>
        <v>931.056663617967</v>
      </c>
      <c r="H9" s="50">
        <f t="shared" si="0"/>
        <v>3</v>
      </c>
      <c r="I9" s="38">
        <v>92.60600280761719</v>
      </c>
      <c r="J9" s="38">
        <v>462.8285827636719</v>
      </c>
      <c r="K9" s="38">
        <v>567.695068359375</v>
      </c>
      <c r="L9" s="38">
        <v>645.2601928710938</v>
      </c>
      <c r="M9" s="38">
        <v>1209.341064453125</v>
      </c>
      <c r="N9" s="80">
        <f>VLOOKUP('Hide - Control'!B$3,'All practice data'!A:CA,A9+29,FALSE)</f>
        <v>565.6079885115051</v>
      </c>
      <c r="O9" s="80">
        <f>VLOOKUP('Hide - Control'!C$3,'All practice data'!A:CA,A9+29,FALSE)</f>
        <v>445.6198871279627</v>
      </c>
      <c r="P9" s="38">
        <f>VLOOKUP('Hide - Control'!$B$4,'All practice data'!B:BC,A9+2,FALSE)</f>
        <v>4234</v>
      </c>
      <c r="Q9" s="38">
        <f>VLOOKUP('Hide - Control'!$B$4,'All practice data'!B:BC,3,FALSE)</f>
        <v>748575</v>
      </c>
      <c r="R9" s="38">
        <f>100000*(P9*(1-1/(9*P9)-1.96/(3*SQRT(P9)))^3)/Q9</f>
        <v>548.6977207213985</v>
      </c>
      <c r="S9" s="38">
        <f>100000*((P9+1)*(1-1/(9*(P9+1))+1.96/(3*SQRT(P9+1)))^3)/Q9</f>
        <v>582.9069161656583</v>
      </c>
      <c r="T9" s="53">
        <f t="shared" si="16"/>
        <v>1209.341064453125</v>
      </c>
      <c r="U9" s="51">
        <f t="shared" si="1"/>
        <v>92.60600280761719</v>
      </c>
      <c r="V9" s="7"/>
      <c r="W9" s="27">
        <f t="shared" si="2"/>
        <v>-73.950927734375</v>
      </c>
      <c r="X9" s="27">
        <f t="shared" si="3"/>
        <v>1209.341064453125</v>
      </c>
      <c r="Y9" s="27">
        <f t="shared" si="4"/>
        <v>-73.950927734375</v>
      </c>
      <c r="Z9" s="27">
        <f t="shared" si="5"/>
        <v>1209.341064453125</v>
      </c>
      <c r="AA9" s="32">
        <f t="shared" si="6"/>
        <v>0.129788802202435</v>
      </c>
      <c r="AB9" s="33">
        <f t="shared" si="7"/>
        <v>0.41828322296553283</v>
      </c>
      <c r="AC9" s="33">
        <v>0.5</v>
      </c>
      <c r="AD9" s="33">
        <f t="shared" si="8"/>
        <v>0.5604423038434934</v>
      </c>
      <c r="AE9" s="33">
        <f t="shared" si="9"/>
        <v>1</v>
      </c>
      <c r="AF9" s="33">
        <f t="shared" si="10"/>
        <v>-999</v>
      </c>
      <c r="AG9" s="33">
        <f t="shared" si="11"/>
        <v>-999</v>
      </c>
      <c r="AH9" s="33">
        <f t="shared" si="12"/>
        <v>0.6289080882613498</v>
      </c>
      <c r="AI9" s="34">
        <f t="shared" si="13"/>
        <v>0.4048734177610484</v>
      </c>
      <c r="AJ9" s="4">
        <v>4.854042143202755</v>
      </c>
      <c r="AK9" s="32">
        <f t="shared" si="14"/>
        <v>-999</v>
      </c>
      <c r="AL9" s="34">
        <f t="shared" si="15"/>
        <v>0.6289080882613498</v>
      </c>
      <c r="AQ9" s="103">
        <v>4</v>
      </c>
      <c r="AR9" s="103">
        <v>1.0899</v>
      </c>
      <c r="AS9" s="103">
        <v>10.2416</v>
      </c>
      <c r="AY9" s="103" t="s">
        <v>90</v>
      </c>
      <c r="AZ9" s="103" t="s">
        <v>436</v>
      </c>
      <c r="BA9" s="103" t="s">
        <v>372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25</v>
      </c>
      <c r="E10" s="38">
        <f>IF(LEFT(VLOOKUP($B10,'Indicator chart'!$D$1:$J$36,5,FALSE),1)=" "," ",VLOOKUP($B10,'Indicator chart'!$D$1:$J$36,5,FALSE))</f>
        <v>273.5529051318525</v>
      </c>
      <c r="F10" s="38">
        <f>IF(LEFT(VLOOKUP($B10,'Indicator chart'!$D$1:$J$36,6,FALSE),1)=" "," ",VLOOKUP($B10,'Indicator chart'!$D$1:$J$36,6,FALSE))</f>
        <v>176.97922330187436</v>
      </c>
      <c r="G10" s="38">
        <f>IF(LEFT(VLOOKUP($B10,'Indicator chart'!$D$1:$J$36,7,FALSE),1)=" "," ",VLOOKUP($B10,'Indicator chart'!$D$1:$J$36,7,FALSE))</f>
        <v>403.837210230503</v>
      </c>
      <c r="H10" s="50">
        <f t="shared" si="0"/>
        <v>2</v>
      </c>
      <c r="I10" s="38">
        <v>44.173431396484375</v>
      </c>
      <c r="J10" s="38">
        <v>234.19061279296875</v>
      </c>
      <c r="K10" s="38">
        <v>280.2788391113281</v>
      </c>
      <c r="L10" s="38">
        <v>334.2835693359375</v>
      </c>
      <c r="M10" s="38">
        <v>729.7748413085938</v>
      </c>
      <c r="N10" s="80">
        <f>VLOOKUP('Hide - Control'!B$3,'All practice data'!A:CA,A10+29,FALSE)</f>
        <v>285.07497578732927</v>
      </c>
      <c r="O10" s="80">
        <f>VLOOKUP('Hide - Control'!C$3,'All practice data'!A:CA,A10+29,FALSE)</f>
        <v>234.12259778895606</v>
      </c>
      <c r="P10" s="38">
        <f>VLOOKUP('Hide - Control'!$B$4,'All practice data'!B:BC,A10+2,FALSE)</f>
        <v>2134</v>
      </c>
      <c r="Q10" s="38">
        <f>VLOOKUP('Hide - Control'!$B$4,'All practice data'!B:BC,3,FALSE)</f>
        <v>748575</v>
      </c>
      <c r="R10" s="38">
        <f>100000*(P10*(1-1/(9*P10)-1.96/(3*SQRT(P10)))^3)/Q10</f>
        <v>273.1066193802464</v>
      </c>
      <c r="S10" s="38">
        <f>100000*((P10+1)*(1-1/(9*(P10+1))+1.96/(3*SQRT(P10+1)))^3)/Q10</f>
        <v>297.4328073978486</v>
      </c>
      <c r="T10" s="53">
        <f t="shared" si="16"/>
        <v>729.7748413085938</v>
      </c>
      <c r="U10" s="51">
        <f t="shared" si="1"/>
        <v>44.173431396484375</v>
      </c>
      <c r="V10" s="7"/>
      <c r="W10" s="27">
        <f t="shared" si="2"/>
        <v>-169.2171630859375</v>
      </c>
      <c r="X10" s="27">
        <f t="shared" si="3"/>
        <v>729.7748413085938</v>
      </c>
      <c r="Y10" s="27">
        <f t="shared" si="4"/>
        <v>-169.2171630859375</v>
      </c>
      <c r="Z10" s="27">
        <f t="shared" si="5"/>
        <v>729.7748413085938</v>
      </c>
      <c r="AA10" s="32">
        <f t="shared" si="6"/>
        <v>0.23736650986806038</v>
      </c>
      <c r="AB10" s="33">
        <f t="shared" si="7"/>
        <v>0.44873344135090537</v>
      </c>
      <c r="AC10" s="33">
        <v>0.5</v>
      </c>
      <c r="AD10" s="33">
        <f t="shared" si="8"/>
        <v>0.5600725367529619</v>
      </c>
      <c r="AE10" s="33">
        <f t="shared" si="9"/>
        <v>1</v>
      </c>
      <c r="AF10" s="33">
        <f t="shared" si="10"/>
        <v>-999</v>
      </c>
      <c r="AG10" s="33">
        <f t="shared" si="11"/>
        <v>0.49251836062323434</v>
      </c>
      <c r="AH10" s="33">
        <f t="shared" si="12"/>
        <v>-999</v>
      </c>
      <c r="AI10" s="34">
        <f t="shared" si="13"/>
        <v>0.44865778438879644</v>
      </c>
      <c r="AJ10" s="4">
        <v>5.930037568584676</v>
      </c>
      <c r="AK10" s="32">
        <f t="shared" si="14"/>
        <v>-999</v>
      </c>
      <c r="AL10" s="34">
        <f t="shared" si="15"/>
        <v>-999</v>
      </c>
      <c r="AY10" s="103" t="s">
        <v>96</v>
      </c>
      <c r="AZ10" s="103" t="s">
        <v>97</v>
      </c>
      <c r="BA10" s="103" t="s">
        <v>553</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194</v>
      </c>
      <c r="E11" s="38">
        <f>IF(LEFT(VLOOKUP($B11,'Indicator chart'!$D$1:$J$36,5,FALSE),1)=" "," ",VLOOKUP($B11,'Indicator chart'!$D$1:$J$36,5,FALSE))</f>
        <v>0.021</v>
      </c>
      <c r="F11" s="38">
        <f>IF(LEFT(VLOOKUP($B11,'Indicator chart'!$D$1:$J$36,6,FALSE),1)=" "," ",VLOOKUP($B11,'Indicator chart'!$D$1:$J$36,6,FALSE))</f>
        <v>0.018467371375190268</v>
      </c>
      <c r="G11" s="38">
        <f>IF(LEFT(VLOOKUP($B11,'Indicator chart'!$D$1:$J$36,7,FALSE),1)=" "," ",VLOOKUP($B11,'Indicator chart'!$D$1:$J$36,7,FALSE))</f>
        <v>0.02439037648298109</v>
      </c>
      <c r="H11" s="50">
        <f t="shared" si="0"/>
        <v>2</v>
      </c>
      <c r="I11" s="38">
        <v>0.0020000000949949026</v>
      </c>
      <c r="J11" s="38">
        <v>0.017000000923871994</v>
      </c>
      <c r="K11" s="38">
        <v>0.019999999552965164</v>
      </c>
      <c r="L11" s="38">
        <v>0.024000000208616257</v>
      </c>
      <c r="M11" s="38">
        <v>0.03500000014901161</v>
      </c>
      <c r="N11" s="80">
        <f>VLOOKUP('Hide - Control'!B$3,'All practice data'!A:CA,A11+29,FALSE)</f>
        <v>0.019797615469391846</v>
      </c>
      <c r="O11" s="80">
        <f>VLOOKUP('Hide - Control'!C$3,'All practice data'!A:CA,A11+29,FALSE)</f>
        <v>0.015940726342527432</v>
      </c>
      <c r="P11" s="38">
        <f>VLOOKUP('Hide - Control'!$B$4,'All practice data'!B:BC,A11+2,FALSE)</f>
        <v>14820</v>
      </c>
      <c r="Q11" s="38">
        <f>VLOOKUP('Hide - Control'!$B$4,'All practice data'!B:BC,3,FALSE)</f>
        <v>748575</v>
      </c>
      <c r="R11" s="80">
        <f aca="true" t="shared" si="17" ref="R11:R16">+((2*P11+1.96^2-1.96*SQRT(1.96^2+4*P11*(1-P11/Q11)))/(2*(Q11+1.96^2)))</f>
        <v>0.01948449588530595</v>
      </c>
      <c r="S11" s="80">
        <f aca="true" t="shared" si="18" ref="S11:S16">+((2*P11+1.96^2+1.96*SQRT(1.96^2+4*P11*(1-P11/Q11)))/(2*(Q11+1.96^2)))</f>
        <v>0.02011566371396851</v>
      </c>
      <c r="T11" s="53">
        <f t="shared" si="16"/>
        <v>0.03500000014901161</v>
      </c>
      <c r="U11" s="51">
        <f t="shared" si="1"/>
        <v>0.0020000000949949026</v>
      </c>
      <c r="V11" s="7"/>
      <c r="W11" s="27">
        <f t="shared" si="2"/>
        <v>0.0020000000949949026</v>
      </c>
      <c r="X11" s="27">
        <f t="shared" si="3"/>
        <v>0.037999999010935426</v>
      </c>
      <c r="Y11" s="27">
        <f t="shared" si="4"/>
        <v>0.0020000000949949026</v>
      </c>
      <c r="Z11" s="27">
        <f t="shared" si="5"/>
        <v>0.037999999010935426</v>
      </c>
      <c r="AA11" s="32">
        <f t="shared" si="6"/>
        <v>0</v>
      </c>
      <c r="AB11" s="33">
        <f t="shared" si="7"/>
        <v>0.41666670223801605</v>
      </c>
      <c r="AC11" s="33">
        <v>0.5</v>
      </c>
      <c r="AD11" s="33">
        <f t="shared" si="8"/>
        <v>0.6111111326695047</v>
      </c>
      <c r="AE11" s="33">
        <f t="shared" si="9"/>
        <v>0.916666695770498</v>
      </c>
      <c r="AF11" s="33">
        <f t="shared" si="10"/>
        <v>-999</v>
      </c>
      <c r="AG11" s="33">
        <f t="shared" si="11"/>
        <v>0.5277777910318782</v>
      </c>
      <c r="AH11" s="33">
        <f t="shared" si="12"/>
        <v>-999</v>
      </c>
      <c r="AI11" s="34">
        <f t="shared" si="13"/>
        <v>0.3872424074257314</v>
      </c>
      <c r="AJ11" s="4">
        <v>7.0060329939666</v>
      </c>
      <c r="AK11" s="32">
        <f t="shared" si="14"/>
        <v>-999</v>
      </c>
      <c r="AL11" s="34">
        <f t="shared" si="15"/>
        <v>-999</v>
      </c>
      <c r="AY11" s="103" t="s">
        <v>214</v>
      </c>
      <c r="AZ11" s="103" t="s">
        <v>215</v>
      </c>
      <c r="BA11" s="103" t="s">
        <v>553</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1177</v>
      </c>
      <c r="E12" s="38">
        <f>IF(LEFT(VLOOKUP($B12,'Indicator chart'!$D$1:$J$36,5,FALSE),1)=" "," ",VLOOKUP($B12,'Indicator chart'!$D$1:$J$36,5,FALSE))</f>
        <v>0.821354</v>
      </c>
      <c r="F12" s="38">
        <f>IF(LEFT(VLOOKUP($B12,'Indicator chart'!$D$1:$J$36,6,FALSE),1)=" "," ",VLOOKUP($B12,'Indicator chart'!$D$1:$J$36,6,FALSE))</f>
        <v>0.8006692224018903</v>
      </c>
      <c r="G12" s="38">
        <f>IF(LEFT(VLOOKUP($B12,'Indicator chart'!$D$1:$J$36,7,FALSE),1)=" "," ",VLOOKUP($B12,'Indicator chart'!$D$1:$J$36,7,FALSE))</f>
        <v>0.8403200139899293</v>
      </c>
      <c r="H12" s="50">
        <f t="shared" si="0"/>
        <v>3</v>
      </c>
      <c r="I12" s="38">
        <v>0.6036589741706848</v>
      </c>
      <c r="J12" s="38">
        <v>0.7433934807777405</v>
      </c>
      <c r="K12" s="38">
        <v>0.7770444750785828</v>
      </c>
      <c r="L12" s="38">
        <v>0.7976882457733154</v>
      </c>
      <c r="M12" s="38">
        <v>0.8635900020599365</v>
      </c>
      <c r="N12" s="80">
        <f>VLOOKUP('Hide - Control'!B$3,'All practice data'!A:CA,A12+29,FALSE)</f>
        <v>0.7779423294712083</v>
      </c>
      <c r="O12" s="80">
        <f>VLOOKUP('Hide - Control'!C$3,'All practice data'!A:CA,A12+29,FALSE)</f>
        <v>0.7248631360507991</v>
      </c>
      <c r="P12" s="38">
        <f>VLOOKUP('Hide - Control'!$B$4,'All practice data'!B:BC,A12+2,FALSE)</f>
        <v>80370</v>
      </c>
      <c r="Q12" s="38">
        <f>VLOOKUP('Hide - Control'!$B$4,'All practice data'!B:BJ,57,FALSE)</f>
        <v>103311</v>
      </c>
      <c r="R12" s="38">
        <f t="shared" si="17"/>
        <v>0.775397537686804</v>
      </c>
      <c r="S12" s="38">
        <f t="shared" si="18"/>
        <v>0.7804664515582805</v>
      </c>
      <c r="T12" s="53">
        <f t="shared" si="16"/>
        <v>0.8635900020599365</v>
      </c>
      <c r="U12" s="51">
        <f t="shared" si="1"/>
        <v>0.6036589741706848</v>
      </c>
      <c r="V12" s="7"/>
      <c r="W12" s="27">
        <f t="shared" si="2"/>
        <v>0.6036589741706848</v>
      </c>
      <c r="X12" s="27">
        <f t="shared" si="3"/>
        <v>0.9504299759864807</v>
      </c>
      <c r="Y12" s="27">
        <f t="shared" si="4"/>
        <v>0.6036589741706848</v>
      </c>
      <c r="Z12" s="27">
        <f t="shared" si="5"/>
        <v>0.9504299759864807</v>
      </c>
      <c r="AA12" s="32">
        <f t="shared" si="6"/>
        <v>0</v>
      </c>
      <c r="AB12" s="33">
        <f t="shared" si="7"/>
        <v>0.4029590302400267</v>
      </c>
      <c r="AC12" s="33">
        <v>0.5</v>
      </c>
      <c r="AD12" s="33">
        <f t="shared" si="8"/>
        <v>0.5595314215624598</v>
      </c>
      <c r="AE12" s="33">
        <f t="shared" si="9"/>
        <v>0.7495754446830205</v>
      </c>
      <c r="AF12" s="33">
        <f t="shared" si="10"/>
        <v>-999</v>
      </c>
      <c r="AG12" s="33">
        <f t="shared" si="11"/>
        <v>-999</v>
      </c>
      <c r="AH12" s="33">
        <f t="shared" si="12"/>
        <v>0.6277774804969257</v>
      </c>
      <c r="AI12" s="34">
        <f t="shared" si="13"/>
        <v>0.34952219547036323</v>
      </c>
      <c r="AJ12" s="4">
        <v>8.082028419348523</v>
      </c>
      <c r="AK12" s="32">
        <f t="shared" si="14"/>
        <v>-999</v>
      </c>
      <c r="AL12" s="34">
        <f t="shared" si="15"/>
        <v>0.6277774804969257</v>
      </c>
      <c r="AY12" s="103" t="s">
        <v>261</v>
      </c>
      <c r="AZ12" s="103" t="s">
        <v>489</v>
      </c>
      <c r="BA12" s="103" t="s">
        <v>372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473</v>
      </c>
      <c r="E13" s="38">
        <f>IF(LEFT(VLOOKUP($B13,'Indicator chart'!$D$1:$J$36,5,FALSE),1)=" "," ",VLOOKUP($B13,'Indicator chart'!$D$1:$J$36,5,FALSE))</f>
        <v>0.822609</v>
      </c>
      <c r="F13" s="38">
        <f>IF(LEFT(VLOOKUP($B13,'Indicator chart'!$D$1:$J$36,6,FALSE),1)=" "," ",VLOOKUP($B13,'Indicator chart'!$D$1:$J$36,6,FALSE))</f>
        <v>0.7892741128719897</v>
      </c>
      <c r="G13" s="38">
        <f>IF(LEFT(VLOOKUP($B13,'Indicator chart'!$D$1:$J$36,7,FALSE),1)=" "," ",VLOOKUP($B13,'Indicator chart'!$D$1:$J$36,7,FALSE))</f>
        <v>0.8516611619942259</v>
      </c>
      <c r="H13" s="50">
        <f t="shared" si="0"/>
        <v>2</v>
      </c>
      <c r="I13" s="38">
        <v>0.6393439769744873</v>
      </c>
      <c r="J13" s="38">
        <v>0.7694780230522156</v>
      </c>
      <c r="K13" s="38">
        <v>0.7896569967269897</v>
      </c>
      <c r="L13" s="38">
        <v>0.8205549716949463</v>
      </c>
      <c r="M13" s="38">
        <v>0.8786410093307495</v>
      </c>
      <c r="N13" s="80">
        <f>VLOOKUP('Hide - Control'!B$3,'All practice data'!A:CA,A13+29,FALSE)</f>
        <v>0.8001430205949657</v>
      </c>
      <c r="O13" s="80">
        <f>VLOOKUP('Hide - Control'!C$3,'All practice data'!A:CA,A13+29,FALSE)</f>
        <v>0.7467412166569077</v>
      </c>
      <c r="P13" s="38">
        <f>VLOOKUP('Hide - Control'!$B$4,'All practice data'!B:BC,A13+2,FALSE)</f>
        <v>27973</v>
      </c>
      <c r="Q13" s="38">
        <f>VLOOKUP('Hide - Control'!$B$4,'All practice data'!B:BJ,58,FALSE)</f>
        <v>34960</v>
      </c>
      <c r="R13" s="38">
        <f t="shared" si="17"/>
        <v>0.7959182152571102</v>
      </c>
      <c r="S13" s="38">
        <f t="shared" si="18"/>
        <v>0.8043018703984661</v>
      </c>
      <c r="T13" s="53">
        <f t="shared" si="16"/>
        <v>0.8786410093307495</v>
      </c>
      <c r="U13" s="51">
        <f t="shared" si="1"/>
        <v>0.6393439769744873</v>
      </c>
      <c r="V13" s="7"/>
      <c r="W13" s="27">
        <f t="shared" si="2"/>
        <v>0.6393439769744873</v>
      </c>
      <c r="X13" s="27">
        <f t="shared" si="3"/>
        <v>0.9399700164794922</v>
      </c>
      <c r="Y13" s="27">
        <f t="shared" si="4"/>
        <v>0.6393439769744873</v>
      </c>
      <c r="Z13" s="27">
        <f t="shared" si="5"/>
        <v>0.9399700164794922</v>
      </c>
      <c r="AA13" s="32">
        <f t="shared" si="6"/>
        <v>0</v>
      </c>
      <c r="AB13" s="33">
        <f t="shared" si="7"/>
        <v>0.43287682694420015</v>
      </c>
      <c r="AC13" s="33">
        <v>0.5</v>
      </c>
      <c r="AD13" s="33">
        <f t="shared" si="8"/>
        <v>0.6027787713227755</v>
      </c>
      <c r="AE13" s="33">
        <f t="shared" si="9"/>
        <v>0.795995692024138</v>
      </c>
      <c r="AF13" s="33">
        <f t="shared" si="10"/>
        <v>-999</v>
      </c>
      <c r="AG13" s="33">
        <f t="shared" si="11"/>
        <v>0.6096112742837159</v>
      </c>
      <c r="AH13" s="33">
        <f t="shared" si="12"/>
        <v>-999</v>
      </c>
      <c r="AI13" s="34">
        <f t="shared" si="13"/>
        <v>0.35724530003872956</v>
      </c>
      <c r="AJ13" s="4">
        <v>9.158023844730446</v>
      </c>
      <c r="AK13" s="32">
        <f t="shared" si="14"/>
        <v>-999</v>
      </c>
      <c r="AL13" s="34">
        <f t="shared" si="15"/>
        <v>-999</v>
      </c>
      <c r="AY13" s="103" t="s">
        <v>260</v>
      </c>
      <c r="AZ13" s="103" t="s">
        <v>488</v>
      </c>
      <c r="BA13" s="103" t="s">
        <v>372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1841</v>
      </c>
      <c r="E14" s="38">
        <f>IF(LEFT(VLOOKUP($B14,'Indicator chart'!$D$1:$J$36,5,FALSE),1)=" "," ",VLOOKUP($B14,'Indicator chart'!$D$1:$J$36,5,FALSE))</f>
        <v>0.827788</v>
      </c>
      <c r="F14" s="38">
        <f>IF(LEFT(VLOOKUP($B14,'Indicator chart'!$D$1:$J$36,6,FALSE),1)=" "," ",VLOOKUP($B14,'Indicator chart'!$D$1:$J$36,6,FALSE))</f>
        <v>0.8115338280548259</v>
      </c>
      <c r="G14" s="38">
        <f>IF(LEFT(VLOOKUP($B14,'Indicator chart'!$D$1:$J$36,7,FALSE),1)=" "," ",VLOOKUP($B14,'Indicator chart'!$D$1:$J$36,7,FALSE))</f>
        <v>0.8429112635531233</v>
      </c>
      <c r="H14" s="50">
        <f t="shared" si="0"/>
        <v>3</v>
      </c>
      <c r="I14" s="38">
        <v>0.5300279855728149</v>
      </c>
      <c r="J14" s="38">
        <v>0.7635865211486816</v>
      </c>
      <c r="K14" s="38">
        <v>0.7866345047950745</v>
      </c>
      <c r="L14" s="38">
        <v>0.8115192651748657</v>
      </c>
      <c r="M14" s="38">
        <v>0.9025589823722839</v>
      </c>
      <c r="N14" s="80">
        <f>VLOOKUP('Hide - Control'!B$3,'All practice data'!A:CA,A14+29,FALSE)</f>
        <v>0.7789549260262202</v>
      </c>
      <c r="O14" s="80">
        <f>VLOOKUP('Hide - Control'!C$3,'All practice data'!A:CA,A14+29,FALSE)</f>
        <v>0.7559681673907895</v>
      </c>
      <c r="P14" s="38">
        <f>VLOOKUP('Hide - Control'!$B$4,'All practice data'!B:BC,A14+2,FALSE)</f>
        <v>137787</v>
      </c>
      <c r="Q14" s="38">
        <f>VLOOKUP('Hide - Control'!$B$4,'All practice data'!B:BJ,59,FALSE)</f>
        <v>176887</v>
      </c>
      <c r="R14" s="38">
        <f t="shared" si="17"/>
        <v>0.777015109910975</v>
      </c>
      <c r="S14" s="38">
        <f t="shared" si="18"/>
        <v>0.7808826258189452</v>
      </c>
      <c r="T14" s="53">
        <f t="shared" si="16"/>
        <v>0.9025589823722839</v>
      </c>
      <c r="U14" s="51">
        <f t="shared" si="1"/>
        <v>0.5300279855728149</v>
      </c>
      <c r="V14" s="7"/>
      <c r="W14" s="27">
        <f t="shared" si="2"/>
        <v>0.5300279855728149</v>
      </c>
      <c r="X14" s="27">
        <f t="shared" si="3"/>
        <v>1.043241024017334</v>
      </c>
      <c r="Y14" s="27">
        <f t="shared" si="4"/>
        <v>0.5300279855728149</v>
      </c>
      <c r="Z14" s="27">
        <f t="shared" si="5"/>
        <v>1.043241024017334</v>
      </c>
      <c r="AA14" s="32">
        <f t="shared" si="6"/>
        <v>0</v>
      </c>
      <c r="AB14" s="33">
        <f t="shared" si="7"/>
        <v>0.4550908065074726</v>
      </c>
      <c r="AC14" s="33">
        <v>0.5</v>
      </c>
      <c r="AD14" s="33">
        <f t="shared" si="8"/>
        <v>0.548488168685686</v>
      </c>
      <c r="AE14" s="33">
        <f t="shared" si="9"/>
        <v>0.7258798372086595</v>
      </c>
      <c r="AF14" s="33">
        <f t="shared" si="10"/>
        <v>-999</v>
      </c>
      <c r="AG14" s="33">
        <f t="shared" si="11"/>
        <v>-999</v>
      </c>
      <c r="AH14" s="33">
        <f t="shared" si="12"/>
        <v>0.5801879377999755</v>
      </c>
      <c r="AI14" s="34">
        <f t="shared" si="13"/>
        <v>0.4402463789750343</v>
      </c>
      <c r="AJ14" s="4">
        <v>10.234019270112368</v>
      </c>
      <c r="AK14" s="32">
        <f t="shared" si="14"/>
        <v>-999</v>
      </c>
      <c r="AL14" s="34">
        <f t="shared" si="15"/>
        <v>0.5801879377999755</v>
      </c>
      <c r="AY14" s="103" t="s">
        <v>53</v>
      </c>
      <c r="AZ14" s="103" t="s">
        <v>496</v>
      </c>
      <c r="BA14" s="103" t="s">
        <v>553</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920</v>
      </c>
      <c r="E15" s="38">
        <f>IF(LEFT(VLOOKUP($B15,'Indicator chart'!$D$1:$J$36,5,FALSE),1)=" "," ",VLOOKUP($B15,'Indicator chart'!$D$1:$J$36,5,FALSE))</f>
        <v>0.638003</v>
      </c>
      <c r="F15" s="38">
        <f>IF(LEFT(VLOOKUP($B15,'Indicator chart'!$D$1:$J$36,6,FALSE),1)=" "," ",VLOOKUP($B15,'Indicator chart'!$D$1:$J$36,6,FALSE))</f>
        <v>0.6128614699620233</v>
      </c>
      <c r="G15" s="38">
        <f>IF(LEFT(VLOOKUP($B15,'Indicator chart'!$D$1:$J$36,7,FALSE),1)=" "," ",VLOOKUP($B15,'Indicator chart'!$D$1:$J$36,7,FALSE))</f>
        <v>0.6624107313634885</v>
      </c>
      <c r="H15" s="50">
        <f t="shared" si="0"/>
        <v>2</v>
      </c>
      <c r="I15" s="38">
        <v>0.43396198749542236</v>
      </c>
      <c r="J15" s="38">
        <v>0.5743967294692993</v>
      </c>
      <c r="K15" s="38">
        <v>0.6159650087356567</v>
      </c>
      <c r="L15" s="38">
        <v>0.6402999758720398</v>
      </c>
      <c r="M15" s="38">
        <v>0.7295240163803101</v>
      </c>
      <c r="N15" s="80">
        <f>VLOOKUP('Hide - Control'!B$3,'All practice data'!A:CA,A15+29,FALSE)</f>
        <v>0.6139105961256325</v>
      </c>
      <c r="O15" s="80">
        <f>VLOOKUP('Hide - Control'!C$3,'All practice data'!A:CA,A15+29,FALSE)</f>
        <v>0.5147293797466616</v>
      </c>
      <c r="P15" s="38">
        <f>VLOOKUP('Hide - Control'!$B$4,'All practice data'!B:BC,A15+2,FALSE)</f>
        <v>61512</v>
      </c>
      <c r="Q15" s="38">
        <f>VLOOKUP('Hide - Control'!$B$4,'All practice data'!B:BJ,60,FALSE)</f>
        <v>100197</v>
      </c>
      <c r="R15" s="38">
        <f t="shared" si="17"/>
        <v>0.6108917146063257</v>
      </c>
      <c r="S15" s="38">
        <f t="shared" si="18"/>
        <v>0.6169207432083998</v>
      </c>
      <c r="T15" s="53">
        <f t="shared" si="16"/>
        <v>0.7295240163803101</v>
      </c>
      <c r="U15" s="51">
        <f t="shared" si="1"/>
        <v>0.43396198749542236</v>
      </c>
      <c r="V15" s="7"/>
      <c r="W15" s="27">
        <f t="shared" si="2"/>
        <v>0.43396198749542236</v>
      </c>
      <c r="X15" s="27">
        <f t="shared" si="3"/>
        <v>0.7979680299758911</v>
      </c>
      <c r="Y15" s="27">
        <f t="shared" si="4"/>
        <v>0.43396198749542236</v>
      </c>
      <c r="Z15" s="27">
        <f t="shared" si="5"/>
        <v>0.7979680299758911</v>
      </c>
      <c r="AA15" s="32">
        <f t="shared" si="6"/>
        <v>0</v>
      </c>
      <c r="AB15" s="33">
        <f t="shared" si="7"/>
        <v>0.3858033262769592</v>
      </c>
      <c r="AC15" s="33">
        <v>0.5</v>
      </c>
      <c r="AD15" s="33">
        <f t="shared" si="8"/>
        <v>0.5668531955419086</v>
      </c>
      <c r="AE15" s="33">
        <f t="shared" si="9"/>
        <v>0.8119701169541615</v>
      </c>
      <c r="AF15" s="33">
        <f t="shared" si="10"/>
        <v>-999</v>
      </c>
      <c r="AG15" s="33">
        <f t="shared" si="11"/>
        <v>0.5605429270189264</v>
      </c>
      <c r="AH15" s="33">
        <f t="shared" si="12"/>
        <v>-999</v>
      </c>
      <c r="AI15" s="34">
        <f t="shared" si="13"/>
        <v>0.2218847569146407</v>
      </c>
      <c r="AJ15" s="4">
        <v>11.310014695494289</v>
      </c>
      <c r="AK15" s="32">
        <f t="shared" si="14"/>
        <v>-999</v>
      </c>
      <c r="AL15" s="34">
        <f t="shared" si="15"/>
        <v>-999</v>
      </c>
      <c r="AY15" s="103" t="s">
        <v>229</v>
      </c>
      <c r="AZ15" s="103" t="s">
        <v>230</v>
      </c>
      <c r="BA15" s="103" t="s">
        <v>372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488</v>
      </c>
      <c r="E16" s="38">
        <f>IF(LEFT(VLOOKUP($B16,'Indicator chart'!$D$1:$J$36,5,FALSE),1)=" "," ",VLOOKUP($B16,'Indicator chart'!$D$1:$J$36,5,FALSE))</f>
        <v>0.681564</v>
      </c>
      <c r="F16" s="38">
        <f>IF(LEFT(VLOOKUP($B16,'Indicator chart'!$D$1:$J$36,6,FALSE),1)=" "," ",VLOOKUP($B16,'Indicator chart'!$D$1:$J$36,6,FALSE))</f>
        <v>0.6465483640710074</v>
      </c>
      <c r="G16" s="38">
        <f>IF(LEFT(VLOOKUP($B16,'Indicator chart'!$D$1:$J$36,7,FALSE),1)=" "," ",VLOOKUP($B16,'Indicator chart'!$D$1:$J$36,7,FALSE))</f>
        <v>0.714642208966172</v>
      </c>
      <c r="H16" s="50">
        <f t="shared" si="0"/>
        <v>2</v>
      </c>
      <c r="I16" s="38">
        <v>0.47692298889160156</v>
      </c>
      <c r="J16" s="38">
        <v>0.6113414764404297</v>
      </c>
      <c r="K16" s="38">
        <v>0.6461679935455322</v>
      </c>
      <c r="L16" s="38">
        <v>0.6822314858436584</v>
      </c>
      <c r="M16" s="38">
        <v>0.7552180290222168</v>
      </c>
      <c r="N16" s="80">
        <f>VLOOKUP('Hide - Control'!B$3,'All practice data'!A:CA,A16+29,FALSE)</f>
        <v>0.6510411427421788</v>
      </c>
      <c r="O16" s="80">
        <f>VLOOKUP('Hide - Control'!C$3,'All practice data'!A:CA,A16+29,FALSE)</f>
        <v>0.5752927626212945</v>
      </c>
      <c r="P16" s="38">
        <f>VLOOKUP('Hide - Control'!$B$4,'All practice data'!B:BC,A16+2,FALSE)</f>
        <v>32360</v>
      </c>
      <c r="Q16" s="38">
        <f>VLOOKUP('Hide - Control'!$B$4,'All practice data'!B:BJ,61,FALSE)</f>
        <v>49705</v>
      </c>
      <c r="R16" s="38">
        <f t="shared" si="17"/>
        <v>0.6468392939706874</v>
      </c>
      <c r="S16" s="38">
        <f t="shared" si="18"/>
        <v>0.6552196459825623</v>
      </c>
      <c r="T16" s="53">
        <f aca="true" t="shared" si="19" ref="T16:T31">IF($C16=1,M16,I16)</f>
        <v>0.7552180290222168</v>
      </c>
      <c r="U16" s="51">
        <f aca="true" t="shared" si="20" ref="U16:U31">IF($C16=1,I16,M16)</f>
        <v>0.47692298889160156</v>
      </c>
      <c r="V16" s="7"/>
      <c r="W16" s="27">
        <f t="shared" si="2"/>
        <v>0.47692298889160156</v>
      </c>
      <c r="X16" s="27">
        <f t="shared" si="3"/>
        <v>0.8154129981994629</v>
      </c>
      <c r="Y16" s="27">
        <f t="shared" si="4"/>
        <v>0.47692298889160156</v>
      </c>
      <c r="Z16" s="27">
        <f t="shared" si="5"/>
        <v>0.8154129981994629</v>
      </c>
      <c r="AA16" s="32">
        <f t="shared" si="6"/>
        <v>0</v>
      </c>
      <c r="AB16" s="33">
        <f t="shared" si="7"/>
        <v>0.39711212695371656</v>
      </c>
      <c r="AC16" s="33">
        <v>0.5</v>
      </c>
      <c r="AD16" s="33">
        <f t="shared" si="8"/>
        <v>0.6065422650785712</v>
      </c>
      <c r="AE16" s="33">
        <f t="shared" si="9"/>
        <v>0.8221661865284244</v>
      </c>
      <c r="AF16" s="33">
        <f t="shared" si="10"/>
        <v>-999</v>
      </c>
      <c r="AG16" s="33">
        <f t="shared" si="11"/>
        <v>0.6045703136906312</v>
      </c>
      <c r="AH16" s="33">
        <f t="shared" si="12"/>
        <v>-999</v>
      </c>
      <c r="AI16" s="34">
        <f t="shared" si="13"/>
        <v>0.2906135218904622</v>
      </c>
      <c r="AJ16" s="4">
        <v>12.386010120876215</v>
      </c>
      <c r="AK16" s="32">
        <f t="shared" si="14"/>
        <v>-999</v>
      </c>
      <c r="AL16" s="34">
        <f t="shared" si="15"/>
        <v>-999</v>
      </c>
      <c r="AY16" s="103" t="s">
        <v>370</v>
      </c>
      <c r="AZ16" s="103" t="s">
        <v>391</v>
      </c>
      <c r="BA16" s="103" t="s">
        <v>553</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167</v>
      </c>
      <c r="E17" s="38">
        <f>IF(LEFT(VLOOKUP($B17,'Indicator chart'!$D$1:$J$36,5,FALSE),1)=" "," ",VLOOKUP($B17,'Indicator chart'!$D$1:$J$36,5,FALSE))</f>
        <v>1827.3334062807746</v>
      </c>
      <c r="F17" s="38">
        <f>IF(LEFT(VLOOKUP($B17,'Indicator chart'!$D$1:$J$36,6,FALSE),1)=" "," ",VLOOKUP($B17,'Indicator chart'!$D$1:$J$36,6,FALSE))</f>
        <v>1560.672951585327</v>
      </c>
      <c r="G17" s="38">
        <f>IF(LEFT(VLOOKUP($B17,'Indicator chart'!$D$1:$J$36,7,FALSE),1)=" "," ",VLOOKUP($B17,'Indicator chart'!$D$1:$J$36,7,FALSE))</f>
        <v>2126.4799182065726</v>
      </c>
      <c r="H17" s="50">
        <f t="shared" si="0"/>
        <v>1</v>
      </c>
      <c r="I17" s="38">
        <v>376.6602783203125</v>
      </c>
      <c r="J17" s="38">
        <v>1764.4478759765625</v>
      </c>
      <c r="K17" s="38">
        <v>2253.894775390625</v>
      </c>
      <c r="L17" s="38">
        <v>2729.596923828125</v>
      </c>
      <c r="M17" s="38">
        <v>5096.7744140625</v>
      </c>
      <c r="N17" s="80">
        <f>VLOOKUP('Hide - Control'!B$3,'All practice data'!A:CA,A17+29,FALSE)</f>
        <v>2362.889490031059</v>
      </c>
      <c r="O17" s="80">
        <f>VLOOKUP('Hide - Control'!C$3,'All practice data'!A:CA,A17+29,FALSE)</f>
        <v>1812.1669120472948</v>
      </c>
      <c r="P17" s="38">
        <f>VLOOKUP('Hide - Control'!$B$4,'All practice data'!B:BC,A17+2,FALSE)</f>
        <v>17688</v>
      </c>
      <c r="Q17" s="38">
        <f>VLOOKUP('Hide - Control'!$B$4,'All practice data'!B:BC,3,FALSE)</f>
        <v>748575</v>
      </c>
      <c r="R17" s="38">
        <f>100000*(P17*(1-1/(9*P17)-1.96/(3*SQRT(P17)))^3)/Q17</f>
        <v>2328.193666723071</v>
      </c>
      <c r="S17" s="38">
        <f>100000*((P17+1)*(1-1/(9*(P17+1))+1.96/(3*SQRT(P17+1)))^3)/Q17</f>
        <v>2397.972950737935</v>
      </c>
      <c r="T17" s="53">
        <f t="shared" si="19"/>
        <v>5096.7744140625</v>
      </c>
      <c r="U17" s="51">
        <f t="shared" si="20"/>
        <v>376.6602783203125</v>
      </c>
      <c r="V17" s="7"/>
      <c r="W17" s="27">
        <f t="shared" si="2"/>
        <v>-588.98486328125</v>
      </c>
      <c r="X17" s="27">
        <f t="shared" si="3"/>
        <v>5096.7744140625</v>
      </c>
      <c r="Y17" s="27">
        <f t="shared" si="4"/>
        <v>-588.98486328125</v>
      </c>
      <c r="Z17" s="27">
        <f t="shared" si="5"/>
        <v>5096.7744140625</v>
      </c>
      <c r="AA17" s="32">
        <f t="shared" si="6"/>
        <v>0.16983574127898862</v>
      </c>
      <c r="AB17" s="33">
        <f t="shared" si="7"/>
        <v>0.41391705565791725</v>
      </c>
      <c r="AC17" s="33">
        <v>0.5</v>
      </c>
      <c r="AD17" s="33">
        <f t="shared" si="8"/>
        <v>0.5836655449577416</v>
      </c>
      <c r="AE17" s="33">
        <f t="shared" si="9"/>
        <v>1</v>
      </c>
      <c r="AF17" s="33">
        <f t="shared" si="10"/>
        <v>-999</v>
      </c>
      <c r="AG17" s="33">
        <f t="shared" si="11"/>
        <v>-999</v>
      </c>
      <c r="AH17" s="33">
        <f t="shared" si="12"/>
        <v>0.4249772372865687</v>
      </c>
      <c r="AI17" s="34">
        <f t="shared" si="13"/>
        <v>0.4223097845342311</v>
      </c>
      <c r="AJ17" s="4">
        <v>13.462005546258133</v>
      </c>
      <c r="AK17" s="32">
        <f t="shared" si="14"/>
        <v>0.4249772372865687</v>
      </c>
      <c r="AL17" s="34">
        <f t="shared" si="15"/>
        <v>-999</v>
      </c>
      <c r="AY17" s="103" t="s">
        <v>103</v>
      </c>
      <c r="AZ17" s="103" t="s">
        <v>104</v>
      </c>
      <c r="BA17" s="103" t="s">
        <v>372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167</v>
      </c>
      <c r="E18" s="80">
        <f>IF(LEFT(VLOOKUP($B18,'Indicator chart'!$D$1:$J$36,5,FALSE),1)=" "," ",VLOOKUP($B18,'Indicator chart'!$D$1:$J$36,5,FALSE))</f>
        <v>0.8179319762999999</v>
      </c>
      <c r="F18" s="81">
        <f>IF(LEFT(VLOOKUP($B18,'Indicator chart'!$D$1:$J$36,6,FALSE),1)=" "," ",VLOOKUP($B18,'Indicator chart'!$D$1:$J$36,6,FALSE))</f>
        <v>0.6985810852000001</v>
      </c>
      <c r="G18" s="38">
        <f>IF(LEFT(VLOOKUP($B18,'Indicator chart'!$D$1:$J$36,7,FALSE),1)=" "," ",VLOOKUP($B18,'Indicator chart'!$D$1:$J$36,7,FALSE))</f>
        <v>0.9518256378</v>
      </c>
      <c r="H18" s="50">
        <f>IF(LEFT(F18,1)=" ",4,IF(AND(ABS(N18-E18)&gt;SQRT((E18-G18)^2+(N18-R18)^2),E18&lt;N18),1,IF(AND(ABS(N18-E18)&gt;SQRT((E18-F18)^2+(N18-S18)^2),E18&gt;N18),3,2)))</f>
        <v>1</v>
      </c>
      <c r="I18" s="38">
        <v>0.5016873478889465</v>
      </c>
      <c r="J18" s="38"/>
      <c r="K18" s="38">
        <v>1</v>
      </c>
      <c r="L18" s="38"/>
      <c r="M18" s="38">
        <v>2.1879279613494873</v>
      </c>
      <c r="N18" s="80">
        <v>1</v>
      </c>
      <c r="O18" s="80">
        <f>VLOOKUP('Hide - Control'!C$3,'All practice data'!A:CA,A18+29,FALSE)</f>
        <v>1</v>
      </c>
      <c r="P18" s="38">
        <f>VLOOKUP('Hide - Control'!$B$4,'All practice data'!B:BC,A18+2,FALSE)</f>
        <v>17688</v>
      </c>
      <c r="Q18" s="38">
        <f>VLOOKUP('Hide - Control'!$B$4,'All practice data'!B:BC,14,FALSE)</f>
        <v>17688</v>
      </c>
      <c r="R18" s="81">
        <v>1</v>
      </c>
      <c r="S18" s="38">
        <v>1</v>
      </c>
      <c r="T18" s="53">
        <f t="shared" si="19"/>
        <v>2.1879279613494873</v>
      </c>
      <c r="U18" s="51">
        <f t="shared" si="20"/>
        <v>0.5016873478889465</v>
      </c>
      <c r="V18" s="7"/>
      <c r="W18" s="27">
        <f>IF((K18-I18)&gt;(M18-K18),I18,(K18-(M18-K18)))</f>
        <v>-0.1879279613494873</v>
      </c>
      <c r="X18" s="27">
        <f t="shared" si="3"/>
        <v>2.1879279613494873</v>
      </c>
      <c r="Y18" s="27">
        <f t="shared" si="4"/>
        <v>-0.1879279613494873</v>
      </c>
      <c r="Z18" s="27">
        <f t="shared" si="5"/>
        <v>2.1879279613494873</v>
      </c>
      <c r="AA18" s="32" t="s">
        <v>372</v>
      </c>
      <c r="AB18" s="33" t="s">
        <v>372</v>
      </c>
      <c r="AC18" s="33">
        <v>0.5</v>
      </c>
      <c r="AD18" s="33" t="s">
        <v>372</v>
      </c>
      <c r="AE18" s="33" t="s">
        <v>372</v>
      </c>
      <c r="AF18" s="33">
        <f t="shared" si="10"/>
        <v>-999</v>
      </c>
      <c r="AG18" s="33">
        <f t="shared" si="11"/>
        <v>-999</v>
      </c>
      <c r="AH18" s="33">
        <f t="shared" si="12"/>
        <v>0.4233673970039519</v>
      </c>
      <c r="AI18" s="34">
        <v>0.5</v>
      </c>
      <c r="AJ18" s="4">
        <v>14.538000971640056</v>
      </c>
      <c r="AK18" s="32">
        <f t="shared" si="14"/>
        <v>0.4233673970039519</v>
      </c>
      <c r="AL18" s="34">
        <f t="shared" si="15"/>
        <v>-999</v>
      </c>
      <c r="AY18" s="103" t="s">
        <v>105</v>
      </c>
      <c r="AZ18" s="103" t="s">
        <v>106</v>
      </c>
      <c r="BA18" s="103" t="s">
        <v>372</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28</v>
      </c>
      <c r="E19" s="38">
        <f>IF(LEFT(VLOOKUP($B19,'Indicator chart'!$D$1:$J$36,5,FALSE),1)=" "," ",VLOOKUP($B19,'Indicator chart'!$D$1:$J$36,5,FALSE))</f>
        <v>0.16766467065868262</v>
      </c>
      <c r="F19" s="38">
        <f>IF(LEFT(VLOOKUP($B19,'Indicator chart'!$D$1:$J$36,6,FALSE),1)=" "," ",VLOOKUP($B19,'Indicator chart'!$D$1:$J$36,6,FALSE))</f>
        <v>0.1186232023496248</v>
      </c>
      <c r="G19" s="38">
        <f>IF(LEFT(VLOOKUP($B19,'Indicator chart'!$D$1:$J$36,7,FALSE),1)=" "," ",VLOOKUP($B19,'Indicator chart'!$D$1:$J$36,7,FALSE))</f>
        <v>0.2316521404240322</v>
      </c>
      <c r="H19" s="50">
        <f t="shared" si="0"/>
        <v>3</v>
      </c>
      <c r="I19" s="38">
        <v>0.02070442959666252</v>
      </c>
      <c r="J19" s="38">
        <v>0.099123515188694</v>
      </c>
      <c r="K19" s="38">
        <v>0.11645054817199707</v>
      </c>
      <c r="L19" s="38">
        <v>0.14014054834842682</v>
      </c>
      <c r="M19" s="38">
        <v>0.380952388048172</v>
      </c>
      <c r="N19" s="80">
        <f>VLOOKUP('Hide - Control'!B$3,'All practice data'!A:CA,A19+29,FALSE)</f>
        <v>0.1150497512437811</v>
      </c>
      <c r="O19" s="80">
        <f>VLOOKUP('Hide - Control'!C$3,'All practice data'!A:CA,A19+29,FALSE)</f>
        <v>0.10919341638628717</v>
      </c>
      <c r="P19" s="38">
        <f>VLOOKUP('Hide - Control'!$B$4,'All practice data'!B:BC,A19+2,FALSE)</f>
        <v>2035</v>
      </c>
      <c r="Q19" s="38">
        <f>VLOOKUP('Hide - Control'!$B$4,'All practice data'!B:BC,15,FALSE)</f>
        <v>17688</v>
      </c>
      <c r="R19" s="38">
        <f>+((2*P19+1.96^2-1.96*SQRT(1.96^2+4*P19*(1-P19/Q19)))/(2*(Q19+1.96^2)))</f>
        <v>0.11043071324313268</v>
      </c>
      <c r="S19" s="38">
        <f>+((2*P19+1.96^2+1.96*SQRT(1.96^2+4*P19*(1-P19/Q19)))/(2*(Q19+1.96^2)))</f>
        <v>0.11983596515624888</v>
      </c>
      <c r="T19" s="53">
        <f t="shared" si="19"/>
        <v>0.380952388048172</v>
      </c>
      <c r="U19" s="51">
        <f t="shared" si="20"/>
        <v>0.02070442959666252</v>
      </c>
      <c r="V19" s="7"/>
      <c r="W19" s="27">
        <f t="shared" si="2"/>
        <v>-0.14805129170417786</v>
      </c>
      <c r="X19" s="27">
        <f t="shared" si="3"/>
        <v>0.380952388048172</v>
      </c>
      <c r="Y19" s="27">
        <f t="shared" si="4"/>
        <v>-0.14805129170417786</v>
      </c>
      <c r="Z19" s="27">
        <f t="shared" si="5"/>
        <v>0.380952388048172</v>
      </c>
      <c r="AA19" s="32">
        <f t="shared" si="6"/>
        <v>0.3190067059265872</v>
      </c>
      <c r="AB19" s="33">
        <f t="shared" si="7"/>
        <v>0.4672459121807723</v>
      </c>
      <c r="AC19" s="33">
        <v>0.5</v>
      </c>
      <c r="AD19" s="33">
        <f t="shared" si="8"/>
        <v>0.5447822975211063</v>
      </c>
      <c r="AE19" s="33">
        <f t="shared" si="9"/>
        <v>1</v>
      </c>
      <c r="AF19" s="33">
        <f t="shared" si="10"/>
        <v>-999</v>
      </c>
      <c r="AG19" s="33">
        <f t="shared" si="11"/>
        <v>-999</v>
      </c>
      <c r="AH19" s="33">
        <f t="shared" si="12"/>
        <v>0.596812412553843</v>
      </c>
      <c r="AI19" s="34">
        <f t="shared" si="13"/>
        <v>0.48628150982029594</v>
      </c>
      <c r="AJ19" s="4">
        <v>15.61399639702198</v>
      </c>
      <c r="AK19" s="32">
        <f t="shared" si="14"/>
        <v>-999</v>
      </c>
      <c r="AL19" s="34">
        <f t="shared" si="15"/>
        <v>0.596812412553843</v>
      </c>
      <c r="AY19" s="103" t="s">
        <v>270</v>
      </c>
      <c r="AZ19" s="103" t="s">
        <v>492</v>
      </c>
      <c r="BA19" s="103" t="s">
        <v>372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69</v>
      </c>
      <c r="E20" s="38">
        <f>IF(LEFT(VLOOKUP($B20,'Indicator chart'!$D$1:$J$36,5,FALSE),1)=" "," ",VLOOKUP($B20,'Indicator chart'!$D$1:$J$36,5,FALSE))</f>
        <v>0.4057971014492754</v>
      </c>
      <c r="F20" s="38">
        <f>IF(LEFT(VLOOKUP($B20,'Indicator chart'!$D$1:$J$36,6,FALSE),1)=" "," ",VLOOKUP($B20,'Indicator chart'!$D$1:$J$36,6,FALSE))</f>
        <v>0.2978872907861346</v>
      </c>
      <c r="G20" s="38">
        <f>IF(LEFT(VLOOKUP($B20,'Indicator chart'!$D$1:$J$36,7,FALSE),1)=" "," ",VLOOKUP($B20,'Indicator chart'!$D$1:$J$36,7,FALSE))</f>
        <v>0.5236432631830259</v>
      </c>
      <c r="H20" s="50">
        <f t="shared" si="0"/>
        <v>2</v>
      </c>
      <c r="I20" s="38">
        <v>0.09238772839307785</v>
      </c>
      <c r="J20" s="38">
        <v>0.39173951745033264</v>
      </c>
      <c r="K20" s="38">
        <v>0.44728484749794006</v>
      </c>
      <c r="L20" s="38">
        <v>0.5</v>
      </c>
      <c r="M20" s="38">
        <v>0.7083333134651184</v>
      </c>
      <c r="N20" s="80">
        <f>VLOOKUP('Hide - Control'!B$3,'All practice data'!A:CA,A20+29,FALSE)</f>
        <v>0.4528259902091678</v>
      </c>
      <c r="O20" s="80">
        <f>VLOOKUP('Hide - Control'!C$3,'All practice data'!A:CA,A20+29,FALSE)</f>
        <v>0.4534552930810221</v>
      </c>
      <c r="P20" s="38">
        <f>VLOOKUP('Hide - Control'!$B$4,'All practice data'!B:BC,A20+1,FALSE)</f>
        <v>2035</v>
      </c>
      <c r="Q20" s="38">
        <f>VLOOKUP('Hide - Control'!$B$4,'All practice data'!B:BC,A20+2,FALSE)</f>
        <v>4494</v>
      </c>
      <c r="R20" s="38">
        <f>+((2*P20+1.96^2-1.96*SQRT(1.96^2+4*P20*(1-P20/Q20)))/(2*(Q20+1.96^2)))</f>
        <v>0.4383189256366666</v>
      </c>
      <c r="S20" s="38">
        <f>+((2*P20+1.96^2+1.96*SQRT(1.96^2+4*P20*(1-P20/Q20)))/(2*(Q20+1.96^2)))</f>
        <v>0.4674136372886264</v>
      </c>
      <c r="T20" s="53">
        <f t="shared" si="19"/>
        <v>0.7083333134651184</v>
      </c>
      <c r="U20" s="51">
        <f t="shared" si="20"/>
        <v>0.09238772839307785</v>
      </c>
      <c r="V20" s="7"/>
      <c r="W20" s="27">
        <f t="shared" si="2"/>
        <v>0.09238772839307785</v>
      </c>
      <c r="X20" s="27">
        <f t="shared" si="3"/>
        <v>0.8021819666028023</v>
      </c>
      <c r="Y20" s="27">
        <f t="shared" si="4"/>
        <v>0.09238772839307785</v>
      </c>
      <c r="Z20" s="27">
        <f t="shared" si="5"/>
        <v>0.8021819666028023</v>
      </c>
      <c r="AA20" s="32">
        <f t="shared" si="6"/>
        <v>0</v>
      </c>
      <c r="AB20" s="33">
        <f t="shared" si="7"/>
        <v>0.4217444619053172</v>
      </c>
      <c r="AC20" s="33">
        <v>0.5</v>
      </c>
      <c r="AD20" s="33">
        <f t="shared" si="8"/>
        <v>0.5742682169906317</v>
      </c>
      <c r="AE20" s="33">
        <f t="shared" si="9"/>
        <v>0.8677804804750272</v>
      </c>
      <c r="AF20" s="33">
        <f t="shared" si="10"/>
        <v>-999</v>
      </c>
      <c r="AG20" s="33">
        <f t="shared" si="11"/>
        <v>0.4415496156276121</v>
      </c>
      <c r="AH20" s="33">
        <f t="shared" si="12"/>
        <v>-999</v>
      </c>
      <c r="AI20" s="34">
        <f t="shared" si="13"/>
        <v>0.5086932877880855</v>
      </c>
      <c r="AJ20" s="4">
        <v>16.689991822403904</v>
      </c>
      <c r="AK20" s="32">
        <f t="shared" si="14"/>
        <v>-999</v>
      </c>
      <c r="AL20" s="34">
        <f t="shared" si="15"/>
        <v>-999</v>
      </c>
      <c r="AY20" s="103" t="s">
        <v>211</v>
      </c>
      <c r="AZ20" s="103" t="s">
        <v>473</v>
      </c>
      <c r="BA20" s="103" t="s">
        <v>372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33</v>
      </c>
      <c r="E21" s="38">
        <f>IF(LEFT(VLOOKUP($B21,'Indicator chart'!$D$1:$J$36,5,FALSE),1)=" "," ",VLOOKUP($B21,'Indicator chart'!$D$1:$J$36,5,FALSE))</f>
        <v>361.0898347740453</v>
      </c>
      <c r="F21" s="38">
        <f>IF(LEFT(VLOOKUP($B21,'Indicator chart'!$D$1:$J$36,6,FALSE),1)=" "," ",VLOOKUP($B21,'Indicator chart'!$D$1:$J$36,6,FALSE))</f>
        <v>248.51531066085212</v>
      </c>
      <c r="G21" s="38">
        <f>IF(LEFT(VLOOKUP($B21,'Indicator chart'!$D$1:$J$36,7,FALSE),1)=" "," ",VLOOKUP($B21,'Indicator chart'!$D$1:$J$36,7,FALSE))</f>
        <v>507.12353756111503</v>
      </c>
      <c r="H21" s="50">
        <f t="shared" si="0"/>
        <v>2</v>
      </c>
      <c r="I21" s="38">
        <v>61.46357345581055</v>
      </c>
      <c r="J21" s="38">
        <v>253.65805053710938</v>
      </c>
      <c r="K21" s="38">
        <v>338.766357421875</v>
      </c>
      <c r="L21" s="38">
        <v>410.22210693359375</v>
      </c>
      <c r="M21" s="38">
        <v>752.6881713867188</v>
      </c>
      <c r="N21" s="80">
        <f>VLOOKUP('Hide - Control'!B$3,'All practice data'!A:CA,A21+29,FALSE)</f>
        <v>344.6548442039876</v>
      </c>
      <c r="O21" s="80">
        <f>VLOOKUP('Hide - Control'!C$3,'All practice data'!A:CA,A21+29,FALSE)</f>
        <v>377.7293140102421</v>
      </c>
      <c r="P21" s="38">
        <f>VLOOKUP('Hide - Control'!$B$4,'All practice data'!B:BC,A21+2,FALSE)</f>
        <v>2580</v>
      </c>
      <c r="Q21" s="38">
        <f>VLOOKUP('Hide - Control'!$B$4,'All practice data'!B:BC,3,FALSE)</f>
        <v>748575</v>
      </c>
      <c r="R21" s="38">
        <f aca="true" t="shared" si="21" ref="R21:R27">100000*(P21*(1-1/(9*P21)-1.96/(3*SQRT(P21)))^3)/Q21</f>
        <v>331.4824287419855</v>
      </c>
      <c r="S21" s="38">
        <f aca="true" t="shared" si="22" ref="S21:S27">100000*((P21+1)*(1-1/(9*(P21+1))+1.96/(3*SQRT(P21+1)))^3)/Q21</f>
        <v>358.21648063784374</v>
      </c>
      <c r="T21" s="53">
        <f t="shared" si="19"/>
        <v>752.6881713867188</v>
      </c>
      <c r="U21" s="51">
        <f t="shared" si="20"/>
        <v>61.46357345581055</v>
      </c>
      <c r="V21" s="7"/>
      <c r="W21" s="27">
        <f t="shared" si="2"/>
        <v>-75.15545654296875</v>
      </c>
      <c r="X21" s="27">
        <f t="shared" si="3"/>
        <v>752.6881713867188</v>
      </c>
      <c r="Y21" s="27">
        <f t="shared" si="4"/>
        <v>-75.15545654296875</v>
      </c>
      <c r="Z21" s="27">
        <f t="shared" si="5"/>
        <v>752.6881713867188</v>
      </c>
      <c r="AA21" s="32">
        <f t="shared" si="6"/>
        <v>0.16502999526667006</v>
      </c>
      <c r="AB21" s="33">
        <f t="shared" si="7"/>
        <v>0.39719277407786696</v>
      </c>
      <c r="AC21" s="33">
        <v>0.5</v>
      </c>
      <c r="AD21" s="33">
        <f t="shared" si="8"/>
        <v>0.5863155155164012</v>
      </c>
      <c r="AE21" s="33">
        <f t="shared" si="9"/>
        <v>1</v>
      </c>
      <c r="AF21" s="33">
        <f t="shared" si="10"/>
        <v>-999</v>
      </c>
      <c r="AG21" s="33">
        <f t="shared" si="11"/>
        <v>0.5269658140728799</v>
      </c>
      <c r="AH21" s="33">
        <f t="shared" si="12"/>
        <v>-999</v>
      </c>
      <c r="AI21" s="34">
        <f t="shared" si="13"/>
        <v>0.5470655994367047</v>
      </c>
      <c r="AJ21" s="4">
        <v>17.765987247785823</v>
      </c>
      <c r="AK21" s="32">
        <f t="shared" si="14"/>
        <v>-999</v>
      </c>
      <c r="AL21" s="34">
        <f t="shared" si="15"/>
        <v>-999</v>
      </c>
      <c r="AY21" s="103" t="s">
        <v>123</v>
      </c>
      <c r="AZ21" s="103" t="s">
        <v>447</v>
      </c>
      <c r="BA21" s="103" t="s">
        <v>372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28</v>
      </c>
      <c r="E22" s="38">
        <f>IF(LEFT(VLOOKUP($B22,'Indicator chart'!$D$1:$J$36,5,FALSE),1)=" "," ",VLOOKUP($B22,'Indicator chart'!$D$1:$J$36,5,FALSE))</f>
        <v>306.3792537476748</v>
      </c>
      <c r="F22" s="38">
        <f>IF(LEFT(VLOOKUP($B22,'Indicator chart'!$D$1:$J$36,6,FALSE),1)=" "," ",VLOOKUP($B22,'Indicator chart'!$D$1:$J$36,6,FALSE))</f>
        <v>203.540228991815</v>
      </c>
      <c r="G22" s="38">
        <f>IF(LEFT(VLOOKUP($B22,'Indicator chart'!$D$1:$J$36,7,FALSE),1)=" "," ",VLOOKUP($B22,'Indicator chart'!$D$1:$J$36,7,FALSE))</f>
        <v>442.8225380787405</v>
      </c>
      <c r="H22" s="50">
        <f t="shared" si="0"/>
        <v>2</v>
      </c>
      <c r="I22" s="38">
        <v>18.07059669494629</v>
      </c>
      <c r="J22" s="38">
        <v>295.4620056152344</v>
      </c>
      <c r="K22" s="38">
        <v>404.6431884765625</v>
      </c>
      <c r="L22" s="38">
        <v>525.8038940429688</v>
      </c>
      <c r="M22" s="38">
        <v>914.7809448242188</v>
      </c>
      <c r="N22" s="80">
        <f>VLOOKUP('Hide - Control'!B$3,'All practice data'!A:CA,A22+29,FALSE)</f>
        <v>427.7460508299102</v>
      </c>
      <c r="O22" s="80">
        <f>VLOOKUP('Hide - Control'!C$3,'All practice data'!A:CA,A22+29,FALSE)</f>
        <v>282.45290788403287</v>
      </c>
      <c r="P22" s="38">
        <f>VLOOKUP('Hide - Control'!$B$4,'All practice data'!B:BC,A22+2,FALSE)</f>
        <v>3202</v>
      </c>
      <c r="Q22" s="38">
        <f>VLOOKUP('Hide - Control'!$B$4,'All practice data'!B:BC,3,FALSE)</f>
        <v>748575</v>
      </c>
      <c r="R22" s="38">
        <f t="shared" si="21"/>
        <v>413.05693481988203</v>
      </c>
      <c r="S22" s="38">
        <f t="shared" si="22"/>
        <v>442.82412613706094</v>
      </c>
      <c r="T22" s="53">
        <f t="shared" si="19"/>
        <v>914.7809448242188</v>
      </c>
      <c r="U22" s="51">
        <f t="shared" si="20"/>
        <v>18.07059669494629</v>
      </c>
      <c r="V22" s="7"/>
      <c r="W22" s="27">
        <f t="shared" si="2"/>
        <v>-105.49456787109375</v>
      </c>
      <c r="X22" s="27">
        <f t="shared" si="3"/>
        <v>914.7809448242188</v>
      </c>
      <c r="Y22" s="27">
        <f t="shared" si="4"/>
        <v>-105.49456787109375</v>
      </c>
      <c r="Z22" s="27">
        <f t="shared" si="5"/>
        <v>914.7809448242188</v>
      </c>
      <c r="AA22" s="32">
        <f t="shared" si="6"/>
        <v>0.1211096052277211</v>
      </c>
      <c r="AB22" s="33">
        <f t="shared" si="7"/>
        <v>0.3929885295660005</v>
      </c>
      <c r="AC22" s="33">
        <v>0.5</v>
      </c>
      <c r="AD22" s="33">
        <f t="shared" si="8"/>
        <v>0.6187529290459299</v>
      </c>
      <c r="AE22" s="33">
        <f t="shared" si="9"/>
        <v>1</v>
      </c>
      <c r="AF22" s="33">
        <f t="shared" si="10"/>
        <v>-999</v>
      </c>
      <c r="AG22" s="33">
        <f t="shared" si="11"/>
        <v>0.403688823747912</v>
      </c>
      <c r="AH22" s="33">
        <f t="shared" si="12"/>
        <v>-999</v>
      </c>
      <c r="AI22" s="34">
        <f t="shared" si="13"/>
        <v>0.38023795624602075</v>
      </c>
      <c r="AJ22" s="4">
        <v>18.841982673167745</v>
      </c>
      <c r="AK22" s="32">
        <f t="shared" si="14"/>
        <v>-999</v>
      </c>
      <c r="AL22" s="34">
        <f t="shared" si="15"/>
        <v>-999</v>
      </c>
      <c r="AY22" s="103" t="s">
        <v>149</v>
      </c>
      <c r="AZ22" s="103" t="s">
        <v>457</v>
      </c>
      <c r="BA22" s="103" t="s">
        <v>372</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13.382467269897461</v>
      </c>
      <c r="K23" s="38">
        <v>42.628257751464844</v>
      </c>
      <c r="L23" s="38">
        <v>88.84563446044922</v>
      </c>
      <c r="M23" s="38">
        <v>175.50018310546875</v>
      </c>
      <c r="N23" s="80">
        <f>VLOOKUP('Hide - Control'!B$3,'All practice data'!A:CA,A23+29,FALSE)</f>
        <v>51.43105233276559</v>
      </c>
      <c r="O23" s="80">
        <f>VLOOKUP('Hide - Control'!C$3,'All practice data'!A:CA,A23+29,FALSE)</f>
        <v>70.46674929228394</v>
      </c>
      <c r="P23" s="38">
        <f>VLOOKUP('Hide - Control'!$B$4,'All practice data'!B:BC,A23+2,FALSE)</f>
        <v>385</v>
      </c>
      <c r="Q23" s="38">
        <f>VLOOKUP('Hide - Control'!$B$4,'All practice data'!B:BC,3,FALSE)</f>
        <v>748575</v>
      </c>
      <c r="R23" s="38">
        <f t="shared" si="21"/>
        <v>46.4211243640254</v>
      </c>
      <c r="S23" s="38">
        <f t="shared" si="22"/>
        <v>56.83423112313981</v>
      </c>
      <c r="T23" s="53">
        <f t="shared" si="19"/>
        <v>175.50018310546875</v>
      </c>
      <c r="U23" s="51">
        <f t="shared" si="20"/>
        <v>3.248678207397461</v>
      </c>
      <c r="V23" s="7"/>
      <c r="W23" s="27">
        <f t="shared" si="2"/>
        <v>-90.24366760253906</v>
      </c>
      <c r="X23" s="27">
        <f t="shared" si="3"/>
        <v>175.50018310546875</v>
      </c>
      <c r="Y23" s="27">
        <f t="shared" si="4"/>
        <v>-90.24366760253906</v>
      </c>
      <c r="Z23" s="27">
        <f t="shared" si="5"/>
        <v>175.50018310546875</v>
      </c>
      <c r="AA23" s="32">
        <f t="shared" si="6"/>
        <v>0.3518137693905226</v>
      </c>
      <c r="AB23" s="33">
        <f t="shared" si="7"/>
        <v>0.3899474422318736</v>
      </c>
      <c r="AC23" s="33">
        <v>0.5</v>
      </c>
      <c r="AD23" s="33">
        <f t="shared" si="8"/>
        <v>0.6739170128898553</v>
      </c>
      <c r="AE23" s="33">
        <f t="shared" si="9"/>
        <v>1</v>
      </c>
      <c r="AF23" s="33">
        <f t="shared" si="10"/>
        <v>-999</v>
      </c>
      <c r="AG23" s="33">
        <f t="shared" si="11"/>
        <v>-999</v>
      </c>
      <c r="AH23" s="33">
        <f t="shared" si="12"/>
        <v>-999</v>
      </c>
      <c r="AI23" s="34">
        <f t="shared" si="13"/>
        <v>0.6047568606635692</v>
      </c>
      <c r="AJ23" s="4">
        <v>19.917978098549675</v>
      </c>
      <c r="AK23" s="32">
        <f t="shared" si="14"/>
        <v>-999</v>
      </c>
      <c r="AL23" s="34">
        <f t="shared" si="15"/>
        <v>-999</v>
      </c>
      <c r="AY23" s="103" t="s">
        <v>264</v>
      </c>
      <c r="AZ23" s="103" t="s">
        <v>265</v>
      </c>
      <c r="BA23" s="103" t="s">
        <v>372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28</v>
      </c>
      <c r="E24" s="38">
        <f>IF(LEFT(VLOOKUP($B24,'Indicator chart'!$D$1:$J$36,5,FALSE),1)=" "," ",VLOOKUP($B24,'Indicator chart'!$D$1:$J$36,5,FALSE))</f>
        <v>306.3792537476748</v>
      </c>
      <c r="F24" s="38">
        <f>IF(LEFT(VLOOKUP($B24,'Indicator chart'!$D$1:$J$36,6,FALSE),1)=" "," ",VLOOKUP($B24,'Indicator chart'!$D$1:$J$36,6,FALSE))</f>
        <v>203.540228991815</v>
      </c>
      <c r="G24" s="38">
        <f>IF(LEFT(VLOOKUP($B24,'Indicator chart'!$D$1:$J$36,7,FALSE),1)=" "," ",VLOOKUP($B24,'Indicator chart'!$D$1:$J$36,7,FALSE))</f>
        <v>442.8225380787405</v>
      </c>
      <c r="H24" s="50">
        <f t="shared" si="0"/>
        <v>1</v>
      </c>
      <c r="I24" s="38">
        <v>27.3076171875</v>
      </c>
      <c r="J24" s="38">
        <v>282.34112548828125</v>
      </c>
      <c r="K24" s="38">
        <v>397.392578125</v>
      </c>
      <c r="L24" s="38">
        <v>544.2853393554688</v>
      </c>
      <c r="M24" s="38">
        <v>1397.8494873046875</v>
      </c>
      <c r="N24" s="80">
        <f>VLOOKUP('Hide - Control'!B$3,'All practice data'!A:CA,A24+29,FALSE)</f>
        <v>449.52075610326284</v>
      </c>
      <c r="O24" s="80">
        <f>VLOOKUP('Hide - Control'!C$3,'All practice data'!A:CA,A24+29,FALSE)</f>
        <v>323.23046266988894</v>
      </c>
      <c r="P24" s="38">
        <f>VLOOKUP('Hide - Control'!$B$4,'All practice data'!B:BC,A24+2,FALSE)</f>
        <v>3365</v>
      </c>
      <c r="Q24" s="38">
        <f>VLOOKUP('Hide - Control'!$B$4,'All practice data'!B:BC,3,FALSE)</f>
        <v>748575</v>
      </c>
      <c r="R24" s="38">
        <f t="shared" si="21"/>
        <v>434.45920239759187</v>
      </c>
      <c r="S24" s="38">
        <f t="shared" si="22"/>
        <v>464.97121281047583</v>
      </c>
      <c r="T24" s="53">
        <f t="shared" si="19"/>
        <v>1397.8494873046875</v>
      </c>
      <c r="U24" s="51">
        <f t="shared" si="20"/>
        <v>27.3076171875</v>
      </c>
      <c r="V24" s="7"/>
      <c r="W24" s="27">
        <f t="shared" si="2"/>
        <v>-603.0643310546875</v>
      </c>
      <c r="X24" s="27">
        <f t="shared" si="3"/>
        <v>1397.8494873046875</v>
      </c>
      <c r="Y24" s="27">
        <f t="shared" si="4"/>
        <v>-603.0643310546875</v>
      </c>
      <c r="Z24" s="27">
        <f t="shared" si="5"/>
        <v>1397.8494873046875</v>
      </c>
      <c r="AA24" s="32">
        <f t="shared" si="6"/>
        <v>0.3150420285262727</v>
      </c>
      <c r="AB24" s="33">
        <f t="shared" si="7"/>
        <v>0.4425005457101327</v>
      </c>
      <c r="AC24" s="33">
        <v>0.5</v>
      </c>
      <c r="AD24" s="33">
        <f t="shared" si="8"/>
        <v>0.5734128376158208</v>
      </c>
      <c r="AE24" s="33">
        <f t="shared" si="9"/>
        <v>1</v>
      </c>
      <c r="AF24" s="33">
        <f t="shared" si="10"/>
        <v>-999</v>
      </c>
      <c r="AG24" s="33">
        <f t="shared" si="11"/>
        <v>-999</v>
      </c>
      <c r="AH24" s="33">
        <f t="shared" si="12"/>
        <v>0.4545141207271233</v>
      </c>
      <c r="AI24" s="34">
        <f t="shared" si="13"/>
        <v>0.46293587721038415</v>
      </c>
      <c r="AJ24" s="4">
        <v>20.99397352393159</v>
      </c>
      <c r="AK24" s="32">
        <f t="shared" si="14"/>
        <v>0.4545141207271233</v>
      </c>
      <c r="AL24" s="34">
        <f t="shared" si="15"/>
        <v>-999</v>
      </c>
      <c r="AY24" s="103" t="s">
        <v>65</v>
      </c>
      <c r="AZ24" s="103" t="s">
        <v>66</v>
      </c>
      <c r="BA24" s="103" t="s">
        <v>553</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34</v>
      </c>
      <c r="E25" s="38">
        <f>IF(LEFT(VLOOKUP($B25,'Indicator chart'!$D$1:$J$36,5,FALSE),1)=" "," ",VLOOKUP($B25,'Indicator chart'!$D$1:$J$36,5,FALSE))</f>
        <v>372.0319509793194</v>
      </c>
      <c r="F25" s="38">
        <f>IF(LEFT(VLOOKUP($B25,'Indicator chart'!$D$1:$J$36,6,FALSE),1)=" "," ",VLOOKUP($B25,'Indicator chart'!$D$1:$J$36,6,FALSE))</f>
        <v>257.601342371816</v>
      </c>
      <c r="G25" s="38">
        <f>IF(LEFT(VLOOKUP($B25,'Indicator chart'!$D$1:$J$36,7,FALSE),1)=" "," ",VLOOKUP($B25,'Indicator chart'!$D$1:$J$36,7,FALSE))</f>
        <v>519.8964955354638</v>
      </c>
      <c r="H25" s="50">
        <f t="shared" si="0"/>
        <v>1</v>
      </c>
      <c r="I25" s="38">
        <v>71.23775482177734</v>
      </c>
      <c r="J25" s="38">
        <v>392.7986755371094</v>
      </c>
      <c r="K25" s="38">
        <v>467.05255126953125</v>
      </c>
      <c r="L25" s="38">
        <v>648.3563232421875</v>
      </c>
      <c r="M25" s="38">
        <v>1849.46240234375</v>
      </c>
      <c r="N25" s="80">
        <f>VLOOKUP('Hide - Control'!B$3,'All practice data'!A:CA,A25+29,FALSE)</f>
        <v>559.3293925124403</v>
      </c>
      <c r="O25" s="80">
        <f>VLOOKUP('Hide - Control'!C$3,'All practice data'!A:CA,A25+29,FALSE)</f>
        <v>562.6134400960308</v>
      </c>
      <c r="P25" s="38">
        <f>VLOOKUP('Hide - Control'!$B$4,'All practice data'!B:BC,A25+2,FALSE)</f>
        <v>4187</v>
      </c>
      <c r="Q25" s="38">
        <f>VLOOKUP('Hide - Control'!$B$4,'All practice data'!B:BC,3,FALSE)</f>
        <v>748575</v>
      </c>
      <c r="R25" s="38">
        <f t="shared" si="21"/>
        <v>542.5139516202933</v>
      </c>
      <c r="S25" s="38">
        <f t="shared" si="22"/>
        <v>576.5335044534689</v>
      </c>
      <c r="T25" s="53">
        <f t="shared" si="19"/>
        <v>1849.46240234375</v>
      </c>
      <c r="U25" s="51">
        <f t="shared" si="20"/>
        <v>71.23775482177734</v>
      </c>
      <c r="V25" s="7"/>
      <c r="W25" s="27">
        <f t="shared" si="2"/>
        <v>-915.3572998046875</v>
      </c>
      <c r="X25" s="27">
        <f t="shared" si="3"/>
        <v>1849.46240234375</v>
      </c>
      <c r="Y25" s="27">
        <f t="shared" si="4"/>
        <v>-915.3572998046875</v>
      </c>
      <c r="Z25" s="27">
        <f t="shared" si="5"/>
        <v>1849.46240234375</v>
      </c>
      <c r="AA25" s="32">
        <f t="shared" si="6"/>
        <v>0.35683883974778496</v>
      </c>
      <c r="AB25" s="33">
        <f t="shared" si="7"/>
        <v>0.4731433208195377</v>
      </c>
      <c r="AC25" s="33">
        <v>0.5</v>
      </c>
      <c r="AD25" s="33">
        <f t="shared" si="8"/>
        <v>0.5655752604163562</v>
      </c>
      <c r="AE25" s="33">
        <f t="shared" si="9"/>
        <v>1</v>
      </c>
      <c r="AF25" s="33">
        <f t="shared" si="10"/>
        <v>-999</v>
      </c>
      <c r="AG25" s="33">
        <f t="shared" si="11"/>
        <v>-999</v>
      </c>
      <c r="AH25" s="33">
        <f t="shared" si="12"/>
        <v>0.4656322615842274</v>
      </c>
      <c r="AI25" s="34">
        <f t="shared" si="13"/>
        <v>0.5345631538838655</v>
      </c>
      <c r="AJ25" s="4">
        <v>22.06996894931352</v>
      </c>
      <c r="AK25" s="32">
        <f t="shared" si="14"/>
        <v>0.4656322615842274</v>
      </c>
      <c r="AL25" s="34">
        <f t="shared" si="15"/>
        <v>-999</v>
      </c>
      <c r="AY25" s="103" t="s">
        <v>257</v>
      </c>
      <c r="AZ25" s="103" t="s">
        <v>258</v>
      </c>
      <c r="BA25" s="103" t="s">
        <v>553</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56</v>
      </c>
      <c r="E26" s="38">
        <f>IF(LEFT(VLOOKUP($B26,'Indicator chart'!$D$1:$J$36,5,FALSE),1)=" "," ",VLOOKUP($B26,'Indicator chart'!$D$1:$J$36,5,FALSE))</f>
        <v>612.7585074953496</v>
      </c>
      <c r="F26" s="38">
        <f>IF(LEFT(VLOOKUP($B26,'Indicator chart'!$D$1:$J$36,6,FALSE),1)=" "," ",VLOOKUP($B26,'Indicator chart'!$D$1:$J$36,6,FALSE))</f>
        <v>462.83951482809346</v>
      </c>
      <c r="G26" s="38">
        <f>IF(LEFT(VLOOKUP($B26,'Indicator chart'!$D$1:$J$36,7,FALSE),1)=" "," ",VLOOKUP($B26,'Indicator chart'!$D$1:$J$36,7,FALSE))</f>
        <v>795.7362033351279</v>
      </c>
      <c r="H26" s="50">
        <f t="shared" si="0"/>
        <v>2</v>
      </c>
      <c r="I26" s="38">
        <v>55.493896484375</v>
      </c>
      <c r="J26" s="38">
        <v>344.77825927734375</v>
      </c>
      <c r="K26" s="38">
        <v>469.194580078125</v>
      </c>
      <c r="L26" s="38">
        <v>624.6298828125</v>
      </c>
      <c r="M26" s="38">
        <v>867.7991333007812</v>
      </c>
      <c r="N26" s="80">
        <f>VLOOKUP('Hide - Control'!B$3,'All practice data'!A:CA,A26+29,FALSE)</f>
        <v>476.9061216310991</v>
      </c>
      <c r="O26" s="80">
        <f>VLOOKUP('Hide - Control'!C$3,'All practice data'!A:CA,A26+29,FALSE)</f>
        <v>405.57105879375996</v>
      </c>
      <c r="P26" s="38">
        <f>VLOOKUP('Hide - Control'!$B$4,'All practice data'!B:BC,A26+2,FALSE)</f>
        <v>3570</v>
      </c>
      <c r="Q26" s="38">
        <f>VLOOKUP('Hide - Control'!$B$4,'All practice data'!B:BC,3,FALSE)</f>
        <v>748575</v>
      </c>
      <c r="R26" s="38">
        <f t="shared" si="21"/>
        <v>461.388747668856</v>
      </c>
      <c r="S26" s="38">
        <f t="shared" si="22"/>
        <v>492.812333329508</v>
      </c>
      <c r="T26" s="53">
        <f t="shared" si="19"/>
        <v>867.7991333007812</v>
      </c>
      <c r="U26" s="51">
        <f t="shared" si="20"/>
        <v>55.493896484375</v>
      </c>
      <c r="V26" s="7"/>
      <c r="W26" s="27">
        <f t="shared" si="2"/>
        <v>55.493896484375</v>
      </c>
      <c r="X26" s="27">
        <f t="shared" si="3"/>
        <v>882.895263671875</v>
      </c>
      <c r="Y26" s="27">
        <f t="shared" si="4"/>
        <v>55.493896484375</v>
      </c>
      <c r="Z26" s="27">
        <f t="shared" si="5"/>
        <v>882.895263671875</v>
      </c>
      <c r="AA26" s="32">
        <f t="shared" si="6"/>
        <v>0</v>
      </c>
      <c r="AB26" s="33">
        <f t="shared" si="7"/>
        <v>0.34963002753585387</v>
      </c>
      <c r="AC26" s="33">
        <v>0.5</v>
      </c>
      <c r="AD26" s="33">
        <f t="shared" si="8"/>
        <v>0.6878596155366895</v>
      </c>
      <c r="AE26" s="33">
        <f t="shared" si="9"/>
        <v>0.9817547674323908</v>
      </c>
      <c r="AF26" s="33">
        <f t="shared" si="10"/>
        <v>-999</v>
      </c>
      <c r="AG26" s="33">
        <f t="shared" si="11"/>
        <v>0.6735118324800775</v>
      </c>
      <c r="AH26" s="33">
        <f t="shared" si="12"/>
        <v>-999</v>
      </c>
      <c r="AI26" s="34">
        <f t="shared" si="13"/>
        <v>0.423104403971879</v>
      </c>
      <c r="AJ26" s="4">
        <v>23.145964374695435</v>
      </c>
      <c r="AK26" s="32">
        <f t="shared" si="14"/>
        <v>-999</v>
      </c>
      <c r="AL26" s="34">
        <f t="shared" si="15"/>
        <v>-999</v>
      </c>
      <c r="AY26" s="103" t="s">
        <v>120</v>
      </c>
      <c r="AZ26" s="103" t="s">
        <v>446</v>
      </c>
      <c r="BA26" s="103" t="s">
        <v>372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102</v>
      </c>
      <c r="E27" s="38">
        <f>IF(LEFT(VLOOKUP($B27,'Indicator chart'!$D$1:$J$36,5,FALSE),1)=" "," ",VLOOKUP($B27,'Indicator chart'!$D$1:$J$36,5,FALSE))</f>
        <v>1116.0958529379582</v>
      </c>
      <c r="F27" s="38">
        <f>IF(LEFT(VLOOKUP($B27,'Indicator chart'!$D$1:$J$36,6,FALSE),1)=" "," ",VLOOKUP($B27,'Indicator chart'!$D$1:$J$36,6,FALSE))</f>
        <v>910.0189178732737</v>
      </c>
      <c r="G27" s="38">
        <f>IF(LEFT(VLOOKUP($B27,'Indicator chart'!$D$1:$J$36,7,FALSE),1)=" "," ",VLOOKUP($B27,'Indicator chart'!$D$1:$J$36,7,FALSE))</f>
        <v>1354.8811705546166</v>
      </c>
      <c r="H27" s="50">
        <f t="shared" si="0"/>
        <v>2</v>
      </c>
      <c r="I27" s="38">
        <v>195.90382385253906</v>
      </c>
      <c r="J27" s="38">
        <v>981.027099609375</v>
      </c>
      <c r="K27" s="38">
        <v>1151.7862548828125</v>
      </c>
      <c r="L27" s="38">
        <v>1332.3106689453125</v>
      </c>
      <c r="M27" s="38">
        <v>2107.52685546875</v>
      </c>
      <c r="N27" s="80">
        <f>VLOOKUP('Hide - Control'!B$3,'All practice data'!A:CA,A27+29,FALSE)</f>
        <v>1167.6852686771533</v>
      </c>
      <c r="O27" s="80">
        <f>VLOOKUP('Hide - Control'!C$3,'All practice data'!A:CA,A27+29,FALSE)</f>
        <v>1059.3522061277838</v>
      </c>
      <c r="P27" s="38">
        <f>VLOOKUP('Hide - Control'!$B$4,'All practice data'!B:BC,A27+2,FALSE)</f>
        <v>8741</v>
      </c>
      <c r="Q27" s="38">
        <f>VLOOKUP('Hide - Control'!$B$4,'All practice data'!B:BC,3,FALSE)</f>
        <v>748575</v>
      </c>
      <c r="R27" s="38">
        <f t="shared" si="21"/>
        <v>1143.3325940467732</v>
      </c>
      <c r="S27" s="38">
        <f t="shared" si="22"/>
        <v>1192.4259949723105</v>
      </c>
      <c r="T27" s="53">
        <f t="shared" si="19"/>
        <v>2107.52685546875</v>
      </c>
      <c r="U27" s="51">
        <f t="shared" si="20"/>
        <v>195.90382385253906</v>
      </c>
      <c r="V27" s="7"/>
      <c r="W27" s="27">
        <f t="shared" si="2"/>
        <v>195.90382385253906</v>
      </c>
      <c r="X27" s="27">
        <f t="shared" si="3"/>
        <v>2107.668685913086</v>
      </c>
      <c r="Y27" s="27">
        <f t="shared" si="4"/>
        <v>195.90382385253906</v>
      </c>
      <c r="Z27" s="27">
        <f t="shared" si="5"/>
        <v>2107.668685913086</v>
      </c>
      <c r="AA27" s="32">
        <f t="shared" si="6"/>
        <v>0</v>
      </c>
      <c r="AB27" s="33">
        <f t="shared" si="7"/>
        <v>0.4106798337692068</v>
      </c>
      <c r="AC27" s="33">
        <v>0.5</v>
      </c>
      <c r="AD27" s="33">
        <f t="shared" si="8"/>
        <v>0.5944281473339386</v>
      </c>
      <c r="AE27" s="33">
        <f t="shared" si="9"/>
        <v>0.9999258117736388</v>
      </c>
      <c r="AF27" s="33">
        <f t="shared" si="10"/>
        <v>-999</v>
      </c>
      <c r="AG27" s="33">
        <f t="shared" si="11"/>
        <v>0.48133117589242314</v>
      </c>
      <c r="AH27" s="33">
        <f t="shared" si="12"/>
        <v>-999</v>
      </c>
      <c r="AI27" s="34">
        <f t="shared" si="13"/>
        <v>0.45164988613955326</v>
      </c>
      <c r="AJ27" s="4">
        <v>24.221959800077364</v>
      </c>
      <c r="AK27" s="32">
        <f t="shared" si="14"/>
        <v>-999</v>
      </c>
      <c r="AL27" s="34">
        <f t="shared" si="15"/>
        <v>-999</v>
      </c>
      <c r="AY27" s="103" t="s">
        <v>115</v>
      </c>
      <c r="AZ27" s="103" t="s">
        <v>445</v>
      </c>
      <c r="BA27" s="103" t="s">
        <v>553</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74</v>
      </c>
      <c r="E28" s="38">
        <f>IF(LEFT(VLOOKUP($B28,'Indicator chart'!$D$1:$J$36,5,FALSE),1)=" "," ",VLOOKUP($B28,'Indicator chart'!$D$1:$J$36,5,FALSE))</f>
        <v>809.7165991902834</v>
      </c>
      <c r="F28" s="38">
        <f>IF(LEFT(VLOOKUP($B28,'Indicator chart'!$D$1:$J$36,6,FALSE),1)=" "," ",VLOOKUP($B28,'Indicator chart'!$D$1:$J$36,6,FALSE))</f>
        <v>635.7741122599808</v>
      </c>
      <c r="G28" s="38">
        <f>IF(LEFT(VLOOKUP($B28,'Indicator chart'!$D$1:$J$36,7,FALSE),1)=" "," ",VLOOKUP($B28,'Indicator chart'!$D$1:$J$36,7,FALSE))</f>
        <v>1016.5427221006398</v>
      </c>
      <c r="H28" s="50">
        <f t="shared" si="0"/>
        <v>2</v>
      </c>
      <c r="I28" s="38">
        <v>155.9251708984375</v>
      </c>
      <c r="J28" s="38">
        <v>521.0568237304688</v>
      </c>
      <c r="K28" s="38">
        <v>616.10302734375</v>
      </c>
      <c r="L28" s="38">
        <v>793.2903442382812</v>
      </c>
      <c r="M28" s="38">
        <v>1364.14697265625</v>
      </c>
      <c r="N28" s="80">
        <f>VLOOKUP('Hide - Control'!B$3,'All practice data'!A:CA,A28+29,FALSE)</f>
        <v>637.2107003306282</v>
      </c>
      <c r="O28" s="80">
        <f>VLOOKUP('Hide - Control'!C$3,'All practice data'!A:CA,A28+29,FALSE)</f>
        <v>582.9390489900089</v>
      </c>
      <c r="P28" s="38">
        <f>VLOOKUP('Hide - Control'!$B$4,'All practice data'!B:BC,A28+2,FALSE)</f>
        <v>4770</v>
      </c>
      <c r="Q28" s="38">
        <f>VLOOKUP('Hide - Control'!$B$4,'All practice data'!B:BC,3,FALSE)</f>
        <v>748575</v>
      </c>
      <c r="R28" s="38">
        <f>100000*(P28*(1-1/(9*P28)-1.96/(3*SQRT(P28)))^3)/Q28</f>
        <v>619.254140301932</v>
      </c>
      <c r="S28" s="38">
        <f>100000*((P28+1)*(1-1/(9*(P28+1))+1.96/(3*SQRT(P28+1)))^3)/Q28</f>
        <v>655.5558045752352</v>
      </c>
      <c r="T28" s="53">
        <f t="shared" si="19"/>
        <v>1364.14697265625</v>
      </c>
      <c r="U28" s="51">
        <f t="shared" si="20"/>
        <v>155.9251708984375</v>
      </c>
      <c r="V28" s="7"/>
      <c r="W28" s="27">
        <f t="shared" si="2"/>
        <v>-131.94091796875</v>
      </c>
      <c r="X28" s="27">
        <f t="shared" si="3"/>
        <v>1364.14697265625</v>
      </c>
      <c r="Y28" s="27">
        <f t="shared" si="4"/>
        <v>-131.94091796875</v>
      </c>
      <c r="Z28" s="27">
        <f t="shared" si="5"/>
        <v>1364.14697265625</v>
      </c>
      <c r="AA28" s="32">
        <f t="shared" si="6"/>
        <v>0.19241255187683504</v>
      </c>
      <c r="AB28" s="33">
        <f t="shared" si="7"/>
        <v>0.43647017383880093</v>
      </c>
      <c r="AC28" s="33">
        <v>0.5</v>
      </c>
      <c r="AD28" s="33">
        <f t="shared" si="8"/>
        <v>0.6184337618162995</v>
      </c>
      <c r="AE28" s="33">
        <f t="shared" si="9"/>
        <v>1</v>
      </c>
      <c r="AF28" s="33">
        <f t="shared" si="10"/>
        <v>-999</v>
      </c>
      <c r="AG28" s="33">
        <f t="shared" si="11"/>
        <v>0.629413233714264</v>
      </c>
      <c r="AH28" s="33">
        <f t="shared" si="12"/>
        <v>-999</v>
      </c>
      <c r="AI28" s="34">
        <f t="shared" si="13"/>
        <v>0.47783286759985294</v>
      </c>
      <c r="AJ28" s="4">
        <v>25.297955225459287</v>
      </c>
      <c r="AK28" s="32">
        <f t="shared" si="14"/>
        <v>-999</v>
      </c>
      <c r="AL28" s="34">
        <f t="shared" si="15"/>
        <v>-999</v>
      </c>
      <c r="AY28" s="103" t="s">
        <v>241</v>
      </c>
      <c r="AZ28" s="103" t="s">
        <v>242</v>
      </c>
      <c r="BA28" s="103" t="s">
        <v>553</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448</v>
      </c>
      <c r="BA29" s="103" t="s">
        <v>372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372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469</v>
      </c>
      <c r="BA31" s="103" t="s">
        <v>372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428</v>
      </c>
      <c r="BA32" s="103" t="s">
        <v>372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493</v>
      </c>
      <c r="BA33" s="103" t="s">
        <v>553</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372</v>
      </c>
      <c r="BB34" s="10">
        <v>532801</v>
      </c>
      <c r="BE34" s="77"/>
      <c r="BF34" s="253"/>
    </row>
    <row r="35" spans="2:58" ht="12.75">
      <c r="B35" s="17" t="s">
        <v>41</v>
      </c>
      <c r="C35" s="18"/>
      <c r="H35" s="290" t="s">
        <v>654</v>
      </c>
      <c r="I35" s="291"/>
      <c r="Y35" s="43"/>
      <c r="Z35" s="44"/>
      <c r="AA35" s="44"/>
      <c r="AB35" s="43"/>
      <c r="AC35" s="43"/>
      <c r="AY35" s="103" t="s">
        <v>159</v>
      </c>
      <c r="AZ35" s="103" t="s">
        <v>461</v>
      </c>
      <c r="BA35" s="103" t="s">
        <v>372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450</v>
      </c>
      <c r="BA36" s="103" t="s">
        <v>372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467</v>
      </c>
      <c r="BA37" s="103" t="s">
        <v>372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372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372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372</v>
      </c>
      <c r="BB40" s="10">
        <v>714731</v>
      </c>
      <c r="BF40" s="252"/>
    </row>
    <row r="41" spans="1:58" ht="12.75">
      <c r="A41" s="3"/>
      <c r="B41" s="71"/>
      <c r="C41" s="3"/>
      <c r="T41" s="13"/>
      <c r="U41" s="2"/>
      <c r="W41" s="2"/>
      <c r="X41" s="10"/>
      <c r="Y41" s="44"/>
      <c r="Z41" s="44"/>
      <c r="AA41" s="44"/>
      <c r="AB41" s="44"/>
      <c r="AC41" s="44"/>
      <c r="AD41" s="2"/>
      <c r="AE41" s="2"/>
      <c r="AY41" s="103" t="s">
        <v>272</v>
      </c>
      <c r="AZ41" s="103" t="s">
        <v>494</v>
      </c>
      <c r="BA41" s="103" t="s">
        <v>553</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372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491</v>
      </c>
      <c r="BA43" s="103" t="s">
        <v>372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479</v>
      </c>
      <c r="BA44" s="103" t="s">
        <v>372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372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470</v>
      </c>
      <c r="BA46" s="103" t="s">
        <v>553</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372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474</v>
      </c>
      <c r="BA48" s="103" t="s">
        <v>553</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485</v>
      </c>
      <c r="BA49" s="103" t="s">
        <v>553</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372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451</v>
      </c>
      <c r="BA51" s="103" t="s">
        <v>372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372</v>
      </c>
      <c r="BB52" s="10">
        <v>611636</v>
      </c>
      <c r="BF52" s="252"/>
    </row>
    <row r="53" spans="1:58" ht="12.75">
      <c r="A53" s="3"/>
      <c r="B53" s="12"/>
      <c r="C53" s="3"/>
      <c r="I53" s="11"/>
      <c r="J53" s="11"/>
      <c r="K53" s="11"/>
      <c r="L53" s="11"/>
      <c r="S53" s="11"/>
      <c r="U53" s="2"/>
      <c r="X53" s="2"/>
      <c r="Y53" s="2"/>
      <c r="Z53" s="2"/>
      <c r="AA53" s="2"/>
      <c r="AB53" s="2"/>
      <c r="AY53" s="103" t="s">
        <v>244</v>
      </c>
      <c r="AZ53" s="103" t="s">
        <v>484</v>
      </c>
      <c r="BA53" s="103" t="s">
        <v>372</v>
      </c>
      <c r="BB53" s="10">
        <v>230998</v>
      </c>
      <c r="BF53" s="252"/>
    </row>
    <row r="54" spans="1:58" ht="12.75">
      <c r="A54" s="3"/>
      <c r="B54" s="12"/>
      <c r="C54" s="3"/>
      <c r="I54" s="11"/>
      <c r="J54" s="11"/>
      <c r="K54" s="11"/>
      <c r="L54" s="11"/>
      <c r="S54" s="11"/>
      <c r="U54" s="2"/>
      <c r="X54" s="2"/>
      <c r="Y54" s="2"/>
      <c r="Z54" s="2"/>
      <c r="AA54" s="2"/>
      <c r="AB54" s="2"/>
      <c r="AY54" s="103" t="s">
        <v>67</v>
      </c>
      <c r="AZ54" s="103" t="s">
        <v>425</v>
      </c>
      <c r="BA54" s="103" t="s">
        <v>372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471</v>
      </c>
      <c r="BA55" s="103" t="s">
        <v>372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441</v>
      </c>
      <c r="BA56" s="103" t="s">
        <v>372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486</v>
      </c>
      <c r="BA57" s="103" t="s">
        <v>372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431</v>
      </c>
      <c r="BA58" s="103" t="s">
        <v>372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372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372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475</v>
      </c>
      <c r="BA61" s="103" t="s">
        <v>553</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553</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464</v>
      </c>
      <c r="BA63" s="103" t="s">
        <v>372</v>
      </c>
      <c r="BB63" s="10">
        <v>318405</v>
      </c>
      <c r="BE63" s="70"/>
      <c r="BF63" s="239"/>
    </row>
    <row r="64" spans="1:58" ht="12.75">
      <c r="A64" s="3"/>
      <c r="B64" s="12"/>
      <c r="C64" s="3"/>
      <c r="I64" s="11"/>
      <c r="V64" s="3"/>
      <c r="AY64" s="103" t="s">
        <v>78</v>
      </c>
      <c r="AZ64" s="103" t="s">
        <v>432</v>
      </c>
      <c r="BA64" s="103" t="s">
        <v>553</v>
      </c>
      <c r="BB64" s="10">
        <v>181285</v>
      </c>
      <c r="BE64" s="70"/>
      <c r="BF64" s="241"/>
    </row>
    <row r="65" spans="1:58" ht="12.75">
      <c r="A65" s="3"/>
      <c r="B65" s="12"/>
      <c r="C65" s="3"/>
      <c r="AY65" s="103" t="s">
        <v>542</v>
      </c>
      <c r="AZ65" s="103" t="s">
        <v>543</v>
      </c>
      <c r="BA65" s="103" t="s">
        <v>372</v>
      </c>
      <c r="BB65" s="10">
        <v>1169302</v>
      </c>
      <c r="BE65" s="70"/>
      <c r="BF65" s="241"/>
    </row>
    <row r="66" spans="1:58" ht="12.75">
      <c r="A66" s="3"/>
      <c r="B66" s="12"/>
      <c r="C66" s="3"/>
      <c r="E66" s="2"/>
      <c r="F66" s="2"/>
      <c r="G66" s="2"/>
      <c r="V66" s="2"/>
      <c r="AY66" s="103" t="s">
        <v>200</v>
      </c>
      <c r="AZ66" s="103" t="s">
        <v>472</v>
      </c>
      <c r="BA66" s="103" t="s">
        <v>372</v>
      </c>
      <c r="BB66" s="10">
        <v>217916</v>
      </c>
      <c r="BE66" s="70"/>
      <c r="BF66" s="239"/>
    </row>
    <row r="67" spans="1:58" ht="12.75">
      <c r="A67" s="3"/>
      <c r="B67" s="12"/>
      <c r="C67" s="3"/>
      <c r="AY67" s="103" t="s">
        <v>69</v>
      </c>
      <c r="AZ67" s="103" t="s">
        <v>70</v>
      </c>
      <c r="BA67" s="103" t="s">
        <v>372</v>
      </c>
      <c r="BB67" s="10">
        <v>270842</v>
      </c>
      <c r="BE67" s="70"/>
      <c r="BF67" s="239"/>
    </row>
    <row r="68" spans="1:58" ht="12.75">
      <c r="A68" s="3"/>
      <c r="B68" s="12"/>
      <c r="C68" s="3"/>
      <c r="AY68" s="103" t="s">
        <v>109</v>
      </c>
      <c r="AZ68" s="103" t="s">
        <v>110</v>
      </c>
      <c r="BA68" s="103" t="s">
        <v>372</v>
      </c>
      <c r="BB68" s="10">
        <v>251613</v>
      </c>
      <c r="BF68" s="252"/>
    </row>
    <row r="69" spans="1:58" ht="12.75">
      <c r="A69" s="3"/>
      <c r="B69" s="12"/>
      <c r="C69" s="3"/>
      <c r="AY69" s="103" t="s">
        <v>209</v>
      </c>
      <c r="AZ69" s="103" t="s">
        <v>210</v>
      </c>
      <c r="BA69" s="103" t="s">
        <v>372</v>
      </c>
      <c r="BB69" s="10">
        <v>283547</v>
      </c>
      <c r="BE69" s="70"/>
      <c r="BF69" s="241"/>
    </row>
    <row r="70" spans="1:58" ht="12.75">
      <c r="A70" s="3"/>
      <c r="B70" s="12"/>
      <c r="C70" s="3"/>
      <c r="AY70" s="103" t="s">
        <v>275</v>
      </c>
      <c r="AZ70" s="103" t="s">
        <v>495</v>
      </c>
      <c r="BA70" s="103" t="s">
        <v>552</v>
      </c>
      <c r="BB70" s="10">
        <v>141474</v>
      </c>
      <c r="BE70" s="70"/>
      <c r="BF70" s="239"/>
    </row>
    <row r="71" spans="1:58" ht="12.75">
      <c r="A71" s="3"/>
      <c r="B71" s="12"/>
      <c r="C71" s="3"/>
      <c r="AY71" s="103" t="s">
        <v>127</v>
      </c>
      <c r="AZ71" s="103" t="s">
        <v>449</v>
      </c>
      <c r="BA71" s="103" t="s">
        <v>372</v>
      </c>
      <c r="BB71" s="10">
        <v>213326</v>
      </c>
      <c r="BE71" s="70"/>
      <c r="BF71" s="239"/>
    </row>
    <row r="72" spans="1:58" ht="12.75">
      <c r="A72" s="3"/>
      <c r="B72" s="12"/>
      <c r="C72" s="3"/>
      <c r="AY72" s="103" t="s">
        <v>136</v>
      </c>
      <c r="AZ72" s="103" t="s">
        <v>137</v>
      </c>
      <c r="BA72" s="103" t="s">
        <v>372</v>
      </c>
      <c r="BB72" s="10">
        <v>183220</v>
      </c>
      <c r="BE72" s="250"/>
      <c r="BF72" s="239"/>
    </row>
    <row r="73" spans="1:58" ht="12.75">
      <c r="A73" s="3"/>
      <c r="B73" s="12"/>
      <c r="C73" s="3"/>
      <c r="AY73" s="103" t="s">
        <v>64</v>
      </c>
      <c r="AZ73" s="103" t="s">
        <v>424</v>
      </c>
      <c r="BA73" s="103" t="s">
        <v>372</v>
      </c>
      <c r="BB73" s="10">
        <v>190143</v>
      </c>
      <c r="BE73" s="70"/>
      <c r="BF73" s="239"/>
    </row>
    <row r="74" spans="1:58" ht="12.75">
      <c r="A74" s="3"/>
      <c r="B74" s="12"/>
      <c r="C74" s="3"/>
      <c r="AY74" s="103" t="s">
        <v>165</v>
      </c>
      <c r="AZ74" s="103" t="s">
        <v>166</v>
      </c>
      <c r="BA74" s="103" t="s">
        <v>553</v>
      </c>
      <c r="BB74" s="10">
        <v>419928</v>
      </c>
      <c r="BE74" s="70"/>
      <c r="BF74" s="241"/>
    </row>
    <row r="75" spans="1:58" ht="12.75">
      <c r="A75" s="3"/>
      <c r="B75" s="12"/>
      <c r="C75" s="3"/>
      <c r="AY75" s="103" t="s">
        <v>113</v>
      </c>
      <c r="AZ75" s="103" t="s">
        <v>443</v>
      </c>
      <c r="BA75" s="103" t="s">
        <v>372</v>
      </c>
      <c r="BB75" s="10">
        <v>158106</v>
      </c>
      <c r="BE75" s="70"/>
      <c r="BF75" s="241"/>
    </row>
    <row r="76" spans="1:58" ht="12.75">
      <c r="A76" s="3"/>
      <c r="B76" s="12"/>
      <c r="C76" s="3"/>
      <c r="AY76" s="103" t="s">
        <v>140</v>
      </c>
      <c r="AZ76" s="103" t="s">
        <v>141</v>
      </c>
      <c r="BA76" s="103" t="s">
        <v>372</v>
      </c>
      <c r="BB76" s="10">
        <v>377807</v>
      </c>
      <c r="BE76" s="70"/>
      <c r="BF76" s="241"/>
    </row>
    <row r="77" spans="1:58" ht="12.75">
      <c r="A77" s="3"/>
      <c r="B77" s="12"/>
      <c r="C77" s="3"/>
      <c r="AY77" s="103" t="s">
        <v>163</v>
      </c>
      <c r="AZ77" s="103" t="s">
        <v>164</v>
      </c>
      <c r="BA77" s="103" t="s">
        <v>553</v>
      </c>
      <c r="BB77" s="10">
        <v>799634</v>
      </c>
      <c r="BE77" s="70"/>
      <c r="BF77" s="249"/>
    </row>
    <row r="78" spans="1:58" ht="12.75">
      <c r="A78" s="3"/>
      <c r="B78" s="12"/>
      <c r="C78" s="3"/>
      <c r="AY78" s="103" t="s">
        <v>224</v>
      </c>
      <c r="AZ78" s="103" t="s">
        <v>225</v>
      </c>
      <c r="BA78" s="103" t="s">
        <v>372</v>
      </c>
      <c r="BB78" s="10">
        <v>362638</v>
      </c>
      <c r="BE78" s="70"/>
      <c r="BF78" s="239"/>
    </row>
    <row r="79" spans="1:58" ht="12.75">
      <c r="A79" s="3"/>
      <c r="B79" s="12"/>
      <c r="C79" s="3"/>
      <c r="AY79" s="103" t="s">
        <v>223</v>
      </c>
      <c r="AZ79" s="103" t="s">
        <v>477</v>
      </c>
      <c r="BA79" s="103" t="s">
        <v>372</v>
      </c>
      <c r="BB79" s="10">
        <v>678998</v>
      </c>
      <c r="BF79" s="239"/>
    </row>
    <row r="80" spans="1:58" ht="12.75">
      <c r="A80" s="3"/>
      <c r="B80" s="12"/>
      <c r="C80" s="3"/>
      <c r="AY80" s="103" t="s">
        <v>144</v>
      </c>
      <c r="AZ80" s="103" t="s">
        <v>145</v>
      </c>
      <c r="BA80" s="103" t="s">
        <v>372</v>
      </c>
      <c r="BB80" s="10">
        <v>290986</v>
      </c>
      <c r="BF80" s="252"/>
    </row>
    <row r="81" spans="1:58" ht="12.75">
      <c r="A81" s="3"/>
      <c r="B81" s="12"/>
      <c r="C81" s="3"/>
      <c r="AY81" s="103" t="s">
        <v>178</v>
      </c>
      <c r="AZ81" s="103" t="s">
        <v>466</v>
      </c>
      <c r="BA81" s="103" t="s">
        <v>553</v>
      </c>
      <c r="BB81" s="10">
        <v>747976</v>
      </c>
      <c r="BF81" s="252"/>
    </row>
    <row r="82" spans="1:58" ht="12.75">
      <c r="A82" s="3"/>
      <c r="B82" s="12"/>
      <c r="C82" s="3"/>
      <c r="AY82" s="103" t="s">
        <v>193</v>
      </c>
      <c r="AZ82" s="103" t="s">
        <v>194</v>
      </c>
      <c r="BA82" s="103" t="s">
        <v>372</v>
      </c>
      <c r="BB82" s="10">
        <v>489140</v>
      </c>
      <c r="BF82" s="252"/>
    </row>
    <row r="83" spans="1:58" ht="12.75">
      <c r="A83" s="3"/>
      <c r="B83" s="12"/>
      <c r="C83" s="3"/>
      <c r="AY83" s="103" t="s">
        <v>98</v>
      </c>
      <c r="AZ83" s="103" t="s">
        <v>440</v>
      </c>
      <c r="BA83" s="103" t="s">
        <v>553</v>
      </c>
      <c r="BB83" s="10">
        <v>208442</v>
      </c>
      <c r="BE83" s="70"/>
      <c r="BF83" s="241"/>
    </row>
    <row r="84" spans="1:58" ht="12.75">
      <c r="A84" s="3"/>
      <c r="B84" s="12"/>
      <c r="C84" s="3"/>
      <c r="AY84" s="103" t="s">
        <v>203</v>
      </c>
      <c r="AZ84" s="103" t="s">
        <v>204</v>
      </c>
      <c r="BA84" s="103" t="s">
        <v>553</v>
      </c>
      <c r="BB84" s="10">
        <v>545543</v>
      </c>
      <c r="BE84" s="70"/>
      <c r="BF84" s="241"/>
    </row>
    <row r="85" spans="1:58" ht="12.75">
      <c r="A85" s="3"/>
      <c r="B85" s="12"/>
      <c r="C85" s="3"/>
      <c r="AY85" s="103" t="s">
        <v>135</v>
      </c>
      <c r="AZ85" s="103" t="s">
        <v>455</v>
      </c>
      <c r="BA85" s="103" t="s">
        <v>553</v>
      </c>
      <c r="BB85" s="10">
        <v>274067</v>
      </c>
      <c r="BE85" s="70"/>
      <c r="BF85" s="241"/>
    </row>
    <row r="86" spans="1:58" ht="12.75">
      <c r="A86" s="3"/>
      <c r="B86" s="12"/>
      <c r="C86" s="3"/>
      <c r="AY86" s="103" t="s">
        <v>251</v>
      </c>
      <c r="AZ86" s="103" t="s">
        <v>252</v>
      </c>
      <c r="BA86" s="103" t="s">
        <v>553</v>
      </c>
      <c r="BB86" s="10">
        <v>374861</v>
      </c>
      <c r="BE86" s="70"/>
      <c r="BF86" s="249"/>
    </row>
    <row r="87" spans="1:58" ht="12.75">
      <c r="A87" s="3"/>
      <c r="B87" s="12"/>
      <c r="C87" s="3"/>
      <c r="AY87" s="103" t="s">
        <v>132</v>
      </c>
      <c r="AZ87" s="103" t="s">
        <v>133</v>
      </c>
      <c r="BA87" s="103" t="s">
        <v>372</v>
      </c>
      <c r="BB87" s="10">
        <v>153833</v>
      </c>
      <c r="BE87" s="70"/>
      <c r="BF87" s="249"/>
    </row>
    <row r="88" spans="1:58" ht="12.75">
      <c r="A88" s="3"/>
      <c r="B88" s="12"/>
      <c r="C88" s="3"/>
      <c r="AY88" s="103" t="s">
        <v>79</v>
      </c>
      <c r="AZ88" s="103" t="s">
        <v>80</v>
      </c>
      <c r="BA88" s="103" t="s">
        <v>553</v>
      </c>
      <c r="BB88" s="10">
        <v>258492</v>
      </c>
      <c r="BE88" s="70"/>
      <c r="BF88" s="241"/>
    </row>
    <row r="89" spans="1:58" ht="12.75">
      <c r="A89" s="3"/>
      <c r="B89" s="12"/>
      <c r="C89" s="3"/>
      <c r="AY89" s="103" t="s">
        <v>81</v>
      </c>
      <c r="AZ89" s="103" t="s">
        <v>433</v>
      </c>
      <c r="BA89" s="103" t="s">
        <v>372</v>
      </c>
      <c r="BB89" s="10">
        <v>283085</v>
      </c>
      <c r="BE89" s="70"/>
      <c r="BF89" s="241"/>
    </row>
    <row r="90" spans="1:58" ht="12.75">
      <c r="A90" s="3"/>
      <c r="B90" s="12"/>
      <c r="C90" s="3"/>
      <c r="AY90" s="103" t="s">
        <v>76</v>
      </c>
      <c r="AZ90" s="103" t="s">
        <v>430</v>
      </c>
      <c r="BA90" s="103" t="s">
        <v>372</v>
      </c>
      <c r="BB90" s="10">
        <v>357346</v>
      </c>
      <c r="BE90" s="70"/>
      <c r="BF90" s="241"/>
    </row>
    <row r="91" spans="1:58" ht="12.75">
      <c r="A91" s="3"/>
      <c r="B91" s="12"/>
      <c r="C91" s="3"/>
      <c r="AY91" s="103" t="s">
        <v>243</v>
      </c>
      <c r="AZ91" s="103" t="s">
        <v>483</v>
      </c>
      <c r="BA91" s="103" t="s">
        <v>553</v>
      </c>
      <c r="BB91" s="10">
        <v>748575</v>
      </c>
      <c r="BE91" s="247"/>
      <c r="BF91" s="249"/>
    </row>
    <row r="92" spans="1:58" ht="12.75">
      <c r="A92" s="3"/>
      <c r="B92" s="12"/>
      <c r="C92" s="3"/>
      <c r="AY92" s="103" t="s">
        <v>249</v>
      </c>
      <c r="AZ92" s="103" t="s">
        <v>250</v>
      </c>
      <c r="BA92" s="103" t="s">
        <v>553</v>
      </c>
      <c r="BB92" s="10">
        <v>322673</v>
      </c>
      <c r="BE92" s="247"/>
      <c r="BF92" s="249"/>
    </row>
    <row r="93" spans="1:58" ht="12.75">
      <c r="A93" s="3"/>
      <c r="B93" s="12"/>
      <c r="C93" s="3"/>
      <c r="AY93" s="103" t="s">
        <v>58</v>
      </c>
      <c r="AZ93" s="103" t="s">
        <v>59</v>
      </c>
      <c r="BA93" s="103" t="s">
        <v>372</v>
      </c>
      <c r="BB93" s="10">
        <v>165284</v>
      </c>
      <c r="BF93" s="252"/>
    </row>
    <row r="94" spans="1:58" ht="12.75">
      <c r="A94" s="3"/>
      <c r="B94" s="12"/>
      <c r="C94" s="3"/>
      <c r="AY94" s="103" t="s">
        <v>186</v>
      </c>
      <c r="AZ94" s="103" t="s">
        <v>468</v>
      </c>
      <c r="BA94" s="103" t="s">
        <v>372</v>
      </c>
      <c r="BB94" s="10">
        <v>339272</v>
      </c>
      <c r="BE94" s="70"/>
      <c r="BF94" s="241"/>
    </row>
    <row r="95" spans="1:58" ht="12.75">
      <c r="A95" s="3"/>
      <c r="B95" s="12"/>
      <c r="C95" s="3"/>
      <c r="AY95" s="103" t="s">
        <v>86</v>
      </c>
      <c r="AZ95" s="103" t="s">
        <v>87</v>
      </c>
      <c r="BA95" s="103" t="s">
        <v>372</v>
      </c>
      <c r="BB95" s="10">
        <v>165642</v>
      </c>
      <c r="BE95" s="247"/>
      <c r="BF95" s="249"/>
    </row>
    <row r="96" spans="1:58" ht="12.75">
      <c r="A96" s="3"/>
      <c r="B96" s="12"/>
      <c r="C96" s="3"/>
      <c r="AY96" s="103" t="s">
        <v>157</v>
      </c>
      <c r="AZ96" s="103" t="s">
        <v>158</v>
      </c>
      <c r="BA96" s="103" t="s">
        <v>372</v>
      </c>
      <c r="BB96" s="10">
        <v>208351</v>
      </c>
      <c r="BE96" s="243"/>
      <c r="BF96" s="238"/>
    </row>
    <row r="97" spans="1:58" ht="12.75">
      <c r="A97" s="3"/>
      <c r="B97" s="12"/>
      <c r="C97" s="3"/>
      <c r="AY97" s="103" t="s">
        <v>231</v>
      </c>
      <c r="AZ97" s="103" t="s">
        <v>232</v>
      </c>
      <c r="BA97" s="103" t="s">
        <v>372</v>
      </c>
      <c r="BB97" s="10">
        <v>203178</v>
      </c>
      <c r="BE97" s="243"/>
      <c r="BF97" s="238"/>
    </row>
    <row r="98" spans="1:58" ht="12.75">
      <c r="A98" s="3"/>
      <c r="B98" s="12"/>
      <c r="C98" s="3"/>
      <c r="AY98" s="103" t="s">
        <v>82</v>
      </c>
      <c r="AZ98" s="103" t="s">
        <v>434</v>
      </c>
      <c r="BA98" s="103" t="s">
        <v>372</v>
      </c>
      <c r="BB98" s="10">
        <v>214052</v>
      </c>
      <c r="BE98" s="248"/>
      <c r="BF98" s="241"/>
    </row>
    <row r="99" spans="1:58" ht="12.75">
      <c r="A99" s="3"/>
      <c r="B99" s="12"/>
      <c r="C99" s="3"/>
      <c r="AY99" s="103" t="s">
        <v>205</v>
      </c>
      <c r="AZ99" s="103" t="s">
        <v>206</v>
      </c>
      <c r="BA99" s="103" t="s">
        <v>553</v>
      </c>
      <c r="BB99" s="10">
        <v>795503</v>
      </c>
      <c r="BE99" s="70"/>
      <c r="BF99" s="249"/>
    </row>
    <row r="100" spans="1:58" ht="12.75">
      <c r="A100" s="3"/>
      <c r="B100" s="12"/>
      <c r="C100" s="3"/>
      <c r="AY100" s="103" t="s">
        <v>226</v>
      </c>
      <c r="AZ100" s="103" t="s">
        <v>478</v>
      </c>
      <c r="BA100" s="103" t="s">
        <v>372</v>
      </c>
      <c r="BB100" s="10">
        <v>648340</v>
      </c>
      <c r="BE100" s="70"/>
      <c r="BF100" s="249"/>
    </row>
    <row r="101" spans="51:58" ht="12.75">
      <c r="AY101" s="103" t="s">
        <v>51</v>
      </c>
      <c r="AZ101" s="103" t="s">
        <v>52</v>
      </c>
      <c r="BA101" s="103" t="s">
        <v>372</v>
      </c>
      <c r="BB101" s="10">
        <v>320818</v>
      </c>
      <c r="BE101" s="237"/>
      <c r="BF101" s="238"/>
    </row>
    <row r="102" spans="51:58" ht="12.75">
      <c r="AY102" s="103" t="s">
        <v>88</v>
      </c>
      <c r="AZ102" s="103" t="s">
        <v>89</v>
      </c>
      <c r="BA102" s="103" t="s">
        <v>372</v>
      </c>
      <c r="BB102" s="10">
        <v>339920</v>
      </c>
      <c r="BE102" s="237"/>
      <c r="BF102" s="238"/>
    </row>
    <row r="103" spans="51:58" ht="12.75">
      <c r="AY103" s="103" t="s">
        <v>177</v>
      </c>
      <c r="AZ103" s="103" t="s">
        <v>465</v>
      </c>
      <c r="BA103" s="103" t="s">
        <v>372</v>
      </c>
      <c r="BB103" s="10">
        <v>656875</v>
      </c>
      <c r="BE103" s="70"/>
      <c r="BF103" s="239"/>
    </row>
    <row r="104" spans="51:58" ht="12.75">
      <c r="AY104" s="103" t="s">
        <v>114</v>
      </c>
      <c r="AZ104" s="103" t="s">
        <v>444</v>
      </c>
      <c r="BA104" s="103" t="s">
        <v>372</v>
      </c>
      <c r="BB104" s="10">
        <v>236592</v>
      </c>
      <c r="BF104" s="252"/>
    </row>
    <row r="105" spans="51:58" ht="12.75">
      <c r="AY105" s="103" t="s">
        <v>259</v>
      </c>
      <c r="AZ105" s="103" t="s">
        <v>487</v>
      </c>
      <c r="BA105" s="103" t="s">
        <v>553</v>
      </c>
      <c r="BB105" s="10">
        <v>671572</v>
      </c>
      <c r="BE105" s="237"/>
      <c r="BF105" s="238"/>
    </row>
    <row r="106" spans="51:58" ht="12.75">
      <c r="AY106" s="103" t="s">
        <v>239</v>
      </c>
      <c r="AZ106" s="103" t="s">
        <v>240</v>
      </c>
      <c r="BA106" s="103" t="s">
        <v>553</v>
      </c>
      <c r="BB106" s="10">
        <v>177882</v>
      </c>
      <c r="BF106" s="252"/>
    </row>
    <row r="107" spans="51:58" ht="12.75">
      <c r="AY107" s="103" t="s">
        <v>91</v>
      </c>
      <c r="AZ107" s="103" t="s">
        <v>437</v>
      </c>
      <c r="BA107" s="103" t="s">
        <v>372</v>
      </c>
      <c r="BB107" s="10">
        <v>274443</v>
      </c>
      <c r="BF107" s="252"/>
    </row>
    <row r="108" spans="51:58" ht="12.75">
      <c r="AY108" s="103" t="s">
        <v>95</v>
      </c>
      <c r="AZ108" s="103" t="s">
        <v>439</v>
      </c>
      <c r="BA108" s="103" t="s">
        <v>372</v>
      </c>
      <c r="BB108" s="10">
        <v>213174</v>
      </c>
      <c r="BE108" s="70"/>
      <c r="BF108" s="239"/>
    </row>
    <row r="109" spans="51:58" ht="12.75">
      <c r="AY109" s="103" t="s">
        <v>179</v>
      </c>
      <c r="AZ109" s="103" t="s">
        <v>180</v>
      </c>
      <c r="BA109" s="103" t="s">
        <v>372</v>
      </c>
      <c r="BB109" s="10">
        <v>278950</v>
      </c>
      <c r="BE109" s="237"/>
      <c r="BF109" s="238"/>
    </row>
    <row r="110" spans="51:58" ht="12.75">
      <c r="AY110" s="103" t="s">
        <v>273</v>
      </c>
      <c r="AZ110" s="103" t="s">
        <v>274</v>
      </c>
      <c r="BA110" s="103" t="s">
        <v>372</v>
      </c>
      <c r="BB110" s="10">
        <v>133304</v>
      </c>
      <c r="BE110" s="70"/>
      <c r="BF110" s="249"/>
    </row>
    <row r="111" spans="51:58" ht="12.75">
      <c r="AY111" s="103" t="s">
        <v>155</v>
      </c>
      <c r="AZ111" s="103" t="s">
        <v>459</v>
      </c>
      <c r="BA111" s="103" t="s">
        <v>372</v>
      </c>
      <c r="BB111" s="10">
        <v>197060</v>
      </c>
      <c r="BE111" s="70"/>
      <c r="BF111" s="239"/>
    </row>
    <row r="112" spans="51:58" ht="12.75">
      <c r="AY112" s="103" t="s">
        <v>100</v>
      </c>
      <c r="AZ112" s="103" t="s">
        <v>101</v>
      </c>
      <c r="BA112" s="103" t="s">
        <v>372</v>
      </c>
      <c r="BB112" s="10">
        <v>253140</v>
      </c>
      <c r="BE112" s="250"/>
      <c r="BF112" s="249"/>
    </row>
    <row r="113" spans="51:58" ht="12.75">
      <c r="AY113" s="103" t="s">
        <v>92</v>
      </c>
      <c r="AZ113" s="103" t="s">
        <v>93</v>
      </c>
      <c r="BA113" s="103" t="s">
        <v>372</v>
      </c>
      <c r="BB113" s="10">
        <v>240983</v>
      </c>
      <c r="BE113" s="70"/>
      <c r="BF113" s="241"/>
    </row>
    <row r="114" spans="51:58" ht="12.75">
      <c r="AY114" s="103" t="s">
        <v>228</v>
      </c>
      <c r="AZ114" s="103" t="s">
        <v>480</v>
      </c>
      <c r="BA114" s="103" t="s">
        <v>372</v>
      </c>
      <c r="BB114" s="10">
        <v>340451</v>
      </c>
      <c r="BF114" s="241"/>
    </row>
    <row r="115" spans="51:58" ht="12.75">
      <c r="AY115" s="103" t="s">
        <v>189</v>
      </c>
      <c r="AZ115" s="103" t="s">
        <v>190</v>
      </c>
      <c r="BA115" s="103" t="s">
        <v>372</v>
      </c>
      <c r="BB115" s="10">
        <v>280673</v>
      </c>
      <c r="BE115" s="248"/>
      <c r="BF115" s="241"/>
    </row>
    <row r="116" spans="51:58" ht="12.75">
      <c r="AY116" s="103" t="s">
        <v>169</v>
      </c>
      <c r="AZ116" s="103" t="s">
        <v>170</v>
      </c>
      <c r="BA116" s="103" t="s">
        <v>372</v>
      </c>
      <c r="BB116" s="10">
        <v>565874</v>
      </c>
      <c r="BE116" s="70"/>
      <c r="BF116" s="239"/>
    </row>
    <row r="117" spans="51:58" ht="12.75">
      <c r="AY117" s="103" t="s">
        <v>152</v>
      </c>
      <c r="AZ117" s="103" t="s">
        <v>458</v>
      </c>
      <c r="BA117" s="103" t="s">
        <v>553</v>
      </c>
      <c r="BB117" s="10">
        <v>295379</v>
      </c>
      <c r="BE117" s="237"/>
      <c r="BF117" s="238"/>
    </row>
    <row r="118" spans="51:58" ht="12.75">
      <c r="AY118" s="103" t="s">
        <v>56</v>
      </c>
      <c r="AZ118" s="103" t="s">
        <v>57</v>
      </c>
      <c r="BA118" s="103" t="s">
        <v>372</v>
      </c>
      <c r="BB118" s="10">
        <v>217094</v>
      </c>
      <c r="BE118" s="70"/>
      <c r="BF118" s="239"/>
    </row>
    <row r="119" spans="51:58" ht="12.75">
      <c r="AY119" s="103" t="s">
        <v>268</v>
      </c>
      <c r="AZ119" s="103" t="s">
        <v>490</v>
      </c>
      <c r="BA119" s="103" t="s">
        <v>372</v>
      </c>
      <c r="BB119" s="10">
        <v>538131</v>
      </c>
      <c r="BE119" s="70"/>
      <c r="BF119" s="239"/>
    </row>
    <row r="120" spans="51:58" ht="12.75">
      <c r="AY120" s="103" t="s">
        <v>150</v>
      </c>
      <c r="AZ120" s="103" t="s">
        <v>151</v>
      </c>
      <c r="BA120" s="103" t="s">
        <v>553</v>
      </c>
      <c r="BB120" s="10">
        <v>389725</v>
      </c>
      <c r="BE120" s="70"/>
      <c r="BF120" s="239"/>
    </row>
    <row r="121" spans="51:58" ht="12.75">
      <c r="AY121" s="103" t="s">
        <v>212</v>
      </c>
      <c r="AZ121" s="103" t="s">
        <v>213</v>
      </c>
      <c r="BA121" s="103" t="s">
        <v>553</v>
      </c>
      <c r="BB121" s="10">
        <v>356812</v>
      </c>
      <c r="BE121" s="237"/>
      <c r="BF121" s="238"/>
    </row>
    <row r="122" spans="51:58" ht="12.75">
      <c r="AY122" s="103" t="s">
        <v>60</v>
      </c>
      <c r="AZ122" s="103" t="s">
        <v>61</v>
      </c>
      <c r="BA122" s="103" t="s">
        <v>372</v>
      </c>
      <c r="BB122" s="10">
        <v>256321</v>
      </c>
      <c r="BE122" s="70"/>
      <c r="BF122" s="249"/>
    </row>
    <row r="123" spans="51:58" ht="12.75">
      <c r="AY123" s="103" t="s">
        <v>234</v>
      </c>
      <c r="AZ123" s="103" t="s">
        <v>482</v>
      </c>
      <c r="BA123" s="103" t="s">
        <v>553</v>
      </c>
      <c r="BB123" s="10">
        <v>615835</v>
      </c>
      <c r="BF123" s="252"/>
    </row>
    <row r="124" spans="51:58" ht="12.75">
      <c r="AY124" s="103" t="s">
        <v>130</v>
      </c>
      <c r="AZ124" s="103" t="s">
        <v>452</v>
      </c>
      <c r="BA124" s="103" t="s">
        <v>372</v>
      </c>
      <c r="BB124" s="10">
        <v>150179</v>
      </c>
      <c r="BF124" s="252"/>
    </row>
    <row r="125" spans="51:58" ht="12.75">
      <c r="AY125" s="103" t="s">
        <v>253</v>
      </c>
      <c r="AZ125" s="103" t="s">
        <v>254</v>
      </c>
      <c r="BA125" s="103" t="s">
        <v>372</v>
      </c>
      <c r="BB125" s="10">
        <v>420503</v>
      </c>
      <c r="BE125" s="70"/>
      <c r="BF125" s="249"/>
    </row>
    <row r="126" spans="51:58" ht="12.75">
      <c r="AY126" s="103" t="s">
        <v>134</v>
      </c>
      <c r="AZ126" s="103" t="s">
        <v>454</v>
      </c>
      <c r="BA126" s="103" t="s">
        <v>372</v>
      </c>
      <c r="BB126" s="10">
        <v>263936</v>
      </c>
      <c r="BE126" s="70"/>
      <c r="BF126" s="239"/>
    </row>
    <row r="127" spans="51:58" ht="12.75">
      <c r="AY127" s="103" t="s">
        <v>142</v>
      </c>
      <c r="AZ127" s="103" t="s">
        <v>143</v>
      </c>
      <c r="BA127" s="103" t="s">
        <v>372</v>
      </c>
      <c r="BB127" s="10">
        <v>308593</v>
      </c>
      <c r="BF127" s="252"/>
    </row>
    <row r="128" spans="51:58" ht="12.75">
      <c r="AY128" s="103" t="s">
        <v>94</v>
      </c>
      <c r="AZ128" s="103" t="s">
        <v>438</v>
      </c>
      <c r="BA128" s="103" t="s">
        <v>553</v>
      </c>
      <c r="BB128" s="10">
        <v>298190</v>
      </c>
      <c r="BE128" s="250"/>
      <c r="BF128" s="249"/>
    </row>
    <row r="129" spans="51:58" ht="12.75">
      <c r="AY129" s="103" t="s">
        <v>85</v>
      </c>
      <c r="AZ129" s="103" t="s">
        <v>435</v>
      </c>
      <c r="BA129" s="103" t="s">
        <v>372</v>
      </c>
      <c r="BB129" s="10">
        <v>191885</v>
      </c>
      <c r="BE129" s="70"/>
      <c r="BF129" s="249"/>
    </row>
    <row r="130" spans="51:58" ht="12.75">
      <c r="AY130" s="103" t="s">
        <v>233</v>
      </c>
      <c r="AZ130" s="103" t="s">
        <v>481</v>
      </c>
      <c r="BA130" s="103" t="s">
        <v>372</v>
      </c>
      <c r="BB130" s="10">
        <v>268223</v>
      </c>
      <c r="BE130" s="70"/>
      <c r="BF130" s="249"/>
    </row>
    <row r="131" spans="51:58" ht="12.75">
      <c r="AY131" s="103" t="s">
        <v>245</v>
      </c>
      <c r="AZ131" s="103" t="s">
        <v>246</v>
      </c>
      <c r="BA131" s="103" t="s">
        <v>553</v>
      </c>
      <c r="BB131" s="10">
        <v>616983</v>
      </c>
      <c r="BE131" s="247"/>
      <c r="BF131" s="249"/>
    </row>
    <row r="132" spans="51:58" ht="12.75">
      <c r="AY132" s="103" t="s">
        <v>131</v>
      </c>
      <c r="AZ132" s="103" t="s">
        <v>453</v>
      </c>
      <c r="BA132" s="103" t="s">
        <v>372</v>
      </c>
      <c r="BB132" s="10">
        <v>283991</v>
      </c>
      <c r="BE132" s="247"/>
      <c r="BF132" s="249"/>
    </row>
    <row r="133" spans="51:58" ht="12.75">
      <c r="AY133" s="103" t="s">
        <v>216</v>
      </c>
      <c r="AZ133" s="103" t="s">
        <v>217</v>
      </c>
      <c r="BA133" s="103" t="s">
        <v>372</v>
      </c>
      <c r="BB133" s="10">
        <v>1156805</v>
      </c>
      <c r="BE133" s="247"/>
      <c r="BF133" s="251"/>
    </row>
    <row r="134" spans="51:58" ht="12.75">
      <c r="AY134" s="103" t="s">
        <v>156</v>
      </c>
      <c r="AZ134" s="103" t="s">
        <v>460</v>
      </c>
      <c r="BA134" s="103" t="s">
        <v>372</v>
      </c>
      <c r="BB134" s="10">
        <v>390971</v>
      </c>
      <c r="BE134" s="243"/>
      <c r="BF134" s="238"/>
    </row>
    <row r="135" spans="51:58" ht="12.75">
      <c r="AY135" s="103" t="s">
        <v>121</v>
      </c>
      <c r="AZ135" s="103" t="s">
        <v>122</v>
      </c>
      <c r="BA135" s="103" t="s">
        <v>552</v>
      </c>
      <c r="BB135" s="10">
        <v>218182</v>
      </c>
      <c r="BE135" s="250"/>
      <c r="BF135" s="249"/>
    </row>
    <row r="136" spans="51:58" ht="12.75">
      <c r="AY136" s="103" t="s">
        <v>148</v>
      </c>
      <c r="AZ136" s="103" t="s">
        <v>456</v>
      </c>
      <c r="BA136" s="103" t="s">
        <v>553</v>
      </c>
      <c r="BB136" s="10">
        <v>236598</v>
      </c>
      <c r="BE136" s="237"/>
      <c r="BF136" s="238"/>
    </row>
    <row r="137" spans="51:58" ht="12.75">
      <c r="AY137" s="103" t="s">
        <v>160</v>
      </c>
      <c r="AZ137" s="103" t="s">
        <v>462</v>
      </c>
      <c r="BA137" s="103" t="s">
        <v>553</v>
      </c>
      <c r="BB137" s="10">
        <v>165993</v>
      </c>
      <c r="BF137" s="252"/>
    </row>
    <row r="138" spans="51:58" ht="12.75">
      <c r="AY138" s="103" t="s">
        <v>54</v>
      </c>
      <c r="AZ138" s="103" t="s">
        <v>55</v>
      </c>
      <c r="BA138" s="103" t="s">
        <v>372</v>
      </c>
      <c r="BB138" s="10">
        <v>145889</v>
      </c>
      <c r="BE138" s="70"/>
      <c r="BF138" s="239"/>
    </row>
    <row r="139" spans="51:58" ht="12.75">
      <c r="AY139" s="103" t="s">
        <v>75</v>
      </c>
      <c r="AZ139" s="103" t="s">
        <v>429</v>
      </c>
      <c r="BA139" s="103" t="s">
        <v>372</v>
      </c>
      <c r="BB139" s="10">
        <v>267393</v>
      </c>
      <c r="BE139" s="237"/>
      <c r="BF139" s="238"/>
    </row>
    <row r="140" spans="51:58" ht="12.75">
      <c r="AY140" s="103" t="s">
        <v>201</v>
      </c>
      <c r="AZ140" s="103" t="s">
        <v>202</v>
      </c>
      <c r="BA140" s="103" t="s">
        <v>553</v>
      </c>
      <c r="BB140" s="10">
        <v>232551</v>
      </c>
      <c r="BE140" s="70"/>
      <c r="BF140" s="239"/>
    </row>
    <row r="141" spans="51:58" ht="12.75">
      <c r="AY141" s="103" t="s">
        <v>167</v>
      </c>
      <c r="AZ141" s="103" t="s">
        <v>168</v>
      </c>
      <c r="BA141" s="103" t="s">
        <v>553</v>
      </c>
      <c r="BB141" s="10">
        <v>350958</v>
      </c>
      <c r="BE141" s="70"/>
      <c r="BF141" s="239"/>
    </row>
    <row r="142" spans="51:58" ht="12.75">
      <c r="AY142" s="103" t="s">
        <v>153</v>
      </c>
      <c r="AZ142" s="103" t="s">
        <v>154</v>
      </c>
      <c r="BA142" s="103" t="s">
        <v>372</v>
      </c>
      <c r="BB142" s="10">
        <v>265654</v>
      </c>
      <c r="BE142" s="70"/>
      <c r="BF142" s="241"/>
    </row>
    <row r="143" spans="51:58" ht="12.75">
      <c r="AY143" s="103" t="s">
        <v>181</v>
      </c>
      <c r="AZ143" s="103" t="s">
        <v>182</v>
      </c>
      <c r="BA143" s="103" t="s">
        <v>372</v>
      </c>
      <c r="BB143" s="10">
        <v>284466</v>
      </c>
      <c r="BE143" s="70"/>
      <c r="BF143" s="249"/>
    </row>
    <row r="144" spans="51:58" ht="12.75">
      <c r="AY144" s="103" t="s">
        <v>146</v>
      </c>
      <c r="AZ144" s="103" t="s">
        <v>147</v>
      </c>
      <c r="BA144" s="103" t="s">
        <v>372</v>
      </c>
      <c r="BB144" s="10">
        <v>319933</v>
      </c>
      <c r="BE144" s="70"/>
      <c r="BF144" s="241"/>
    </row>
    <row r="145" spans="51:58" ht="12.75">
      <c r="AY145" s="103" t="s">
        <v>111</v>
      </c>
      <c r="AZ145" s="103" t="s">
        <v>112</v>
      </c>
      <c r="BA145" s="103" t="s">
        <v>372</v>
      </c>
      <c r="BB145" s="10">
        <v>192336</v>
      </c>
      <c r="BE145" s="248"/>
      <c r="BF145" s="249"/>
    </row>
    <row r="146" spans="51:58" ht="12.75">
      <c r="AY146" s="103" t="s">
        <v>237</v>
      </c>
      <c r="AZ146" s="103" t="s">
        <v>238</v>
      </c>
      <c r="BA146" s="103" t="s">
        <v>372</v>
      </c>
      <c r="BB146" s="10">
        <v>548313</v>
      </c>
      <c r="BF146" s="252"/>
    </row>
    <row r="147" spans="51:58" ht="12.75">
      <c r="AY147" s="103" t="s">
        <v>247</v>
      </c>
      <c r="AZ147" s="103" t="s">
        <v>248</v>
      </c>
      <c r="BA147" s="103" t="s">
        <v>372</v>
      </c>
      <c r="BB147" s="10">
        <v>287229</v>
      </c>
      <c r="BF147" s="252"/>
    </row>
    <row r="148" spans="51:58" ht="12.75">
      <c r="AY148" s="103" t="s">
        <v>222</v>
      </c>
      <c r="AZ148" s="103" t="s">
        <v>476</v>
      </c>
      <c r="BA148" s="103" t="s">
        <v>553</v>
      </c>
      <c r="BB148" s="10">
        <v>707573</v>
      </c>
      <c r="BF148" s="252"/>
    </row>
    <row r="149" spans="51:58" ht="12.75">
      <c r="AY149" s="103" t="s">
        <v>218</v>
      </c>
      <c r="AZ149" s="103" t="s">
        <v>219</v>
      </c>
      <c r="BA149" s="103" t="s">
        <v>553</v>
      </c>
      <c r="BB149" s="10">
        <v>825533</v>
      </c>
      <c r="BE149" s="248"/>
      <c r="BF149" s="249"/>
    </row>
    <row r="150" spans="51:58" ht="12.75">
      <c r="AY150" s="103" t="s">
        <v>196</v>
      </c>
      <c r="AZ150" s="103" t="s">
        <v>197</v>
      </c>
      <c r="BA150" s="103" t="s">
        <v>372</v>
      </c>
      <c r="BB150" s="10">
        <v>259945</v>
      </c>
      <c r="BF150" s="252"/>
    </row>
    <row r="151" spans="51:58" ht="12.75">
      <c r="AY151" s="103" t="s">
        <v>138</v>
      </c>
      <c r="AZ151" s="103" t="s">
        <v>139</v>
      </c>
      <c r="BA151" s="103" t="s">
        <v>372</v>
      </c>
      <c r="BB151" s="10">
        <v>246573</v>
      </c>
      <c r="BF151" s="252"/>
    </row>
    <row r="152" spans="51:58" ht="12.75">
      <c r="AY152" s="103" t="s">
        <v>266</v>
      </c>
      <c r="AZ152" s="103" t="s">
        <v>267</v>
      </c>
      <c r="BA152" s="103" t="s">
        <v>553</v>
      </c>
      <c r="BB152" s="10">
        <v>462395</v>
      </c>
      <c r="BE152" s="250"/>
      <c r="BF152" s="239"/>
    </row>
    <row r="153" spans="51:58" ht="12.75">
      <c r="AY153" s="103" t="s">
        <v>191</v>
      </c>
      <c r="AZ153" s="103" t="s">
        <v>192</v>
      </c>
      <c r="BA153" s="103" t="s">
        <v>372</v>
      </c>
      <c r="BB153" s="10">
        <v>332176</v>
      </c>
      <c r="BF153" s="252"/>
    </row>
    <row r="154" spans="51:58" ht="12.75">
      <c r="AY154" s="103" t="s">
        <v>161</v>
      </c>
      <c r="AZ154" s="103" t="s">
        <v>463</v>
      </c>
      <c r="BA154" s="103" t="s">
        <v>372</v>
      </c>
      <c r="BB154" s="10">
        <v>246213</v>
      </c>
      <c r="BE154" s="237"/>
      <c r="BF154" s="238"/>
    </row>
    <row r="155" spans="51:58" ht="12.75">
      <c r="AY155" s="103" t="s">
        <v>235</v>
      </c>
      <c r="AZ155" s="103" t="s">
        <v>236</v>
      </c>
      <c r="BA155" s="103" t="s">
        <v>553</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631</v>
      </c>
      <c r="B3" s="56" t="s">
        <v>483</v>
      </c>
      <c r="C3" s="56" t="s">
        <v>24</v>
      </c>
    </row>
    <row r="4" spans="1:2" ht="12.75">
      <c r="A4" s="76">
        <v>1</v>
      </c>
      <c r="B4" s="78" t="s">
        <v>243</v>
      </c>
    </row>
    <row r="5" ht="12.75">
      <c r="A5" s="280" t="s">
        <v>631</v>
      </c>
    </row>
    <row r="6" ht="12.75">
      <c r="A6" s="280" t="s">
        <v>640</v>
      </c>
    </row>
    <row r="7" ht="12.75">
      <c r="A7" s="280" t="s">
        <v>584</v>
      </c>
    </row>
    <row r="8" ht="12.75">
      <c r="A8" s="280" t="s">
        <v>606</v>
      </c>
    </row>
    <row r="9" ht="12.75">
      <c r="A9" s="280" t="s">
        <v>605</v>
      </c>
    </row>
    <row r="10" ht="12.75">
      <c r="A10" s="280" t="s">
        <v>621</v>
      </c>
    </row>
    <row r="11" ht="12.75">
      <c r="A11" s="280" t="s">
        <v>634</v>
      </c>
    </row>
    <row r="12" ht="12.75">
      <c r="A12" s="280" t="s">
        <v>569</v>
      </c>
    </row>
    <row r="13" ht="12.75">
      <c r="A13" s="280" t="s">
        <v>583</v>
      </c>
    </row>
    <row r="14" ht="12.75">
      <c r="A14" s="280" t="s">
        <v>616</v>
      </c>
    </row>
    <row r="15" ht="12.75">
      <c r="A15" s="280" t="s">
        <v>604</v>
      </c>
    </row>
    <row r="16" ht="12.75">
      <c r="A16" s="280" t="s">
        <v>566</v>
      </c>
    </row>
    <row r="17" ht="12.75">
      <c r="A17" s="280" t="s">
        <v>562</v>
      </c>
    </row>
    <row r="18" ht="12.75">
      <c r="A18" s="280" t="s">
        <v>595</v>
      </c>
    </row>
    <row r="19" ht="12.75">
      <c r="A19" s="280" t="s">
        <v>607</v>
      </c>
    </row>
    <row r="20" ht="12.75">
      <c r="A20" s="280" t="s">
        <v>560</v>
      </c>
    </row>
    <row r="21" ht="12.75">
      <c r="A21" s="280" t="s">
        <v>643</v>
      </c>
    </row>
    <row r="22" ht="12.75">
      <c r="A22" s="280" t="s">
        <v>580</v>
      </c>
    </row>
    <row r="23" ht="12.75">
      <c r="A23" s="280" t="s">
        <v>657</v>
      </c>
    </row>
    <row r="24" ht="12.75">
      <c r="A24" s="280" t="s">
        <v>615</v>
      </c>
    </row>
    <row r="25" ht="12.75">
      <c r="A25" s="280" t="s">
        <v>603</v>
      </c>
    </row>
    <row r="26" ht="12.75">
      <c r="A26" s="280" t="s">
        <v>624</v>
      </c>
    </row>
    <row r="27" ht="12.75">
      <c r="A27" s="280" t="s">
        <v>602</v>
      </c>
    </row>
    <row r="28" ht="12.75">
      <c r="A28" s="280" t="s">
        <v>620</v>
      </c>
    </row>
    <row r="29" ht="12.75">
      <c r="A29" s="280" t="s">
        <v>614</v>
      </c>
    </row>
    <row r="30" ht="12.75">
      <c r="A30" s="280" t="s">
        <v>565</v>
      </c>
    </row>
    <row r="31" ht="12.75">
      <c r="A31" s="280" t="s">
        <v>559</v>
      </c>
    </row>
    <row r="32" ht="12.75">
      <c r="A32" s="280" t="s">
        <v>622</v>
      </c>
    </row>
    <row r="33" ht="12.75">
      <c r="A33" s="280" t="s">
        <v>637</v>
      </c>
    </row>
    <row r="34" ht="12.75">
      <c r="A34" s="280" t="s">
        <v>578</v>
      </c>
    </row>
    <row r="35" ht="12.75">
      <c r="A35" s="280" t="s">
        <v>619</v>
      </c>
    </row>
    <row r="36" ht="12.75">
      <c r="A36" s="280" t="s">
        <v>571</v>
      </c>
    </row>
    <row r="37" ht="12.75">
      <c r="A37" s="280" t="s">
        <v>623</v>
      </c>
    </row>
    <row r="38" ht="12.75">
      <c r="A38" s="280" t="s">
        <v>558</v>
      </c>
    </row>
    <row r="39" ht="12.75">
      <c r="A39" s="280" t="s">
        <v>630</v>
      </c>
    </row>
    <row r="40" ht="12.75">
      <c r="A40" s="280" t="s">
        <v>656</v>
      </c>
    </row>
    <row r="41" ht="12.75">
      <c r="A41" s="280" t="s">
        <v>612</v>
      </c>
    </row>
    <row r="42" ht="12.75">
      <c r="A42" s="280" t="s">
        <v>609</v>
      </c>
    </row>
    <row r="43" ht="12.75">
      <c r="A43" s="280" t="s">
        <v>573</v>
      </c>
    </row>
    <row r="44" ht="12.75">
      <c r="A44" s="280" t="s">
        <v>577</v>
      </c>
    </row>
    <row r="45" ht="12.75">
      <c r="A45" s="280" t="s">
        <v>574</v>
      </c>
    </row>
    <row r="46" ht="12.75">
      <c r="A46" s="280" t="s">
        <v>618</v>
      </c>
    </row>
    <row r="47" ht="12.75">
      <c r="A47" s="280" t="s">
        <v>598</v>
      </c>
    </row>
    <row r="48" ht="12.75">
      <c r="A48" s="280" t="s">
        <v>587</v>
      </c>
    </row>
    <row r="49" ht="12.75">
      <c r="A49" s="280" t="s">
        <v>579</v>
      </c>
    </row>
    <row r="50" ht="12.75">
      <c r="A50" s="280" t="s">
        <v>567</v>
      </c>
    </row>
    <row r="51" ht="12.75">
      <c r="A51" s="280" t="s">
        <v>610</v>
      </c>
    </row>
    <row r="52" ht="12.75">
      <c r="A52" s="280" t="s">
        <v>570</v>
      </c>
    </row>
    <row r="53" ht="12.75">
      <c r="A53" s="280" t="s">
        <v>589</v>
      </c>
    </row>
    <row r="54" ht="12.75">
      <c r="A54" s="280" t="s">
        <v>601</v>
      </c>
    </row>
    <row r="55" ht="12.75">
      <c r="A55" s="280" t="s">
        <v>613</v>
      </c>
    </row>
    <row r="56" ht="12.75">
      <c r="A56" s="280" t="s">
        <v>596</v>
      </c>
    </row>
    <row r="57" ht="12.75">
      <c r="A57" s="280" t="s">
        <v>568</v>
      </c>
    </row>
    <row r="58" ht="12.75">
      <c r="A58" s="280" t="s">
        <v>586</v>
      </c>
    </row>
    <row r="59" ht="12.75">
      <c r="A59" s="280" t="s">
        <v>642</v>
      </c>
    </row>
    <row r="60" ht="12.75">
      <c r="A60" s="280" t="s">
        <v>572</v>
      </c>
    </row>
    <row r="61" ht="12.75">
      <c r="A61" s="280" t="s">
        <v>582</v>
      </c>
    </row>
    <row r="62" ht="12.75">
      <c r="A62" s="280" t="s">
        <v>611</v>
      </c>
    </row>
    <row r="63" ht="12.75">
      <c r="A63" s="280" t="s">
        <v>638</v>
      </c>
    </row>
    <row r="64" ht="12.75">
      <c r="A64" s="280" t="s">
        <v>625</v>
      </c>
    </row>
    <row r="65" ht="12.75">
      <c r="A65" s="280" t="s">
        <v>581</v>
      </c>
    </row>
    <row r="66" ht="12.75">
      <c r="A66" s="280" t="s">
        <v>575</v>
      </c>
    </row>
    <row r="67" ht="12.75">
      <c r="A67" s="280" t="s">
        <v>635</v>
      </c>
    </row>
    <row r="68" ht="12.75">
      <c r="A68" s="280" t="s">
        <v>591</v>
      </c>
    </row>
    <row r="69" ht="12.75">
      <c r="A69" s="280" t="s">
        <v>561</v>
      </c>
    </row>
    <row r="70" ht="12.75">
      <c r="A70" s="280" t="s">
        <v>629</v>
      </c>
    </row>
    <row r="71" ht="12.75">
      <c r="A71" s="280" t="s">
        <v>628</v>
      </c>
    </row>
    <row r="72" ht="12.75">
      <c r="A72" s="280" t="s">
        <v>632</v>
      </c>
    </row>
    <row r="73" ht="12.75">
      <c r="A73" s="280" t="s">
        <v>600</v>
      </c>
    </row>
    <row r="74" ht="12.75">
      <c r="A74" s="280" t="s">
        <v>644</v>
      </c>
    </row>
    <row r="75" ht="12.75">
      <c r="A75" s="280" t="s">
        <v>563</v>
      </c>
    </row>
    <row r="76" ht="12.75">
      <c r="A76" s="280" t="s">
        <v>564</v>
      </c>
    </row>
    <row r="77" ht="12.75">
      <c r="A77" s="280" t="s">
        <v>576</v>
      </c>
    </row>
    <row r="78" ht="12.75">
      <c r="A78" s="280" t="s">
        <v>599</v>
      </c>
    </row>
    <row r="79" ht="12.75">
      <c r="A79" s="280" t="s">
        <v>597</v>
      </c>
    </row>
    <row r="80" ht="12.75">
      <c r="A80" s="280" t="s">
        <v>655</v>
      </c>
    </row>
    <row r="81" ht="12.75">
      <c r="A81" s="280" t="s">
        <v>626</v>
      </c>
    </row>
    <row r="82" ht="12.75">
      <c r="A82" s="280" t="s">
        <v>585</v>
      </c>
    </row>
    <row r="83" ht="12.75">
      <c r="A83" s="280" t="s">
        <v>593</v>
      </c>
    </row>
    <row r="84" ht="12.75">
      <c r="A84" s="280" t="s">
        <v>641</v>
      </c>
    </row>
    <row r="85" ht="12.75">
      <c r="A85" s="280" t="s">
        <v>592</v>
      </c>
    </row>
    <row r="86" ht="12.75">
      <c r="A86" s="280" t="s">
        <v>608</v>
      </c>
    </row>
    <row r="87" ht="12.75">
      <c r="A87" s="280" t="s">
        <v>588</v>
      </c>
    </row>
    <row r="88" ht="12.75">
      <c r="A88" s="280" t="s">
        <v>590</v>
      </c>
    </row>
    <row r="89" ht="12.75">
      <c r="A89" s="280" t="s">
        <v>633</v>
      </c>
    </row>
    <row r="90" ht="12.75">
      <c r="A90" s="280" t="s">
        <v>639</v>
      </c>
    </row>
    <row r="91" ht="12.75">
      <c r="A91" s="280" t="s">
        <v>627</v>
      </c>
    </row>
    <row r="92" ht="12.75">
      <c r="A92" s="280" t="s">
        <v>636</v>
      </c>
    </row>
    <row r="93" ht="12.75">
      <c r="A93" s="280" t="s">
        <v>594</v>
      </c>
    </row>
    <row r="94" ht="12.75">
      <c r="A94" s="280" t="s">
        <v>617</v>
      </c>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