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<sst xmlns="http://schemas.openxmlformats.org/spreadsheetml/2006/main" count="1509" uniqueCount="576">
  <si>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</si>
  <si>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</si>
  <si>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</si>
  <si>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</si>
  <si>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</si>
  <si>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</si>
  <si>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</si>
  <si>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</si>
  <si>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</si>
  <si>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</si>
  <si>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</si>
  <si>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</si>
  <si>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</si>
  <si>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</si>
  <si>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</si>
  <si>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</si>
  <si>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</si>
  <si>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</si>
  <si>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</si>
  <si>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</si>
  <si>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</si>
  <si>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</si>
  <si>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</si>
  <si>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</si>
  <si>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</si>
  <si>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</si>
  <si>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</si>
  <si>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</si>
  <si>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</si>
  <si>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</si>
  <si>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</si>
  <si>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</si>
  <si>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</si>
  <si>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</si>
  <si>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</si>
  <si>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</si>
  <si>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</si>
  <si>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</si>
  <si>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</si>
  <si>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</si>
  <si>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</si>
  <si>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</si>
  <si>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</si>
  <si>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</si>
  <si>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</si>
  <si>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</si>
  <si>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</si>
  <si>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</si>
  <si>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</si>
  <si>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</si>
  <si>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</si>
  <si>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</si>
  <si>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</si>
  <si>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</si>
  <si>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</si>
  <si>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</si>
  <si>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</si>
  <si>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</si>
  <si>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</si>
  <si>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</si>
  <si>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</si>
  <si>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</si>
  <si>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</si>
  <si>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</si>
  <si>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</si>
  <si>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</si>
  <si>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</si>
  <si>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</si>
  <si>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</si>
  <si>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</si>
  <si>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</si>
  <si>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</si>
  <si>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</si>
  <si>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</si>
  <si>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</si>
  <si>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</si>
  <si>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</si>
  <si>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</si>
  <si>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</si>
  <si>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</si>
  <si>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</si>
  <si>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</si>
  <si>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</si>
  <si>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</si>
  <si>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</si>
  <si>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</si>
  <si>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</si>
  <si>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</si>
  <si>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</si>
  <si>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</si>
  <si>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</si>
  <si>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</si>
  <si>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</si>
  <si>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</si>
  <si>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</si>
  <si>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</si>
  <si>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</si>
  <si>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</si>
  <si>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</si>
  <si>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</si>
  <si>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</si>
  <si>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</si>
  <si>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</si>
  <si>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</si>
  <si>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</si>
  <si>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</si>
  <si>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</si>
  <si>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</si>
  <si>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</si>
  <si>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</si>
  <si>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</si>
  <si>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</si>
  <si>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</si>
  <si>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</si>
  <si>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</si>
  <si>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</si>
  <si>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</si>
  <si>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</si>
  <si>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</si>
  <si>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</si>
  <si>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</si>
  <si>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</si>
  <si>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</si>
  <si>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</si>
  <si>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</si>
  <si>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</si>
  <si>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</si>
  <si>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</si>
  <si>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</si>
  <si>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</si>
  <si>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</si>
  <si>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</si>
  <si>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</si>
  <si>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</si>
  <si>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</si>
  <si>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</si>
  <si>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</si>
  <si>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</si>
  <si>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</si>
  <si>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</si>
  <si>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</si>
  <si>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</si>
  <si>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</si>
  <si>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</si>
  <si>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</si>
  <si>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</si>
  <si>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</si>
  <si>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</si>
  <si>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</si>
  <si>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</si>
  <si>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</si>
  <si>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</si>
  <si>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</si>
  <si>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</si>
  <si>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</si>
  <si>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</si>
  <si>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</si>
  <si>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</si>
  <si>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</si>
  <si>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</si>
  <si>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</si>
  <si>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</si>
  <si>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</si>
  <si>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</si>
  <si>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</si>
  <si>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</si>
  <si>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</si>
  <si>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</si>
  <si>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</si>
  <si>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</si>
  <si>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</si>
  <si>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</si>
  <si>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</si>
  <si>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</si>
  <si>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</si>
  <si>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</si>
  <si>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</si>
  <si>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</si>
  <si>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</si>
  <si>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</si>
  <si>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</si>
  <si>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</si>
  <si>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</si>
  <si>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</si>
  <si>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</si>
  <si>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</si>
  <si>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</si>
  <si>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</si>
  <si>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</si>
  <si>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</si>
  <si>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</si>
  <si>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</si>
  <si>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</si>
  <si>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</si>
  <si>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</si>
  <si>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</si>
  <si>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</si>
  <si>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</si>
  <si>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</si>
  <si>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</si>
  <si>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</si>
  <si>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</si>
  <si>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</si>
  <si>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</si>
  <si>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</si>
  <si>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</si>
  <si>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</si>
  <si>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</si>
  <si>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</si>
  <si>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</si>
  <si>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</si>
  <si>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</si>
  <si>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</si>
  <si>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</si>
  <si>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</si>
  <si>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</si>
  <si>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</si>
  <si>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</si>
  <si>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</si>
  <si>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</si>
  <si>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</si>
  <si>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</si>
  <si>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</si>
  <si>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</si>
  <si>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</si>
  <si>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</si>
  <si>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</si>
  <si>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</si>
  <si>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</si>
  <si>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</si>
  <si>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</si>
  <si>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</si>
  <si>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</si>
  <si>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</si>
  <si>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</si>
  <si>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</si>
  <si>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</si>
  <si>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</si>
  <si>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</si>
  <si>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</si>
  <si>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</si>
  <si>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</si>
  <si>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</si>
  <si>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</si>
  <si>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</si>
  <si>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</si>
  <si>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</si>
  <si>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</si>
  <si>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</si>
  <si>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</si>
  <si>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</si>
  <si>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</si>
  <si>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</si>
  <si>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</si>
  <si>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</si>
  <si>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</si>
  <si>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</si>
  <si>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</si>
  <si>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</si>
  <si>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</si>
  <si>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</si>
  <si>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</si>
  <si>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</si>
  <si>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</si>
  <si>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</si>
  <si>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</si>
  <si>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</si>
  <si>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</si>
  <si>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</si>
  <si>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</si>
  <si>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</si>
  <si>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</si>
  <si>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</si>
  <si>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</si>
  <si>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</si>
  <si>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</si>
  <si>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</si>
  <si>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</si>
  <si>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</si>
  <si>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</si>
  <si>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</si>
  <si>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</si>
  <si>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F81011</t>
  </si>
  <si>
    <t>F81014</t>
  </si>
  <si>
    <t>F81020</t>
  </si>
  <si>
    <t>F81022</t>
  </si>
  <si>
    <t>F81024</t>
  </si>
  <si>
    <t>F81030</t>
  </si>
  <si>
    <t>F81035</t>
  </si>
  <si>
    <t>F81040</t>
  </si>
  <si>
    <t>F81057</t>
  </si>
  <si>
    <t>F81068</t>
  </si>
  <si>
    <t>F81071</t>
  </si>
  <si>
    <t>F81074</t>
  </si>
  <si>
    <t>F81076</t>
  </si>
  <si>
    <t>F81083</t>
  </si>
  <si>
    <t>F81087</t>
  </si>
  <si>
    <t>F81098</t>
  </si>
  <si>
    <t>F81099</t>
  </si>
  <si>
    <t>F81100</t>
  </si>
  <si>
    <t>F81105</t>
  </si>
  <si>
    <t>F81114</t>
  </si>
  <si>
    <t>F81117</t>
  </si>
  <si>
    <t>F81119</t>
  </si>
  <si>
    <t>F81122</t>
  </si>
  <si>
    <t>F81126</t>
  </si>
  <si>
    <t>F81127</t>
  </si>
  <si>
    <t>F81130</t>
  </si>
  <si>
    <t>F81132</t>
  </si>
  <si>
    <t>F81138</t>
  </si>
  <si>
    <t>F81149</t>
  </si>
  <si>
    <t>F81162</t>
  </si>
  <si>
    <t>F81170</t>
  </si>
  <si>
    <t>F81173</t>
  </si>
  <si>
    <t>F81180</t>
  </si>
  <si>
    <t>F81183</t>
  </si>
  <si>
    <t>F81185</t>
  </si>
  <si>
    <t>F81193</t>
  </si>
  <si>
    <t>F81635</t>
  </si>
  <si>
    <t>F81665</t>
  </si>
  <si>
    <t>F81674</t>
  </si>
  <si>
    <t>F81677</t>
  </si>
  <si>
    <t>F81683</t>
  </si>
  <si>
    <t>F81693</t>
  </si>
  <si>
    <t>F81717</t>
  </si>
  <si>
    <t>F81721</t>
  </si>
  <si>
    <t>F81730</t>
  </si>
  <si>
    <t>F81738</t>
  </si>
  <si>
    <t>F81751</t>
  </si>
  <si>
    <t>5CC</t>
  </si>
  <si>
    <t>Y00293</t>
  </si>
  <si>
    <t>Y00589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</si>
  <si>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</si>
  <si>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</si>
  <si>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</si>
  <si>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</si>
  <si>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</si>
  <si>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</si>
  <si>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</si>
  <si>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</si>
  <si>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</si>
  <si>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</si>
  <si>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</si>
  <si>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</si>
  <si>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</si>
  <si>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</si>
  <si>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</si>
  <si>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</si>
  <si>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</si>
  <si>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</si>
  <si>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</si>
  <si>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</si>
  <si>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</si>
  <si>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</si>
  <si>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</si>
  <si>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</si>
  <si>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</si>
  <si>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</si>
  <si>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</si>
  <si>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</si>
  <si>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</si>
  <si>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</si>
  <si>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</si>
  <si>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</si>
  <si>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</si>
  <si>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</si>
  <si>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</si>
  <si>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</si>
  <si>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</si>
  <si>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</si>
  <si>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</si>
  <si>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</si>
  <si>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</si>
  <si>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</si>
  <si>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</si>
  <si>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</si>
  <si>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</si>
  <si>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</si>
  <si>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</si>
  <si>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</si>
  <si>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</si>
  <si>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</si>
  <si>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</si>
  <si>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</si>
  <si>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</si>
  <si>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</si>
  <si>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</si>
  <si>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</si>
  <si>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</si>
  <si>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</si>
  <si>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</si>
  <si>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</si>
  <si>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</si>
  <si>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</si>
  <si>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</si>
  <si>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</si>
  <si>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</si>
  <si>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</si>
  <si>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</si>
  <si>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</si>
  <si>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</si>
  <si>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</si>
  <si>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</si>
  <si>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</si>
  <si>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</si>
  <si>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</si>
  <si>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</si>
  <si>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</si>
  <si>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</si>
  <si>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</si>
  <si>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</si>
  <si>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</si>
  <si>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</si>
  <si>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</si>
  <si>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</si>
  <si>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</si>
  <si>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</si>
  <si>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</si>
  <si>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</si>
  <si>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</si>
  <si>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</si>
  <si>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</si>
  <si>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</si>
  <si>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</si>
  <si>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</si>
  <si>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</si>
  <si>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</si>
  <si>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</si>
  <si>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</si>
  <si>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</si>
  <si>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</si>
  <si>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</si>
  <si>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</si>
  <si>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</si>
  <si>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</si>
  <si>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</si>
  <si>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</si>
  <si>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</si>
  <si>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</si>
  <si>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</si>
  <si>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</si>
  <si>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</si>
  <si>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</si>
  <si>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</si>
  <si>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</si>
  <si>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</si>
  <si>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</si>
  <si>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</si>
  <si>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</si>
  <si>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</si>
  <si>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</si>
  <si>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</si>
  <si>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</si>
  <si>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</si>
  <si>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</si>
  <si>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</si>
  <si>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</si>
  <si>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</si>
  <si>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</si>
  <si>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</si>
  <si>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</si>
  <si>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</si>
  <si>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</si>
  <si>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</si>
  <si>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</si>
  <si>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</si>
  <si>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</si>
  <si>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</si>
  <si>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</si>
  <si>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</si>
  <si>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</si>
  <si>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</si>
  <si>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</si>
  <si>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</si>
  <si>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</si>
  <si>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</si>
  <si>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</si>
  <si>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</si>
  <si>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</si>
  <si>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</si>
  <si>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</si>
  <si>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</si>
  <si>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</si>
  <si>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</si>
  <si>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</si>
  <si>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</si>
  <si>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</si>
  <si>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</si>
  <si>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</si>
  <si>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</si>
  <si>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</si>
  <si>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</si>
  <si>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</si>
  <si>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</si>
  <si>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</si>
  <si>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</si>
  <si>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</si>
  <si>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</si>
  <si>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</si>
  <si>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</si>
  <si>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</si>
  <si>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</si>
  <si>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</si>
  <si>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</si>
  <si>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</si>
  <si>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</si>
  <si>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</si>
  <si>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</si>
  <si>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</si>
  <si>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</si>
  <si>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</si>
  <si>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</si>
  <si>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</si>
  <si>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</si>
  <si>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</si>
  <si>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(F81014) ST. LAWRENCE MEDICAL PRACTICE</t>
  </si>
  <si>
    <t>(F81020) THE FRESHFORD PRACTICE</t>
  </si>
  <si>
    <t>(F81022) LONGFIELD MEDICAL CENTRE</t>
  </si>
  <si>
    <t>(F81024) DICKENS PLACE</t>
  </si>
  <si>
    <t>(F81030) FERN HOUSE SURGERY</t>
  </si>
  <si>
    <t>(F81035) MOULSHAM LODGE SURGERY</t>
  </si>
  <si>
    <t>(F81040) STOCK SURGERY</t>
  </si>
  <si>
    <t>(F81057) WHITLEY HOUSE</t>
  </si>
  <si>
    <t>(F81068) THE ELIZABETH COURTAULD SURGERY</t>
  </si>
  <si>
    <t>(F81071) RIVERMEAD GATE MEDICAL CENTRE</t>
  </si>
  <si>
    <t>(F81074) MELBOURNE HOUSE SURGERY</t>
  </si>
  <si>
    <t>(F81076) THE TOLLESBURY PRACTICE</t>
  </si>
  <si>
    <t>(F81083) BEAUCHAMP HOUSE</t>
  </si>
  <si>
    <t>(F81087) MOUNT CHAMBERS</t>
  </si>
  <si>
    <t>(F81098) THE WRITTLE SURGERY</t>
  </si>
  <si>
    <t>(F81099) BLACKWATER MEDICAL CENTRE</t>
  </si>
  <si>
    <t>(F81100) DANBURY MEDICAL CENTRE</t>
  </si>
  <si>
    <t>(F81114) BADDOW VILLAGE SURGERY</t>
  </si>
  <si>
    <t>(F81117) SUTHERLAND LODGE SURGERY</t>
  </si>
  <si>
    <t>(F81119) THE PUMP HOUSE SURGERY</t>
  </si>
  <si>
    <t>(F81122) TENNYSON HOUSE SURGERY</t>
  </si>
  <si>
    <t>(F81126) BURNHAM SURGERY</t>
  </si>
  <si>
    <t>(F81127) HUMBER ROAD SURGERY</t>
  </si>
  <si>
    <t>(F81130) WILLIAM FISHER MEDICAL CENTRE</t>
  </si>
  <si>
    <t>(F81132) BLANDFORD MEDICAL CENTRE</t>
  </si>
  <si>
    <t>(F81138) HILTON HOUSE</t>
  </si>
  <si>
    <t>(F81149) THE LAURELS SURGERY</t>
  </si>
  <si>
    <t>(F81162) CASTLE HEDINGHAM SURGERY</t>
  </si>
  <si>
    <t>(F81170) KINGSWAY SURGERY</t>
  </si>
  <si>
    <t>(F81173) DOUGLAS GROVE SURGERY</t>
  </si>
  <si>
    <t>(F81180) MOUNTBATTEN HOUSE</t>
  </si>
  <si>
    <t>(F81183) TILLINGHAM MEDICAL CENTRE</t>
  </si>
  <si>
    <t>(F81185) THE PRACTICE SOUTH WOODHAM FERRERS</t>
  </si>
  <si>
    <t>(F81193) WITHAM HEALTH CENTRE</t>
  </si>
  <si>
    <t>(F81635) COLLINGWOOD ROAD SURGERY</t>
  </si>
  <si>
    <t>(F81665) CHELMER VILLAGE SURGERY</t>
  </si>
  <si>
    <t>(F81674) WYNCROFT SURGERY</t>
  </si>
  <si>
    <t>(F81677) CLEMENTS HOUSE SURGERY</t>
  </si>
  <si>
    <t>(F81683) BLYTH'S MEADOW SURGERY</t>
  </si>
  <si>
    <t>(F81693) GALLEYWOOD MEDICAL CENTRE</t>
  </si>
  <si>
    <t>(F81717) MAYLANDSEA MEDICAL CENTRE</t>
  </si>
  <si>
    <t>(F81721) BRICKFIELDS SURGERY</t>
  </si>
  <si>
    <t>(F81730) THE COGGESHALL SURGERY</t>
  </si>
  <si>
    <t>(F81738) BRIMPTON HOUSE</t>
  </si>
  <si>
    <t>(F81751) THE TRINITY MEDICAL PRACTICE</t>
  </si>
  <si>
    <t>(Y00293) THE CASTLE SURGERY</t>
  </si>
  <si>
    <t>(Y00589) GREENWOOD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</si>
  <si>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</si>
  <si>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</si>
  <si>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</si>
  <si>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</si>
  <si>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</si>
  <si>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</si>
  <si>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</si>
  <si>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</si>
  <si>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</si>
  <si>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</si>
  <si>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(F81011) KELVEDON + FEERING HEALTH CENTRE</t>
  </si>
  <si>
    <t>(F81105) LITTLE WALTHAM + GT NOTLEY SURGERY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</si>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</sst>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0.9462885154387521</c:v>
                </c:pt>
                <c:pt idx="5">
                  <c:v>1</c:v>
                </c:pt>
                <c:pt idx="6">
                  <c:v>1</c:v>
                </c:pt>
                <c:pt idx="7">
                  <c:v>0.883347472211392</c:v>
                </c:pt>
                <c:pt idx="8">
                  <c:v>0.6313472037514327</c:v>
                </c:pt>
                <c:pt idx="9">
                  <c:v>1</c:v>
                </c:pt>
                <c:pt idx="10">
                  <c:v>0.8338793216160416</c:v>
                </c:pt>
                <c:pt idx="11">
                  <c:v>0.7101545496264973</c:v>
                </c:pt>
                <c:pt idx="12">
                  <c:v>1</c:v>
                </c:pt>
                <c:pt idx="13">
                  <c:v>0</c:v>
                </c:pt>
                <c:pt idx="14">
                  <c:v>1</c:v>
                </c:pt>
                <c:pt idx="15">
                  <c:v>0.8407377676930288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0.5927674512797841</c:v>
                </c:pt>
                <c:pt idx="3">
                  <c:v>0.6666666252745539</c:v>
                </c:pt>
                <c:pt idx="4">
                  <c:v>0.6020820555652838</c:v>
                </c:pt>
                <c:pt idx="5">
                  <c:v>0.6322413167162488</c:v>
                </c:pt>
                <c:pt idx="6">
                  <c:v>0.6111111743490599</c:v>
                </c:pt>
                <c:pt idx="7">
                  <c:v>0.6124833439731961</c:v>
                </c:pt>
                <c:pt idx="8">
                  <c:v>0.5474657109317902</c:v>
                </c:pt>
                <c:pt idx="9">
                  <c:v>0.6200401576902199</c:v>
                </c:pt>
                <c:pt idx="10">
                  <c:v>0.5627754356968929</c:v>
                </c:pt>
                <c:pt idx="11">
                  <c:v>0.576610578242885</c:v>
                </c:pt>
                <c:pt idx="12">
                  <c:v>0.5489569876457104</c:v>
                </c:pt>
                <c:pt idx="13">
                  <c:v>0</c:v>
                </c:pt>
                <c:pt idx="14">
                  <c:v>0.6033533793456829</c:v>
                </c:pt>
                <c:pt idx="15">
                  <c:v>0.5817770554726002</c:v>
                </c:pt>
                <c:pt idx="16">
                  <c:v>0.6068662889295628</c:v>
                </c:pt>
                <c:pt idx="17">
                  <c:v>0.546926764355482</c:v>
                </c:pt>
                <c:pt idx="18">
                  <c:v>0.5635502722954571</c:v>
                </c:pt>
                <c:pt idx="19">
                  <c:v>0.5610420685241594</c:v>
                </c:pt>
                <c:pt idx="20">
                  <c:v>0.5903271419631019</c:v>
                </c:pt>
                <c:pt idx="21">
                  <c:v>0.5899570186328116</c:v>
                </c:pt>
                <c:pt idx="22">
                  <c:v>0.6016679798999544</c:v>
                </c:pt>
                <c:pt idx="23">
                  <c:v>0.6824523974615749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0.3195827720371887</c:v>
                </c:pt>
                <c:pt idx="3">
                  <c:v>0.33333331263727695</c:v>
                </c:pt>
                <c:pt idx="4">
                  <c:v>0.4001847685916494</c:v>
                </c:pt>
                <c:pt idx="5">
                  <c:v>0.3951877517263283</c:v>
                </c:pt>
                <c:pt idx="6">
                  <c:v>0.3888889291312199</c:v>
                </c:pt>
                <c:pt idx="7">
                  <c:v>0.3530667083692161</c:v>
                </c:pt>
                <c:pt idx="8">
                  <c:v>0.43026934198316974</c:v>
                </c:pt>
                <c:pt idx="9">
                  <c:v>0.37057275945261386</c:v>
                </c:pt>
                <c:pt idx="10">
                  <c:v>0.3569432067622577</c:v>
                </c:pt>
                <c:pt idx="11">
                  <c:v>0.37490958965981264</c:v>
                </c:pt>
                <c:pt idx="12">
                  <c:v>0.46771648108531927</c:v>
                </c:pt>
                <c:pt idx="13">
                  <c:v>0</c:v>
                </c:pt>
                <c:pt idx="14">
                  <c:v>0.4303100835077406</c:v>
                </c:pt>
                <c:pt idx="15">
                  <c:v>0.442500504443591</c:v>
                </c:pt>
                <c:pt idx="16">
                  <c:v>0.42776346788085196</c:v>
                </c:pt>
                <c:pt idx="17">
                  <c:v>0.431118474374738</c:v>
                </c:pt>
                <c:pt idx="18">
                  <c:v>0.4259963568086809</c:v>
                </c:pt>
                <c:pt idx="19">
                  <c:v>0.47238363803303496</c:v>
                </c:pt>
                <c:pt idx="20">
                  <c:v>0.38876247192343744</c:v>
                </c:pt>
                <c:pt idx="21">
                  <c:v>0.4134255905879373</c:v>
                </c:pt>
                <c:pt idx="22">
                  <c:v>0.39184953282357154</c:v>
                </c:pt>
                <c:pt idx="23">
                  <c:v>0.3876548007007787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0.05734488756561483</c:v>
                </c:pt>
                <c:pt idx="3">
                  <c:v>0.16666665631863847</c:v>
                </c:pt>
                <c:pt idx="4">
                  <c:v>0</c:v>
                </c:pt>
                <c:pt idx="5">
                  <c:v>0.06900397210208145</c:v>
                </c:pt>
                <c:pt idx="6">
                  <c:v>0.16666668391337996</c:v>
                </c:pt>
                <c:pt idx="7">
                  <c:v>0</c:v>
                </c:pt>
                <c:pt idx="8">
                  <c:v>0</c:v>
                </c:pt>
                <c:pt idx="9">
                  <c:v>0.04023380270604021</c:v>
                </c:pt>
                <c:pt idx="10">
                  <c:v>0</c:v>
                </c:pt>
                <c:pt idx="11">
                  <c:v>0</c:v>
                </c:pt>
                <c:pt idx="12">
                  <c:v>0.4249031073300955</c:v>
                </c:pt>
                <c:pt idx="13">
                  <c:v>0</c:v>
                </c:pt>
                <c:pt idx="14">
                  <c:v>0.22213345882287092</c:v>
                </c:pt>
                <c:pt idx="15">
                  <c:v>0</c:v>
                </c:pt>
                <c:pt idx="16">
                  <c:v>0.15383074470625602</c:v>
                </c:pt>
                <c:pt idx="17">
                  <c:v>0.3560940173209699</c:v>
                </c:pt>
                <c:pt idx="18">
                  <c:v>0.3791592882577853</c:v>
                </c:pt>
                <c:pt idx="19">
                  <c:v>0.4163429591564235</c:v>
                </c:pt>
                <c:pt idx="20">
                  <c:v>0.0845175082014997</c:v>
                </c:pt>
                <c:pt idx="21">
                  <c:v>0.2604357111811536</c:v>
                </c:pt>
                <c:pt idx="22">
                  <c:v>0.21785150456758953</c:v>
                </c:pt>
                <c:pt idx="23">
                  <c:v>0.21907500266972393</c:v>
                </c:pt>
                <c:pt idx="24">
                  <c:v>0</c:v>
                </c:pt>
                <c:pt idx="25">
                  <c:v>0</c:v>
                </c:pt>
                <c:pt idx="26">
                  <c:v>0</c:v>
                </c:pt>
              </c:numCache>
            </c:numRef>
          </c:val>
        </c:ser>
        <c:overlap val="100"/>
        <c:gapWidth val="100"/>
        <c:axId val="55191866"/>
        <c:axId val="2696474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0.43712733362890144</c:v>
                </c:pt>
                <c:pt idx="3">
                  <c:v>1.000910808006133</c:v>
                </c:pt>
                <c:pt idx="4">
                  <c:v>0.4893919763059373</c:v>
                </c:pt>
                <c:pt idx="5">
                  <c:v>0.5516372715667954</c:v>
                </c:pt>
                <c:pt idx="6">
                  <c:v>0.5522625900529505</c:v>
                </c:pt>
                <c:pt idx="7">
                  <c:v>0.18758306732306892</c:v>
                </c:pt>
                <c:pt idx="8">
                  <c:v>0.4970523555155613</c:v>
                </c:pt>
                <c:pt idx="9">
                  <c:v>0.3832624683165746</c:v>
                </c:pt>
                <c:pt idx="10">
                  <c:v>0.18832316656367576</c:v>
                </c:pt>
                <c:pt idx="11">
                  <c:v>0.33896008513938547</c:v>
                </c:pt>
                <c:pt idx="12">
                  <c:v>0.5751001539859365</c:v>
                </c:pt>
                <c:pt idx="13">
                  <c:v>0.5</c:v>
                </c:pt>
                <c:pt idx="14">
                  <c:v>0.4362978714658631</c:v>
                </c:pt>
                <c:pt idx="15">
                  <c:v>0.4429056604018746</c:v>
                </c:pt>
                <c:pt idx="16">
                  <c:v>0.6056102286976045</c:v>
                </c:pt>
                <c:pt idx="17">
                  <c:v>0.6068190161537452</c:v>
                </c:pt>
                <c:pt idx="18">
                  <c:v>0.6054469406998669</c:v>
                </c:pt>
                <c:pt idx="19">
                  <c:v>0.5356869859546143</c:v>
                </c:pt>
                <c:pt idx="20">
                  <c:v>0.6362605950207116</c:v>
                </c:pt>
                <c:pt idx="21">
                  <c:v>0.7466482643011655</c:v>
                </c:pt>
                <c:pt idx="22">
                  <c:v>0.8194173479947122</c:v>
                </c:pt>
                <c:pt idx="23">
                  <c:v>0.6194072201245739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0.4999999701976788</c:v>
                </c:pt>
                <c:pt idx="4">
                  <c:v>0.6020820536869094</c:v>
                </c:pt>
                <c:pt idx="5">
                  <c:v>0.4615567908523998</c:v>
                </c:pt>
                <c:pt idx="6">
                  <c:v>-999</c:v>
                </c:pt>
                <c:pt idx="7">
                  <c:v>-999</c:v>
                </c:pt>
                <c:pt idx="8">
                  <c:v>0.5247965058083535</c:v>
                </c:pt>
                <c:pt idx="9">
                  <c:v>0.3675455279347677</c:v>
                </c:pt>
                <c:pt idx="10">
                  <c:v>0.5575840743099506</c:v>
                </c:pt>
                <c:pt idx="11">
                  <c:v>0.5106364298118449</c:v>
                </c:pt>
                <c:pt idx="12">
                  <c:v>-999</c:v>
                </c:pt>
                <c:pt idx="13">
                  <c:v>0.4494893189191687</c:v>
                </c:pt>
                <c:pt idx="14">
                  <c:v>0.5362343905688605</c:v>
                </c:pt>
                <c:pt idx="15">
                  <c:v>0.6322864211493854</c:v>
                </c:pt>
                <c:pt idx="16">
                  <c:v>0.5595893545153816</c:v>
                </c:pt>
                <c:pt idx="17">
                  <c:v>0.5027890795814318</c:v>
                </c:pt>
                <c:pt idx="18">
                  <c:v>0.5426964319976029</c:v>
                </c:pt>
                <c:pt idx="19">
                  <c:v>-999</c:v>
                </c:pt>
                <c:pt idx="20">
                  <c:v>0.5208263137391221</c:v>
                </c:pt>
                <c:pt idx="21">
                  <c:v>-999</c:v>
                </c:pt>
                <c:pt idx="22">
                  <c:v>0.6207806118261633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0.6187197360278155</c:v>
                </c:pt>
                <c:pt idx="3">
                  <c:v>-999</c:v>
                </c:pt>
                <c:pt idx="4">
                  <c:v>-999</c:v>
                </c:pt>
                <c:pt idx="5">
                  <c:v>-999</c:v>
                </c:pt>
                <c:pt idx="6">
                  <c:v>0.22222225763547354</c:v>
                </c:pt>
                <c:pt idx="7">
                  <c:v>0.20526525500680518</c:v>
                </c:pt>
                <c:pt idx="8">
                  <c:v>-999</c:v>
                </c:pt>
                <c:pt idx="9">
                  <c:v>-999</c:v>
                </c:pt>
                <c:pt idx="10">
                  <c:v>-999</c:v>
                </c:pt>
                <c:pt idx="11">
                  <c:v>-999</c:v>
                </c:pt>
                <c:pt idx="12">
                  <c:v>0.5708563253855055</c:v>
                </c:pt>
                <c:pt idx="13">
                  <c:v>-999</c:v>
                </c:pt>
                <c:pt idx="14">
                  <c:v>-999</c:v>
                </c:pt>
                <c:pt idx="15">
                  <c:v>-999</c:v>
                </c:pt>
                <c:pt idx="16">
                  <c:v>-999</c:v>
                </c:pt>
                <c:pt idx="17">
                  <c:v>-999</c:v>
                </c:pt>
                <c:pt idx="18">
                  <c:v>-999</c:v>
                </c:pt>
                <c:pt idx="19">
                  <c:v>0.5969270137894487</c:v>
                </c:pt>
                <c:pt idx="20">
                  <c:v>-999</c:v>
                </c:pt>
                <c:pt idx="21">
                  <c:v>0.3178761759868976</c:v>
                </c:pt>
                <c:pt idx="22">
                  <c:v>-999</c:v>
                </c:pt>
                <c:pt idx="23">
                  <c:v>0.7345614282219727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356132"/>
        <c:axId val="36660869"/>
      </c:scatterChart>
      <c:catAx>
        <c:axId val="55191866"/>
        <c:scaling>
          <c:orientation val="maxMin"/>
        </c:scaling>
        <c:axPos val="l"/>
        <c:delete val="0"/>
        <c:numFmt formatCode="General" sourceLinked="1"/>
        <c:majorTickMark val="out"/>
        <c:minorTickMark val="none"/>
        <c:tickLblPos val="none"/>
        <c:spPr>
          <a:ln w="3175">
            <a:noFill/>
          </a:ln>
        </c:spPr>
        <c:crossAx val="26964747"/>
        <c:crosses val="autoZero"/>
        <c:auto val="1"/>
        <c:lblOffset val="100"/>
        <c:tickLblSkip val="1"/>
        <c:noMultiLvlLbl val="0"/>
      </c:catAx>
      <c:valAx>
        <c:axId val="26964747"/>
        <c:scaling>
          <c:orientation val="minMax"/>
          <c:max val="1"/>
          <c:min val="0"/>
        </c:scaling>
        <c:axPos val="t"/>
        <c:delete val="0"/>
        <c:numFmt formatCode="General" sourceLinked="1"/>
        <c:majorTickMark val="none"/>
        <c:minorTickMark val="none"/>
        <c:tickLblPos val="none"/>
        <c:spPr>
          <a:ln w="3175">
            <a:noFill/>
          </a:ln>
        </c:spPr>
        <c:crossAx val="55191866"/>
        <c:crossesAt val="1"/>
        <c:crossBetween val="between"/>
        <c:dispUnits/>
        <c:majorUnit val="1"/>
      </c:valAx>
      <c:valAx>
        <c:axId val="41356132"/>
        <c:scaling>
          <c:orientation val="minMax"/>
          <c:max val="1"/>
          <c:min val="0"/>
        </c:scaling>
        <c:axPos val="t"/>
        <c:delete val="0"/>
        <c:numFmt formatCode="General" sourceLinked="1"/>
        <c:majorTickMark val="none"/>
        <c:minorTickMark val="none"/>
        <c:tickLblPos val="none"/>
        <c:spPr>
          <a:ln w="3175">
            <a:noFill/>
          </a:ln>
        </c:spPr>
        <c:crossAx val="36660869"/>
        <c:crosses val="max"/>
        <c:crossBetween val="midCat"/>
        <c:dispUnits/>
        <c:majorUnit val="0.1"/>
        <c:minorUnit val="0.020000000000000004"/>
      </c:valAx>
      <c:valAx>
        <c:axId val="36660869"/>
        <c:scaling>
          <c:orientation val="maxMin"/>
          <c:max val="29"/>
          <c:min val="0"/>
        </c:scaling>
        <c:axPos val="l"/>
        <c:delete val="0"/>
        <c:numFmt formatCode="General" sourceLinked="1"/>
        <c:majorTickMark val="none"/>
        <c:minorTickMark val="none"/>
        <c:tickLblPos val="none"/>
        <c:spPr>
          <a:ln w="3175">
            <a:noFill/>
          </a:ln>
        </c:spPr>
        <c:crossAx val="4135613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(F81114) BADDOW VILLAGE SURGERY, MID ESSEX PCT (5PX)</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484</v>
      </c>
      <c r="Q3" s="65"/>
      <c r="R3" s="66"/>
      <c r="S3" s="66"/>
      <c r="T3" s="66"/>
      <c r="U3" s="66"/>
      <c r="V3" s="66"/>
      <c r="W3" s="66"/>
      <c r="X3" s="66"/>
      <c r="Y3" s="66"/>
      <c r="Z3" s="66"/>
      <c r="AA3" s="66"/>
      <c r="AB3" s="66"/>
      <c r="AC3" s="66"/>
    </row>
    <row r="4" spans="2:29" ht="18" customHeight="1">
      <c r="B4" s="319" t="s">
        <v>565</v>
      </c>
      <c r="C4" s="320"/>
      <c r="D4" s="320"/>
      <c r="E4" s="320"/>
      <c r="F4" s="320"/>
      <c r="G4" s="321"/>
      <c r="H4" s="112"/>
      <c r="I4" s="112"/>
      <c r="J4" s="112"/>
      <c r="K4" s="112"/>
      <c r="L4" s="113"/>
      <c r="M4" s="65"/>
      <c r="N4" s="65"/>
      <c r="O4" s="65"/>
      <c r="P4" s="134" t="s">
        <v>485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564</v>
      </c>
      <c r="C8" s="115"/>
      <c r="D8" s="115"/>
      <c r="E8" s="128">
        <f>VLOOKUP('Hide - Control'!A$3,'All practice data'!A:CA,4,FALSE)</f>
        <v>11577</v>
      </c>
      <c r="F8" s="310" t="str">
        <f>VLOOKUP('Hide - Control'!B4,'Hide - Calculation'!AY:BA,3,FALSE)</f>
        <v>Please note: Bowel screening indicators are based on less than 30 but over 12 months of data.</v>
      </c>
      <c r="G8" s="310"/>
      <c r="H8" s="310"/>
      <c r="I8" s="115"/>
      <c r="J8" s="115"/>
      <c r="K8" s="115"/>
      <c r="L8" s="115"/>
      <c r="M8" s="109"/>
      <c r="N8" s="314" t="s">
        <v>494</v>
      </c>
      <c r="O8" s="314"/>
      <c r="P8" s="314"/>
      <c r="Q8" s="314" t="s">
        <v>32</v>
      </c>
      <c r="R8" s="314"/>
      <c r="S8" s="314"/>
      <c r="T8" s="314" t="s">
        <v>568</v>
      </c>
      <c r="U8" s="314"/>
      <c r="V8" s="314" t="s">
        <v>33</v>
      </c>
      <c r="W8" s="314"/>
      <c r="X8" s="314"/>
      <c r="Y8" s="135"/>
      <c r="Z8" s="314" t="s">
        <v>487</v>
      </c>
      <c r="AA8" s="314"/>
      <c r="AB8" s="161"/>
      <c r="AC8" s="109"/>
    </row>
    <row r="9" spans="2:29" s="61" customFormat="1" ht="19.5" customHeight="1" thickBot="1">
      <c r="B9" s="114" t="s">
        <v>479</v>
      </c>
      <c r="C9" s="114"/>
      <c r="D9" s="114"/>
      <c r="E9" s="129">
        <f>VLOOKUP('Hide - Control'!B4,'Hide - Calculation'!AY:BB,4,FALSE)</f>
        <v>374861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457</v>
      </c>
      <c r="E11" s="317"/>
      <c r="F11" s="318"/>
      <c r="G11" s="263" t="s">
        <v>455</v>
      </c>
      <c r="H11" s="255" t="s">
        <v>456</v>
      </c>
      <c r="I11" s="255" t="s">
        <v>467</v>
      </c>
      <c r="J11" s="255" t="s">
        <v>468</v>
      </c>
      <c r="K11" s="255" t="s">
        <v>341</v>
      </c>
      <c r="L11" s="256" t="s">
        <v>381</v>
      </c>
      <c r="M11" s="257" t="s">
        <v>477</v>
      </c>
      <c r="N11" s="334" t="s">
        <v>475</v>
      </c>
      <c r="O11" s="334"/>
      <c r="P11" s="334"/>
      <c r="Q11" s="334"/>
      <c r="R11" s="334"/>
      <c r="S11" s="334"/>
      <c r="T11" s="334"/>
      <c r="U11" s="334"/>
      <c r="V11" s="334"/>
      <c r="W11" s="334"/>
      <c r="X11" s="334"/>
      <c r="Y11" s="334"/>
      <c r="Z11" s="334"/>
      <c r="AA11" s="258" t="s">
        <v>478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339</v>
      </c>
      <c r="C13" s="163">
        <v>1</v>
      </c>
      <c r="D13" s="312" t="s">
        <v>335</v>
      </c>
      <c r="E13" s="313"/>
      <c r="F13" s="313"/>
      <c r="G13" s="166">
        <f>IF(VLOOKUP('Hide - Control'!A$3,'All practice data'!A:CA,C13+4,FALSE)=" "," ",VLOOKUP('Hide - Control'!A$3,'All practice data'!A:CA,C13+4,FALSE))</f>
        <v>2285</v>
      </c>
      <c r="H13" s="190">
        <f>IF(VLOOKUP('Hide - Control'!A$3,'All practice data'!A:CA,C13+30,FALSE)=" "," ",VLOOKUP('Hide - Control'!A$3,'All practice data'!A:CA,C13+30,FALSE))</f>
        <v>0.19737410382655265</v>
      </c>
      <c r="I13" s="191">
        <f>IF(LEFT(G13,1)=" "," n/a",+((2*G13+1.96^2-1.96*SQRT(1.96^2+4*G13*(1-G13/E$8)))/(2*(E$8+1.96^2))))</f>
        <v>0.1902246360089546</v>
      </c>
      <c r="J13" s="191">
        <f>IF(LEFT(G13,1)=" "," n/a",+((2*G13+1.96^2+1.96*SQRT(1.96^2+4*G13*(1-G13/E$8)))/(2*(E$8+1.96^2))))</f>
        <v>0.20472434593722796</v>
      </c>
      <c r="K13" s="190">
        <f>IF('Hide - Calculation'!N7="","",'Hide - Calculation'!N7)</f>
        <v>0.1689212801545106</v>
      </c>
      <c r="L13" s="192">
        <f>'Hide - Calculation'!O7</f>
        <v>0.1599882305185145</v>
      </c>
      <c r="M13" s="208">
        <f>IF(ISBLANK('Hide - Calculation'!K7),"",'Hide - Calculation'!U7)</f>
        <v>0.08179939538240433</v>
      </c>
      <c r="N13" s="173"/>
      <c r="O13" s="173"/>
      <c r="P13" s="173"/>
      <c r="Q13" s="173"/>
      <c r="R13" s="173"/>
      <c r="S13" s="173"/>
      <c r="T13" s="173"/>
      <c r="U13" s="173"/>
      <c r="V13" s="173"/>
      <c r="W13" s="173"/>
      <c r="X13" s="173"/>
      <c r="Y13" s="173"/>
      <c r="Z13" s="173"/>
      <c r="AA13" s="226">
        <f>IF(ISBLANK('Hide - Calculation'!K7),"",'Hide - Calculation'!T7)</f>
        <v>0.27587130665779114</v>
      </c>
      <c r="AB13" s="233" t="s">
        <v>562</v>
      </c>
      <c r="AC13" s="209" t="s">
        <v>563</v>
      </c>
    </row>
    <row r="14" spans="2:29" ht="33.75" customHeight="1">
      <c r="B14" s="306"/>
      <c r="C14" s="137">
        <v>2</v>
      </c>
      <c r="D14" s="132" t="s">
        <v>488</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0.0849219485203673</v>
      </c>
      <c r="J14" s="120">
        <f>IF(LEFT(G14,1)=" "," n/a",+((2*H14*E8+1.96^2+1.96*SQRT(1.96^2+4*H14*E8*(1-H14*E8/E$8)))/(2*(E$8+1.96^2))))</f>
        <v>0.09535006210794493</v>
      </c>
      <c r="K14" s="119">
        <f>IF('Hide - Calculation'!N8="","",'Hide - Calculation'!N8)</f>
        <v>0.09477646380925198</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0.15000000596046448</v>
      </c>
      <c r="AB14" s="234" t="s">
        <v>39</v>
      </c>
      <c r="AC14" s="130" t="s">
        <v>563</v>
      </c>
    </row>
    <row r="15" spans="2:39" s="63" customFormat="1" ht="33.75" customHeight="1">
      <c r="B15" s="306"/>
      <c r="C15" s="137">
        <v>3</v>
      </c>
      <c r="D15" s="132" t="s">
        <v>344</v>
      </c>
      <c r="E15" s="85"/>
      <c r="F15" s="85"/>
      <c r="G15" s="121">
        <f>IF(VLOOKUP('Hide - Control'!A$3,'All practice data'!A:CA,C15+4,FALSE)=" "," ",VLOOKUP('Hide - Control'!A$3,'All practice data'!A:CA,C15+4,FALSE))</f>
        <v>61</v>
      </c>
      <c r="H15" s="122">
        <f>IF(VLOOKUP('Hide - Control'!A$3,'All practice data'!A:CA,C15+30,FALSE)=" "," ",VLOOKUP('Hide - Control'!A$3,'All practice data'!A:CA,C15+30,FALSE))</f>
        <v>526.9067979614754</v>
      </c>
      <c r="I15" s="123">
        <f>IF(LEFT(G15,1)=" "," n/a",IF(G15&lt;5,100000*VLOOKUP(G15,'Hide - Calculation'!AQ:AR,2,FALSE)/$E$8,100000*(G15*(1-1/(9*G15)-1.96/(3*SQRT(G15)))^3)/$E$8))</f>
        <v>403.0180139031136</v>
      </c>
      <c r="J15" s="123">
        <f>IF(LEFT(G15,1)=" "," n/a",IF(G15&lt;5,100000*VLOOKUP(G15,'Hide - Calculation'!AQ:AS,3,FALSE)/$E$8,100000*((G15+1)*(1-1/(9*(G15+1))+1.96/(3*SQRT(G15+1)))^3)/$E$8))</f>
        <v>676.8481323490234</v>
      </c>
      <c r="K15" s="122">
        <f>IF('Hide - Calculation'!N9="","",'Hide - Calculation'!N9)</f>
        <v>462.03792872558097</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775.1937866210938</v>
      </c>
      <c r="AB15" s="234" t="s">
        <v>458</v>
      </c>
      <c r="AC15" s="131">
        <v>2009</v>
      </c>
      <c r="AD15" s="64"/>
      <c r="AE15" s="64"/>
      <c r="AF15" s="64"/>
      <c r="AG15" s="64"/>
      <c r="AH15" s="64"/>
      <c r="AI15" s="64"/>
      <c r="AJ15" s="64"/>
      <c r="AK15" s="64"/>
      <c r="AL15" s="64"/>
      <c r="AM15" s="64"/>
    </row>
    <row r="16" spans="2:29" s="63" customFormat="1" ht="33.75" customHeight="1">
      <c r="B16" s="306"/>
      <c r="C16" s="137">
        <v>4</v>
      </c>
      <c r="D16" s="132" t="s">
        <v>480</v>
      </c>
      <c r="E16" s="85"/>
      <c r="F16" s="85"/>
      <c r="G16" s="121">
        <f>IF(VLOOKUP('Hide - Control'!A$3,'All practice data'!A:CA,C16+4,FALSE)=" "," ",VLOOKUP('Hide - Control'!A$3,'All practice data'!A:CA,C16+4,FALSE))</f>
        <v>23</v>
      </c>
      <c r="H16" s="122">
        <f>IF(VLOOKUP('Hide - Control'!A$3,'All practice data'!A:CA,C16+30,FALSE)=" "," ",VLOOKUP('Hide - Control'!A$3,'All practice data'!A:CA,C16+30,FALSE))</f>
        <v>198.66977628055628</v>
      </c>
      <c r="I16" s="123">
        <f>IF(LEFT(G16,1)=" "," n/a",IF(G16&lt;5,100000*VLOOKUP(G16,'Hide - Calculation'!AQ:AR,2,FALSE)/$E$8,100000*(G16*(1-1/(9*G16)-1.96/(3*SQRT(G16)))^3)/$E$8))</f>
        <v>125.8982745644821</v>
      </c>
      <c r="J16" s="123">
        <f>IF(LEFT(G16,1)=" "," n/a",IF(G16&lt;5,100000*VLOOKUP(G16,'Hide - Calculation'!AQ:AS,3,FALSE)/$E$8,100000*((G16+1)*(1-1/(9*(G16+1))+1.96/(3*SQRT(G16+1)))^3)/$E$8))</f>
        <v>298.1172589779442</v>
      </c>
      <c r="K16" s="122">
        <f>IF('Hide - Calculation'!N10="","",'Hide - Calculation'!N10)</f>
        <v>226.75071559858188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410.5839538574219</v>
      </c>
      <c r="AB16" s="234" t="s">
        <v>338</v>
      </c>
      <c r="AC16" s="131" t="s">
        <v>512</v>
      </c>
    </row>
    <row r="17" spans="2:29" s="63" customFormat="1" ht="33.75" customHeight="1" thickBot="1">
      <c r="B17" s="309"/>
      <c r="C17" s="180">
        <v>5</v>
      </c>
      <c r="D17" s="195" t="s">
        <v>343</v>
      </c>
      <c r="E17" s="182"/>
      <c r="F17" s="182"/>
      <c r="G17" s="140">
        <f>IF(VLOOKUP('Hide - Control'!A$3,'All practice data'!A:CA,C17+4,FALSE)=" "," ",VLOOKUP('Hide - Control'!A$3,'All practice data'!A:CA,C17+4,FALSE))</f>
        <v>114</v>
      </c>
      <c r="H17" s="141">
        <f>IF(VLOOKUP('Hide - Control'!A$3,'All practice data'!A:CA,C17+30,FALSE)=" "," ",VLOOKUP('Hide - Control'!A$3,'All practice data'!A:CA,C17+30,FALSE))</f>
        <v>0.01</v>
      </c>
      <c r="I17" s="142">
        <f>IF(LEFT(G17,1)=" "," n/a",+((2*G17+1.96^2-1.96*SQRT(1.96^2+4*G17*(1-G17/E$8)))/(2*(E$8+1.96^2))))</f>
        <v>0.008203947528273409</v>
      </c>
      <c r="J17" s="142">
        <f>IF(LEFT(G17,1)=" "," n/a",+((2*G17+1.96^2+1.96*SQRT(1.96^2+4*G17*(1-G17/E$8)))/(2*(E$8+1.96^2))))</f>
        <v>0.011815461078437868</v>
      </c>
      <c r="K17" s="141">
        <f>IF('Hide - Calculation'!N11="","",'Hide - Calculation'!N11)</f>
        <v>0.015160286079373421</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0.024000000208616257</v>
      </c>
      <c r="AB17" s="235" t="s">
        <v>481</v>
      </c>
      <c r="AC17" s="189" t="s">
        <v>512</v>
      </c>
    </row>
    <row r="18" spans="2:29" s="63" customFormat="1" ht="33.75" customHeight="1">
      <c r="B18" s="308" t="s">
        <v>13</v>
      </c>
      <c r="C18" s="163">
        <v>6</v>
      </c>
      <c r="D18" s="164" t="s">
        <v>489</v>
      </c>
      <c r="E18" s="165"/>
      <c r="F18" s="165"/>
      <c r="G18" s="219">
        <f>IF(OR(VLOOKUP('Hide - Control'!A$3,'All practice data'!A:CA,C18+4,FALSE)=" ",VLOOKUP('Hide - Control'!A$3,'All practice data'!A:CA,C18+52,FALSE)=0)," n/a",VLOOKUP('Hide - Control'!A$3,'All practice data'!A:CA,C18+4,FALSE))</f>
        <v>1099</v>
      </c>
      <c r="H18" s="220">
        <f>IF(OR(VLOOKUP('Hide - Control'!A$3,'All practice data'!A:CA,C18+30,FALSE)=" ",VLOOKUP('Hide - Control'!A$3,'All practice data'!A:CA,C18+52,FALSE)=0)," n/a",VLOOKUP('Hide - Control'!A$3,'All practice data'!A:CA,C18+30,FALSE))</f>
        <v>0.727815</v>
      </c>
      <c r="I18" s="191">
        <f>IF(OR(LEFT(H18,1)=" ",VLOOKUP('Hide - Control'!A$3,'All practice data'!A:CA,C18+52,FALSE)=0)," n/a",+((2*G18+1.96^2-1.96*SQRT(1.96^2+4*G18*(1-G18/(VLOOKUP('Hide - Control'!A$3,'All practice data'!A:CA,C18+52,FALSE)))))/(2*(((VLOOKUP('Hide - Control'!A$3,'All practice data'!A:CA,C18+52,FALSE)))+1.96^2))))</f>
        <v>0.7048078138034238</v>
      </c>
      <c r="J18" s="191">
        <f>IF(OR(LEFT(H18,1)=" ",VLOOKUP('Hide - Control'!A$3,'All practice data'!A:CA,C18+52,FALSE)=0)," n/a",+((2*G18+1.96^2+1.96*SQRT(1.96^2+4*G18*(1-G18/(VLOOKUP('Hide - Control'!A$3,'All practice data'!A:CA,C18+52,FALSE)))))/(2*((VLOOKUP('Hide - Control'!A$3,'All practice data'!A:CA,C18+52,FALSE))+1.96^2))))</f>
        <v>0.7496650980256607</v>
      </c>
      <c r="K18" s="220">
        <f>IF('Hide - Calculation'!N12="","",'Hide - Calculation'!N12)</f>
        <v>0.7809071111483373</v>
      </c>
      <c r="L18" s="192">
        <f>'Hide - Calculation'!O12</f>
        <v>0.7248631360507991</v>
      </c>
      <c r="M18" s="193">
        <f>IF(ISBLANK('Hide - Calculation'!K12),"",'Hide - Calculation'!U12)</f>
        <v>0.6935480237007141</v>
      </c>
      <c r="N18" s="194"/>
      <c r="O18" s="173"/>
      <c r="P18" s="173"/>
      <c r="Q18" s="173"/>
      <c r="R18" s="173"/>
      <c r="S18" s="173"/>
      <c r="T18" s="173"/>
      <c r="U18" s="173"/>
      <c r="V18" s="173"/>
      <c r="W18" s="173"/>
      <c r="X18" s="173"/>
      <c r="Y18" s="173"/>
      <c r="Z18" s="174"/>
      <c r="AA18" s="193">
        <f>IF(ISBLANK('Hide - Calculation'!K12),"",'Hide - Calculation'!T12)</f>
        <v>0.84101402759552</v>
      </c>
      <c r="AB18" s="233" t="s">
        <v>48</v>
      </c>
      <c r="AC18" s="175" t="s">
        <v>513</v>
      </c>
    </row>
    <row r="19" spans="2:29" s="63" customFormat="1" ht="33.75" customHeight="1">
      <c r="B19" s="306"/>
      <c r="C19" s="137">
        <v>7</v>
      </c>
      <c r="D19" s="132" t="s">
        <v>490</v>
      </c>
      <c r="E19" s="85"/>
      <c r="F19" s="85"/>
      <c r="G19" s="221">
        <f>IF(OR(VLOOKUP('Hide - Control'!A$3,'All practice data'!A:CA,C19+4,FALSE)=" ",VLOOKUP('Hide - Control'!A$3,'All practice data'!A:CA,C19+52,FALSE)=0)," n/a",VLOOKUP('Hide - Control'!A$3,'All practice data'!A:CA,C19+4,FALSE))</f>
        <v>182</v>
      </c>
      <c r="H19" s="218">
        <f>IF(OR(VLOOKUP('Hide - Control'!A$3,'All practice data'!A:CA,C19+30,FALSE)=" ",VLOOKUP('Hide - Control'!A$3,'All practice data'!A:CA,C19+52,FALSE)=0)," n/a",VLOOKUP('Hide - Control'!A$3,'All practice data'!A:CA,C19+30,FALSE))</f>
        <v>0.774468</v>
      </c>
      <c r="I19" s="120">
        <f>IF(OR(LEFT(H19,1)=" ",VLOOKUP('Hide - Control'!A$3,'All practice data'!A:CA,C19+52,FALSE)=0)," n/a",+((2*G19+1.96^2-1.96*SQRT(1.96^2+4*G19*(1-G19/(VLOOKUP('Hide - Control'!A$3,'All practice data'!A:CA,C19+52,FALSE)))))/(2*(((VLOOKUP('Hide - Control'!A$3,'All practice data'!A:CA,C19+52,FALSE)))+1.96^2))))</f>
        <v>0.7168661498938851</v>
      </c>
      <c r="J19" s="120">
        <f>IF(OR(LEFT(H19,1)=" ",VLOOKUP('Hide - Control'!A$3,'All practice data'!A:CA,C19+52,FALSE)=0)," n/a",+((2*G19+1.96^2+1.96*SQRT(1.96^2+4*G19*(1-G19/(VLOOKUP('Hide - Control'!A$3,'All practice data'!A:CA,C19+52,FALSE)))))/(2*((VLOOKUP('Hide - Control'!A$3,'All practice data'!A:CA,C19+52,FALSE))+1.96^2))))</f>
        <v>0.8232407661542404</v>
      </c>
      <c r="K19" s="218">
        <f>IF('Hide - Calculation'!N13="","",'Hide - Calculation'!N13)</f>
        <v>0.7761225493640643</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0.880952000617981</v>
      </c>
      <c r="AB19" s="234" t="s">
        <v>48</v>
      </c>
      <c r="AC19" s="131" t="s">
        <v>512</v>
      </c>
    </row>
    <row r="20" spans="2:29" s="63" customFormat="1" ht="33.75" customHeight="1">
      <c r="B20" s="306"/>
      <c r="C20" s="137">
        <v>8</v>
      </c>
      <c r="D20" s="132" t="s">
        <v>491</v>
      </c>
      <c r="E20" s="85"/>
      <c r="F20" s="85"/>
      <c r="G20" s="221">
        <f>IF(OR(VLOOKUP('Hide - Control'!A$3,'All practice data'!A:CA,C20+4,FALSE)=" ",VLOOKUP('Hide - Control'!A$3,'All practice data'!A:CA,C20+52,FALSE)=0)," n/a",VLOOKUP('Hide - Control'!A$3,'All practice data'!A:CA,C20+4,FALSE))</f>
        <v>2078</v>
      </c>
      <c r="H20" s="218">
        <f>IF(OR(VLOOKUP('Hide - Control'!A$3,'All practice data'!A:CA,C20+30,FALSE)=" ",VLOOKUP('Hide - Control'!A$3,'All practice data'!A:CA,C20+52,FALSE)=0)," n/a",VLOOKUP('Hide - Control'!A$3,'All practice data'!A:CA,C20+30,FALSE))</f>
        <v>0.753445</v>
      </c>
      <c r="I20" s="120">
        <f>IF(OR(LEFT(H20,1)=" ",VLOOKUP('Hide - Control'!A$3,'All practice data'!A:CA,C20+52,FALSE)=0)," n/a",+((2*G20+1.96^2-1.96*SQRT(1.96^2+4*G20*(1-G20/(VLOOKUP('Hide - Control'!A$3,'All practice data'!A:CA,C20+52,FALSE)))))/(2*(((VLOOKUP('Hide - Control'!A$3,'All practice data'!A:CA,C20+52,FALSE)))+1.96^2))))</f>
        <v>0.737013548932552</v>
      </c>
      <c r="J20" s="120">
        <f>IF(OR(LEFT(H20,1)=" ",VLOOKUP('Hide - Control'!A$3,'All practice data'!A:CA,C20+52,FALSE)=0)," n/a",+((2*G20+1.96^2+1.96*SQRT(1.96^2+4*G20*(1-G20/(VLOOKUP('Hide - Control'!A$3,'All practice data'!A:CA,C20+52,FALSE)))))/(2*((VLOOKUP('Hide - Control'!A$3,'All practice data'!A:CA,C20+52,FALSE))+1.96^2))))</f>
        <v>0.7691704407647569</v>
      </c>
      <c r="K20" s="218">
        <f>IF('Hide - Calculation'!N14="","",'Hide - Calculation'!N14)</f>
        <v>0.7671710404479449</v>
      </c>
      <c r="L20" s="155">
        <f>'Hide - Calculation'!O14</f>
        <v>0.7559681673907895</v>
      </c>
      <c r="M20" s="152">
        <f>IF(ISBLANK('Hide - Calculation'!K14),"",'Hide - Calculation'!U14)</f>
        <v>0.7008990049362183</v>
      </c>
      <c r="N20" s="160"/>
      <c r="O20" s="84"/>
      <c r="P20" s="84"/>
      <c r="Q20" s="84"/>
      <c r="R20" s="84"/>
      <c r="S20" s="84"/>
      <c r="T20" s="84"/>
      <c r="U20" s="84"/>
      <c r="V20" s="84"/>
      <c r="W20" s="84"/>
      <c r="X20" s="84"/>
      <c r="Y20" s="84"/>
      <c r="Z20" s="88"/>
      <c r="AA20" s="152">
        <f>IF(ISBLANK('Hide - Calculation'!K14),"",'Hide - Calculation'!T14)</f>
        <v>0.8549780249595642</v>
      </c>
      <c r="AB20" s="234" t="s">
        <v>48</v>
      </c>
      <c r="AC20" s="131" t="s">
        <v>514</v>
      </c>
    </row>
    <row r="21" spans="2:29" s="63" customFormat="1" ht="33.75" customHeight="1">
      <c r="B21" s="306"/>
      <c r="C21" s="137">
        <v>9</v>
      </c>
      <c r="D21" s="132" t="s">
        <v>492</v>
      </c>
      <c r="E21" s="85"/>
      <c r="F21" s="85"/>
      <c r="G21" s="221">
        <f>IF(OR(VLOOKUP('Hide - Control'!A$3,'All practice data'!A:CA,C21+4,FALSE)=" ",VLOOKUP('Hide - Control'!A$3,'All practice data'!A:CA,C21+52,FALSE)=0)," n/a",VLOOKUP('Hide - Control'!A$3,'All practice data'!A:CA,C21+4,FALSE))</f>
        <v>891</v>
      </c>
      <c r="H21" s="218">
        <f>IF(OR(VLOOKUP('Hide - Control'!A$3,'All practice data'!A:CA,C21+30,FALSE)=" ",VLOOKUP('Hide - Control'!A$3,'All practice data'!A:CA,C21+52,FALSE)=0)," n/a",VLOOKUP('Hide - Control'!A$3,'All practice data'!A:CA,C21+30,FALSE))</f>
        <v>0.602434</v>
      </c>
      <c r="I21" s="120">
        <f>IF(OR(LEFT(H21,1)=" ",VLOOKUP('Hide - Control'!A$3,'All practice data'!A:CA,C21+52,FALSE)=0)," n/a",+((2*G21+1.96^2-1.96*SQRT(1.96^2+4*G21*(1-G21/(VLOOKUP('Hide - Control'!A$3,'All practice data'!A:CA,C21+52,FALSE)))))/(2*(((VLOOKUP('Hide - Control'!A$3,'All practice data'!A:CA,C21+52,FALSE)))+1.96^2))))</f>
        <v>0.5772576140953277</v>
      </c>
      <c r="J21" s="120">
        <f>IF(OR(LEFT(H21,1)=" ",VLOOKUP('Hide - Control'!A$3,'All practice data'!A:CA,C21+52,FALSE)=0)," n/a",+((2*G21+1.96^2+1.96*SQRT(1.96^2+4*G21*(1-G21/(VLOOKUP('Hide - Control'!A$3,'All practice data'!A:CA,C21+52,FALSE)))))/(2*((VLOOKUP('Hide - Control'!A$3,'All practice data'!A:CA,C21+52,FALSE))+1.96^2))))</f>
        <v>0.6270797878227193</v>
      </c>
      <c r="K21" s="218">
        <f>IF('Hide - Calculation'!N15="","",'Hide - Calculation'!N15)</f>
        <v>0.5877992140050018</v>
      </c>
      <c r="L21" s="155">
        <f>'Hide - Calculation'!O15</f>
        <v>0.5147293797466616</v>
      </c>
      <c r="M21" s="152">
        <f>IF(ISBLANK('Hide - Calculation'!K15),"",'Hide - Calculation'!U15)</f>
        <v>0.4699999988079071</v>
      </c>
      <c r="N21" s="160"/>
      <c r="O21" s="84"/>
      <c r="P21" s="84"/>
      <c r="Q21" s="84"/>
      <c r="R21" s="84"/>
      <c r="S21" s="84"/>
      <c r="T21" s="84"/>
      <c r="U21" s="84"/>
      <c r="V21" s="84"/>
      <c r="W21" s="84"/>
      <c r="X21" s="84"/>
      <c r="Y21" s="84"/>
      <c r="Z21" s="88"/>
      <c r="AA21" s="152">
        <f>IF(ISBLANK('Hide - Calculation'!K15),"",'Hide - Calculation'!T15)</f>
        <v>0.6680579781532288</v>
      </c>
      <c r="AB21" s="234" t="s">
        <v>48</v>
      </c>
      <c r="AC21" s="131" t="s">
        <v>513</v>
      </c>
    </row>
    <row r="22" spans="2:29" s="63" customFormat="1" ht="33.75" customHeight="1" thickBot="1">
      <c r="B22" s="309"/>
      <c r="C22" s="180">
        <v>10</v>
      </c>
      <c r="D22" s="195" t="s">
        <v>493</v>
      </c>
      <c r="E22" s="182"/>
      <c r="F22" s="182"/>
      <c r="G22" s="222">
        <f>IF(OR(VLOOKUP('Hide - Control'!A$3,'All practice data'!A:CA,C22+4,FALSE)=" ",VLOOKUP('Hide - Control'!A$3,'All practice data'!A:CA,C22+52,FALSE)=0)," n/a",VLOOKUP('Hide - Control'!A$3,'All practice data'!A:CA,C22+4,FALSE))</f>
        <v>491</v>
      </c>
      <c r="H22" s="223">
        <f>IF(OR(VLOOKUP('Hide - Control'!A$3,'All practice data'!A:CA,C22+30,FALSE)=" ",VLOOKUP('Hide - Control'!A$3,'All practice data'!A:CA,C22+52,FALSE)=0)," n/a",VLOOKUP('Hide - Control'!A$3,'All practice data'!A:CA,C22+30,FALSE))</f>
        <v>0.624682</v>
      </c>
      <c r="I22" s="196">
        <f>IF(OR(LEFT(H22,1)=" ",VLOOKUP('Hide - Control'!A$3,'All practice data'!A:CA,C22+52,FALSE)=0)," n/a",+((2*G22+1.96^2-1.96*SQRT(1.96^2+4*G22*(1-G22/(VLOOKUP('Hide - Control'!A$3,'All practice data'!A:CA,C22+52,FALSE)))))/(2*(((VLOOKUP('Hide - Control'!A$3,'All practice data'!A:CA,C22+52,FALSE)))+1.96^2))))</f>
        <v>0.5903012934216674</v>
      </c>
      <c r="J22" s="196">
        <f>IF(OR(LEFT(H22,1)=" ",VLOOKUP('Hide - Control'!A$3,'All practice data'!A:CA,C22+52,FALSE)=0)," n/a",+((2*G22+1.96^2+1.96*SQRT(1.96^2+4*G22*(1-G22/(VLOOKUP('Hide - Control'!A$3,'All practice data'!A:CA,C22+52,FALSE)))))/(2*((VLOOKUP('Hide - Control'!A$3,'All practice data'!A:CA,C22+52,FALSE))+1.96^2))))</f>
        <v>0.6578497282515391</v>
      </c>
      <c r="K22" s="223">
        <f>IF('Hide - Calculation'!N16="","",'Hide - Calculation'!N16)</f>
        <v>0.6202028922944097</v>
      </c>
      <c r="L22" s="197">
        <f>'Hide - Calculation'!O16</f>
        <v>0.5752927626212945</v>
      </c>
      <c r="M22" s="198">
        <f>IF(ISBLANK('Hide - Calculation'!K16),"",'Hide - Calculation'!U16)</f>
        <v>0.47777798771858215</v>
      </c>
      <c r="N22" s="199"/>
      <c r="O22" s="91"/>
      <c r="P22" s="91"/>
      <c r="Q22" s="91"/>
      <c r="R22" s="91"/>
      <c r="S22" s="91"/>
      <c r="T22" s="91"/>
      <c r="U22" s="91"/>
      <c r="V22" s="91"/>
      <c r="W22" s="91"/>
      <c r="X22" s="91"/>
      <c r="Y22" s="91"/>
      <c r="Z22" s="188"/>
      <c r="AA22" s="198">
        <f>IF(ISBLANK('Hide - Calculation'!K16),"",'Hide - Calculation'!T16)</f>
        <v>0.6820809841156006</v>
      </c>
      <c r="AB22" s="235" t="s">
        <v>48</v>
      </c>
      <c r="AC22" s="189" t="s">
        <v>512</v>
      </c>
    </row>
    <row r="23" spans="2:29" s="63" customFormat="1" ht="33.75" customHeight="1">
      <c r="B23" s="308" t="s">
        <v>333</v>
      </c>
      <c r="C23" s="163">
        <v>11</v>
      </c>
      <c r="D23" s="179" t="s">
        <v>345</v>
      </c>
      <c r="E23" s="165"/>
      <c r="F23" s="165"/>
      <c r="G23" s="118">
        <f>IF(VLOOKUP('Hide - Control'!A$3,'All practice data'!A:CA,C23+4,FALSE)=" "," ",VLOOKUP('Hide - Control'!A$3,'All practice data'!A:CA,C23+4,FALSE))</f>
        <v>206</v>
      </c>
      <c r="H23" s="216">
        <f>IF(VLOOKUP('Hide - Control'!A$3,'All practice data'!A:CA,C23+30,FALSE)=" "," ",VLOOKUP('Hide - Control'!A$3,'All practice data'!A:CA,C23+30,FALSE))</f>
        <v>1779.3901701649822</v>
      </c>
      <c r="I23" s="215">
        <f>IF(LEFT(G23,1)=" "," n/a",IF(G23&lt;5,100000*VLOOKUP(G23,'Hide - Calculation'!AQ:AR,2,FALSE)/$E$8,100000*(G23*(1-1/(9*G23)-1.96/(3*SQRT(G23)))^3)/$E$8))</f>
        <v>1544.6687862522908</v>
      </c>
      <c r="J23" s="215">
        <f>IF(LEFT(G23,1)=" "," n/a",IF(G23&lt;5,100000*VLOOKUP(G23,'Hide - Calculation'!AQ:AS,3,FALSE)/$E$8,100000*((G23+1)*(1-1/(9*(G23+1))+1.96/(3*SQRT(G23+1)))^3)/$E$8))</f>
        <v>2039.6933466539745</v>
      </c>
      <c r="K23" s="216">
        <f>IF('Hide - Calculation'!N17="","",'Hide - Calculation'!N17)</f>
        <v>1421.5936040292268</v>
      </c>
      <c r="L23" s="217">
        <f>'Hide - Calculation'!O17</f>
        <v>1812.1669120472948</v>
      </c>
      <c r="M23" s="170">
        <f>IF(ISBLANK('Hide - Calculation'!K17),"",'Hide - Calculation'!U17)</f>
        <v>652.1365966796875</v>
      </c>
      <c r="N23" s="171"/>
      <c r="O23" s="172"/>
      <c r="P23" s="172"/>
      <c r="Q23" s="172"/>
      <c r="R23" s="173"/>
      <c r="S23" s="173"/>
      <c r="T23" s="173"/>
      <c r="U23" s="173"/>
      <c r="V23" s="173"/>
      <c r="W23" s="173"/>
      <c r="X23" s="173"/>
      <c r="Y23" s="173"/>
      <c r="Z23" s="174"/>
      <c r="AA23" s="170">
        <f>IF(ISBLANK('Hide - Calculation'!K17),"",'Hide - Calculation'!T17)</f>
        <v>5093.833984375</v>
      </c>
      <c r="AB23" s="233" t="s">
        <v>26</v>
      </c>
      <c r="AC23" s="175" t="s">
        <v>512</v>
      </c>
    </row>
    <row r="24" spans="2:29" s="63" customFormat="1" ht="33.75" customHeight="1">
      <c r="B24" s="306"/>
      <c r="C24" s="137">
        <v>12</v>
      </c>
      <c r="D24" s="147" t="s">
        <v>499</v>
      </c>
      <c r="E24" s="85"/>
      <c r="F24" s="85"/>
      <c r="G24" s="118">
        <f>IF(VLOOKUP('Hide - Control'!A$3,'All practice data'!A:CA,C24+4,FALSE)=" "," ",VLOOKUP('Hide - Control'!A$3,'All practice data'!A:CA,C24+4,FALSE))</f>
        <v>206</v>
      </c>
      <c r="H24" s="119">
        <f>IF(VLOOKUP('Hide - Control'!A$3,'All practice data'!A:CA,C24+30,FALSE)=" "," ",VLOOKUP('Hide - Control'!A$3,'All practice data'!A:CA,C24+30,FALSE))</f>
        <v>0.8852306366</v>
      </c>
      <c r="I24" s="212">
        <f>IF(LEFT(VLOOKUP('Hide - Control'!A$3,'All practice data'!A:CA,C24+44,FALSE),1)=" "," n/a",VLOOKUP('Hide - Control'!A$3,'All practice data'!A:CA,C24+44,FALSE))</f>
        <v>0.7684662628</v>
      </c>
      <c r="J24" s="212">
        <f>IF(LEFT(VLOOKUP('Hide - Control'!A$3,'All practice data'!A:CA,C24+45,FALSE),1)=" "," n/a",VLOOKUP('Hide - Control'!A$3,'All practice data'!A:CA,C24+45,FALSE))</f>
        <v>1.014722977</v>
      </c>
      <c r="K24" s="152" t="s">
        <v>567</v>
      </c>
      <c r="L24" s="213">
        <v>1</v>
      </c>
      <c r="M24" s="152">
        <f>IF(ISBLANK('Hide - Calculation'!K18),"",'Hide - Calculation'!U18)</f>
        <v>0.35436832904815674</v>
      </c>
      <c r="N24" s="86"/>
      <c r="O24" s="87"/>
      <c r="P24" s="87"/>
      <c r="Q24" s="87"/>
      <c r="R24" s="84"/>
      <c r="S24" s="84"/>
      <c r="T24" s="84"/>
      <c r="U24" s="84"/>
      <c r="V24" s="84"/>
      <c r="W24" s="84"/>
      <c r="X24" s="84"/>
      <c r="Y24" s="84"/>
      <c r="Z24" s="88"/>
      <c r="AA24" s="152">
        <f>IF(ISBLANK('Hide - Calculation'!K18),"",'Hide - Calculation'!T18)</f>
        <v>2.136090040206909</v>
      </c>
      <c r="AB24" s="234" t="s">
        <v>26</v>
      </c>
      <c r="AC24" s="131" t="s">
        <v>512</v>
      </c>
    </row>
    <row r="25" spans="2:29" s="63" customFormat="1" ht="33.75" customHeight="1">
      <c r="B25" s="306"/>
      <c r="C25" s="137">
        <v>13</v>
      </c>
      <c r="D25" s="147" t="s">
        <v>340</v>
      </c>
      <c r="E25" s="85"/>
      <c r="F25" s="85"/>
      <c r="G25" s="118">
        <f>IF(VLOOKUP('Hide - Control'!A$3,'All practice data'!A:CA,C25+4,FALSE)=" "," ",VLOOKUP('Hide - Control'!A$3,'All practice data'!A:CA,C25+4,FALSE))</f>
        <v>31</v>
      </c>
      <c r="H25" s="119">
        <f>IF(VLOOKUP('Hide - Control'!A$3,'All practice data'!A:CA,C25+30,FALSE)=" "," ",VLOOKUP('Hide - Control'!A$3,'All practice data'!A:CA,C25+30,FALSE))</f>
        <v>0.15048543689320387</v>
      </c>
      <c r="I25" s="120">
        <f>IF(LEFT(G25,1)=" "," n/a",IF(G25=0," n/a",+((2*G25+1.96^2-1.96*SQRT(1.96^2+4*G25*(1-G25/G23)))/(2*(G23+1.96^2)))))</f>
        <v>0.10808528505603736</v>
      </c>
      <c r="J25" s="120">
        <f>IF(LEFT(G25,1)=" "," n/a",IF(G25=0," n/a",+((2*G25+1.96^2+1.96*SQRT(1.96^2+4*G25*(1-G25/G23)))/(2*(G23+1.96^2)))))</f>
        <v>0.20568281431034185</v>
      </c>
      <c r="K25" s="125">
        <f>IF('Hide - Calculation'!N19="","",'Hide - Calculation'!N19)</f>
        <v>0.13529742916119347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0.34210526943206787</v>
      </c>
      <c r="AB25" s="234" t="s">
        <v>26</v>
      </c>
      <c r="AC25" s="131" t="s">
        <v>512</v>
      </c>
    </row>
    <row r="26" spans="2:29" s="63" customFormat="1" ht="33.75" customHeight="1">
      <c r="B26" s="306"/>
      <c r="C26" s="137">
        <v>14</v>
      </c>
      <c r="D26" s="147" t="s">
        <v>482</v>
      </c>
      <c r="E26" s="85"/>
      <c r="F26" s="85"/>
      <c r="G26" s="121">
        <f>IF(VLOOKUP('Hide - Control'!A$3,'All practice data'!A:CA,C26+4,FALSE)=" "," ",VLOOKUP('Hide - Control'!A$3,'All practice data'!A:CA,C26+4,FALSE))</f>
        <v>51</v>
      </c>
      <c r="H26" s="119">
        <f>IF(VLOOKUP('Hide - Control'!A$3,'All practice data'!A:CA,C26+30,FALSE)=" "," ",VLOOKUP('Hide - Control'!A$3,'All practice data'!A:CA,C26+30,FALSE))</f>
        <v>0.6078431372549019</v>
      </c>
      <c r="I26" s="120">
        <f>IF(OR(LEFT(G26,1)=" ",LEFT(G25,1)=" ")," n/a",IF(G26=0," n/a",+((2*G25+1.96^2-1.96*SQRT(1.96^2+4*G25*(1-G25/G26)))/(2*(G26+1.96^2)))))</f>
        <v>0.4708491122516506</v>
      </c>
      <c r="J26" s="120">
        <f>IF(OR(LEFT(G26,1)=" ",LEFT(G25,1)=" ")," n/a",IF(G26=0," n/a",+((2*G25+1.96^2+1.96*SQRT(1.96^2+4*G25*(1-G25/G26)))/(2*(G26+1.96^2)))))</f>
        <v>0.7297285514197229</v>
      </c>
      <c r="K26" s="125">
        <f>IF('Hide - Calculation'!N20="","",'Hide - Calculation'!N20)</f>
        <v>0.49724137931034484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0.7777777910232544</v>
      </c>
      <c r="AB26" s="234" t="s">
        <v>26</v>
      </c>
      <c r="AC26" s="131" t="s">
        <v>512</v>
      </c>
    </row>
    <row r="27" spans="2:29" s="63" customFormat="1" ht="33.75" customHeight="1">
      <c r="B27" s="306"/>
      <c r="C27" s="137">
        <v>15</v>
      </c>
      <c r="D27" s="147" t="s">
        <v>469</v>
      </c>
      <c r="E27" s="85"/>
      <c r="F27" s="85"/>
      <c r="G27" s="121">
        <f>IF(VLOOKUP('Hide - Control'!A$3,'All practice data'!A:CA,C27+4,FALSE)=" "," ",VLOOKUP('Hide - Control'!A$3,'All practice data'!A:CA,C27+4,FALSE))</f>
        <v>40</v>
      </c>
      <c r="H27" s="122">
        <f>IF(VLOOKUP('Hide - Control'!A$3,'All practice data'!A:CA,C27+30,FALSE)=" "," ",VLOOKUP('Hide - Control'!A$3,'All practice data'!A:CA,C27+30,FALSE))</f>
        <v>345.51265440096745</v>
      </c>
      <c r="I27" s="123">
        <f>IF(LEFT(G27,1)=" "," n/a",IF(G27&lt;5,100000*VLOOKUP(G27,'Hide - Calculation'!AQ:AR,2,FALSE)/$E$8,100000*(G27*(1-1/(9*G27)-1.96/(3*SQRT(G27)))^3)/$E$8))</f>
        <v>246.80934479374562</v>
      </c>
      <c r="J27" s="123">
        <f>IF(LEFT(G27,1)=" "," n/a",IF(G27&lt;5,100000*VLOOKUP(G27,'Hide - Calculation'!AQ:AS,3,FALSE)/$E$8,100000*((G27+1)*(1-1/(9*(G27+1))+1.96/(3*SQRT(G27+1)))^3)/$E$8))</f>
        <v>470.5051223659508</v>
      </c>
      <c r="K27" s="122">
        <f>IF('Hide - Calculation'!N21="","",'Hide - Calculation'!N21)</f>
        <v>320.118657315645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653.8197021484375</v>
      </c>
      <c r="AB27" s="234" t="s">
        <v>26</v>
      </c>
      <c r="AC27" s="131" t="s">
        <v>512</v>
      </c>
    </row>
    <row r="28" spans="2:29" s="63" customFormat="1" ht="33.75" customHeight="1">
      <c r="B28" s="306"/>
      <c r="C28" s="137">
        <v>16</v>
      </c>
      <c r="D28" s="147" t="s">
        <v>470</v>
      </c>
      <c r="E28" s="85"/>
      <c r="F28" s="85"/>
      <c r="G28" s="121">
        <f>IF(VLOOKUP('Hide - Control'!A$3,'All practice data'!A:CA,C28+4,FALSE)=" "," ",VLOOKUP('Hide - Control'!A$3,'All practice data'!A:CA,C28+4,FALSE))</f>
        <v>20</v>
      </c>
      <c r="H28" s="122">
        <f>IF(VLOOKUP('Hide - Control'!A$3,'All practice data'!A:CA,C28+30,FALSE)=" "," ",VLOOKUP('Hide - Control'!A$3,'All practice data'!A:CA,C28+30,FALSE))</f>
        <v>172.75632720048372</v>
      </c>
      <c r="I28" s="123">
        <f>IF(LEFT(G28,1)=" "," n/a",IF(G28&lt;5,100000*VLOOKUP(G28,'Hide - Calculation'!AQ:AR,2,FALSE)/$E$8,100000*(G28*(1-1/(9*G28)-1.96/(3*SQRT(G28)))^3)/$E$8))</f>
        <v>105.47907846916772</v>
      </c>
      <c r="J28" s="123">
        <f>IF(LEFT(G28,1)=" "," n/a",IF(G28&lt;5,100000*VLOOKUP(G28,'Hide - Calculation'!AQ:AS,3,FALSE)/$E$8,100000*((G28+1)*(1-1/(9*(G28+1))+1.96/(3*SQRT(G28+1)))^3)/$E$8))</f>
        <v>266.8229579016402</v>
      </c>
      <c r="K28" s="122">
        <f>IF('Hide - Calculation'!N22="","",'Hide - Calculation'!N22)</f>
        <v>187.8029456251784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697.0509643554688</v>
      </c>
      <c r="AB28" s="234" t="s">
        <v>26</v>
      </c>
      <c r="AC28" s="131" t="s">
        <v>512</v>
      </c>
    </row>
    <row r="29" spans="2:29" s="63" customFormat="1" ht="33.75" customHeight="1">
      <c r="B29" s="306"/>
      <c r="C29" s="137">
        <v>17</v>
      </c>
      <c r="D29" s="147" t="s">
        <v>471</v>
      </c>
      <c r="E29" s="85"/>
      <c r="F29" s="85"/>
      <c r="G29" s="121">
        <f>IF(VLOOKUP('Hide - Control'!A$3,'All practice data'!A:CA,C29+4,FALSE)=" "," ",VLOOKUP('Hide - Control'!A$3,'All practice data'!A:CA,C29+4,FALSE))</f>
        <v>6</v>
      </c>
      <c r="H29" s="122">
        <f>IF(VLOOKUP('Hide - Control'!A$3,'All practice data'!A:CA,C29+30,FALSE)=" "," ",VLOOKUP('Hide - Control'!A$3,'All practice data'!A:CA,C29+30,FALSE))</f>
        <v>51.82689816014511</v>
      </c>
      <c r="I29" s="123">
        <f>IF(LEFT(G29,1)=" "," n/a",IF(G29&lt;5,100000*VLOOKUP(G29,'Hide - Calculation'!AQ:AR,2,FALSE)/$E$8,100000*(G29*(1-1/(9*G29)-1.96/(3*SQRT(G29)))^3)/$E$8))</f>
        <v>18.924943773720994</v>
      </c>
      <c r="J29" s="123">
        <f>IF(LEFT(G29,1)=" "," n/a",IF(G29&lt;5,100000*VLOOKUP(G29,'Hide - Calculation'!AQ:AS,3,FALSE)/$E$8,100000*((G29+1)*(1-1/(9*(G29+1))+1.96/(3*SQRT(G29+1)))^3)/$E$8))</f>
        <v>112.80897701198721</v>
      </c>
      <c r="K29" s="122">
        <f>IF('Hide - Calculation'!N23="","",'Hide - Calculation'!N23)</f>
        <v>40.28159771221866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187.6675567626953</v>
      </c>
      <c r="AB29" s="234" t="s">
        <v>26</v>
      </c>
      <c r="AC29" s="131" t="s">
        <v>512</v>
      </c>
    </row>
    <row r="30" spans="2:29" s="63" customFormat="1" ht="33.75" customHeight="1" thickBot="1">
      <c r="B30" s="309"/>
      <c r="C30" s="180">
        <v>18</v>
      </c>
      <c r="D30" s="181" t="s">
        <v>472</v>
      </c>
      <c r="E30" s="182"/>
      <c r="F30" s="182"/>
      <c r="G30" s="183">
        <f>IF(VLOOKUP('Hide - Control'!A$3,'All practice data'!A:CA,C30+4,FALSE)=" "," ",VLOOKUP('Hide - Control'!A$3,'All practice data'!A:CA,C30+4,FALSE))</f>
        <v>55</v>
      </c>
      <c r="H30" s="184">
        <f>IF(VLOOKUP('Hide - Control'!A$3,'All practice data'!A:CA,C30+30,FALSE)=" "," ",VLOOKUP('Hide - Control'!A$3,'All practice data'!A:CA,C30+30,FALSE))</f>
        <v>475.0798998013302</v>
      </c>
      <c r="I30" s="185">
        <f>IF(LEFT(G30,1)=" "," n/a",IF(G30&lt;5,100000*VLOOKUP(G30,'Hide - Calculation'!AQ:AR,2,FALSE)/$E$8,100000*(G30*(1-1/(9*G30)-1.96/(3*SQRT(G30)))^3)/$E$8))</f>
        <v>357.8699568040924</v>
      </c>
      <c r="J30" s="185">
        <f>IF(LEFT(G30,1)=" "," n/a",IF(G30&lt;5,100000*VLOOKUP(G30,'Hide - Calculation'!AQ:AS,3,FALSE)/$E$8,100000*((G30+1)*(1-1/(9*(G30+1))+1.96/(3*SQRT(G30+1)))^3)/$E$8))</f>
        <v>618.3962782660992</v>
      </c>
      <c r="K30" s="184">
        <f>IF('Hide - Calculation'!N24="","",'Hide - Calculation'!N24)</f>
        <v>311.5821597872278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1474.5308837890625</v>
      </c>
      <c r="AB30" s="235" t="s">
        <v>26</v>
      </c>
      <c r="AC30" s="189" t="s">
        <v>512</v>
      </c>
    </row>
    <row r="31" spans="2:29" s="63" customFormat="1" ht="33.75" customHeight="1">
      <c r="B31" s="304" t="s">
        <v>342</v>
      </c>
      <c r="C31" s="163">
        <v>19</v>
      </c>
      <c r="D31" s="164" t="s">
        <v>346</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483.7177161613544</v>
      </c>
      <c r="I31" s="168">
        <f>IF(LEFT(G31,1)=" "," n/a",IF(G31&lt;5,100000*VLOOKUP(G31,'Hide - Calculation'!AQ:AR,2,FALSE)/$E$8,100000*(G31*(1-1/(9*G31)-1.96/(3*SQRT(G31)))^3)/$E$8))</f>
        <v>365.370158591513</v>
      </c>
      <c r="J31" s="168">
        <f>IF(LEFT(G31,1)=" "," n/a",IF(G31&lt;5,100000*VLOOKUP(G31,'Hide - Calculation'!AQ:AS,3,FALSE)/$E$8,100000*((G31+1)*(1-1/(9*(G31+1))+1.96/(3*SQRT(G31+1)))^3)/$E$8))</f>
        <v>628.162145830503</v>
      </c>
      <c r="K31" s="167">
        <f>IF('Hide - Calculation'!N25="","",'Hide - Calculation'!N25)</f>
        <v>485.2465313809652</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811.2179565429688</v>
      </c>
      <c r="AB31" s="233" t="s">
        <v>47</v>
      </c>
      <c r="AC31" s="175" t="s">
        <v>512</v>
      </c>
    </row>
    <row r="32" spans="2:29" s="63" customFormat="1" ht="33.75" customHeight="1">
      <c r="B32" s="305"/>
      <c r="C32" s="137">
        <v>20</v>
      </c>
      <c r="D32" s="132" t="s">
        <v>347</v>
      </c>
      <c r="E32" s="85"/>
      <c r="F32" s="85"/>
      <c r="G32" s="121">
        <f>IF(VLOOKUP('Hide - Control'!A$3,'All practice data'!A:CA,C32+4,FALSE)=" "," ",VLOOKUP('Hide - Control'!A$3,'All practice data'!A:CA,C32+4,FALSE))</f>
        <v>17</v>
      </c>
      <c r="H32" s="122">
        <f>IF(VLOOKUP('Hide - Control'!A$3,'All practice data'!A:CA,C32+30,FALSE)=" "," ",VLOOKUP('Hide - Control'!A$3,'All practice data'!A:CA,C32+30,FALSE))</f>
        <v>146.84287812041117</v>
      </c>
      <c r="I32" s="123">
        <f>IF(LEFT(G32,1)=" "," n/a",IF(G32&lt;5,100000*VLOOKUP(G32,'Hide - Calculation'!AQ:AR,2,FALSE)/$E$8,100000*(G32*(1-1/(9*G32)-1.96/(3*SQRT(G32)))^3)/$E$8))</f>
        <v>85.49169536301895</v>
      </c>
      <c r="J32" s="123">
        <f>IF(LEFT(G32,1)=" "," n/a",IF(G32&lt;5,100000*VLOOKUP(G32,'Hide - Calculation'!AQ:AS,3,FALSE)/$E$8,100000*((G32+1)*(1-1/(9*(G32+1))+1.96/(3*SQRT(G32+1)))^3)/$E$8))</f>
        <v>235.1240452415557</v>
      </c>
      <c r="K32" s="122">
        <f>IF('Hide - Calculation'!N26="","",'Hide - Calculation'!N26)</f>
        <v>281.9711839855306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558.4476928710938</v>
      </c>
      <c r="AB32" s="234" t="s">
        <v>47</v>
      </c>
      <c r="AC32" s="131" t="s">
        <v>512</v>
      </c>
    </row>
    <row r="33" spans="2:29" s="63" customFormat="1" ht="33.75" customHeight="1">
      <c r="B33" s="305"/>
      <c r="C33" s="137">
        <v>21</v>
      </c>
      <c r="D33" s="132" t="s">
        <v>349</v>
      </c>
      <c r="E33" s="85"/>
      <c r="F33" s="85"/>
      <c r="G33" s="121">
        <f>IF(VLOOKUP('Hide - Control'!A$3,'All practice data'!A:CA,C33+4,FALSE)=" "," ",VLOOKUP('Hide - Control'!A$3,'All practice data'!A:CA,C33+4,FALSE))</f>
        <v>93</v>
      </c>
      <c r="H33" s="122">
        <f>IF(VLOOKUP('Hide - Control'!A$3,'All practice data'!A:CA,C33+30,FALSE)=" "," ",VLOOKUP('Hide - Control'!A$3,'All practice data'!A:CA,C33+30,FALSE))</f>
        <v>803.3169214822493</v>
      </c>
      <c r="I33" s="123">
        <f>IF(LEFT(G33,1)=" "," n/a",IF(G33&lt;5,100000*VLOOKUP(G33,'Hide - Calculation'!AQ:AR,2,FALSE)/$E$8,100000*(G33*(1-1/(9*G33)-1.96/(3*SQRT(G33)))^3)/$E$8))</f>
        <v>648.3608280853421</v>
      </c>
      <c r="J33" s="123">
        <f>IF(LEFT(G33,1)=" "," n/a",IF(G33&lt;5,100000*VLOOKUP(G33,'Hide - Calculation'!AQ:AS,3,FALSE)/$E$8,100000*((G33+1)*(1-1/(9*(G33+1))+1.96/(3*SQRT(G33+1)))^3)/$E$8))</f>
        <v>984.1310452587448</v>
      </c>
      <c r="K33" s="122">
        <f>IF('Hide - Calculation'!N27="","",'Hide - Calculation'!N27)</f>
        <v>690.389237610741</v>
      </c>
      <c r="L33" s="156">
        <f>'Hide - Calculation'!O27</f>
        <v>1059.3522061277838</v>
      </c>
      <c r="M33" s="148">
        <f>IF(ISBLANK('Hide - Calculation'!K27),"",'Hide - Calculation'!U27)</f>
        <v>283.9564514160156</v>
      </c>
      <c r="N33" s="86"/>
      <c r="O33" s="87"/>
      <c r="P33" s="87"/>
      <c r="Q33" s="87"/>
      <c r="R33" s="84"/>
      <c r="S33" s="84"/>
      <c r="T33" s="84"/>
      <c r="U33" s="84"/>
      <c r="V33" s="84"/>
      <c r="W33" s="84"/>
      <c r="X33" s="84"/>
      <c r="Y33" s="84"/>
      <c r="Z33" s="88"/>
      <c r="AA33" s="148">
        <f>IF(ISBLANK('Hide - Calculation'!K27),"",'Hide - Calculation'!T27)</f>
        <v>1292.116455078125</v>
      </c>
      <c r="AB33" s="234" t="s">
        <v>47</v>
      </c>
      <c r="AC33" s="131" t="s">
        <v>512</v>
      </c>
    </row>
    <row r="34" spans="2:29" s="63" customFormat="1" ht="33.75" customHeight="1">
      <c r="B34" s="305"/>
      <c r="C34" s="137">
        <v>22</v>
      </c>
      <c r="D34" s="132" t="s">
        <v>348</v>
      </c>
      <c r="E34" s="85"/>
      <c r="F34" s="85"/>
      <c r="G34" s="118">
        <f>IF(VLOOKUP('Hide - Control'!A$3,'All practice data'!A:CA,C34+4,FALSE)=" "," ",VLOOKUP('Hide - Control'!A$3,'All practice data'!A:CA,C34+4,FALSE))</f>
        <v>79</v>
      </c>
      <c r="H34" s="122">
        <f>IF(VLOOKUP('Hide - Control'!A$3,'All practice data'!A:CA,C34+30,FALSE)=" "," ",VLOOKUP('Hide - Control'!A$3,'All practice data'!A:CA,C34+30,FALSE))</f>
        <v>682.3874924419107</v>
      </c>
      <c r="I34" s="123">
        <f>IF(LEFT(G34,1)=" "," n/a",IF(G34&lt;5,100000*VLOOKUP(G34,'Hide - Calculation'!AQ:AR,2,FALSE)/$E$8,100000*(G34*(1-1/(9*G34)-1.96/(3*SQRT(G34)))^3)/$E$8))</f>
        <v>540.2314966183471</v>
      </c>
      <c r="J34" s="123">
        <f>IF(LEFT(G34,1)=" "," n/a",IF(G34&lt;5,100000*VLOOKUP(G34,'Hide - Calculation'!AQ:AS,3,FALSE)/$E$8,100000*((G34+1)*(1-1/(9*(G34+1))+1.96/(3*SQRT(G34+1)))^3)/$E$8))</f>
        <v>850.472257092508</v>
      </c>
      <c r="K34" s="122">
        <f>IF('Hide - Calculation'!N28="","",'Hide - Calculation'!N28)</f>
        <v>530.0631434051555</v>
      </c>
      <c r="L34" s="156">
        <f>'Hide - Calculation'!O28</f>
        <v>582.9390489900089</v>
      </c>
      <c r="M34" s="148">
        <f>IF(ISBLANK('Hide - Calculation'!K28),"",'Hide - Calculation'!U28)</f>
        <v>237.20773315429688</v>
      </c>
      <c r="N34" s="86"/>
      <c r="O34" s="87"/>
      <c r="P34" s="87"/>
      <c r="Q34" s="87"/>
      <c r="R34" s="84"/>
      <c r="S34" s="84"/>
      <c r="T34" s="84"/>
      <c r="U34" s="84"/>
      <c r="V34" s="84"/>
      <c r="W34" s="84"/>
      <c r="X34" s="84"/>
      <c r="Y34" s="84"/>
      <c r="Z34" s="88"/>
      <c r="AA34" s="148">
        <f>IF(ISBLANK('Hide - Calculation'!K28),"",'Hide - Calculation'!T28)</f>
        <v>911.6231689453125</v>
      </c>
      <c r="AB34" s="234" t="s">
        <v>47</v>
      </c>
      <c r="AC34" s="131" t="s">
        <v>512</v>
      </c>
    </row>
    <row r="35" spans="2:29" s="63" customFormat="1" ht="33.75" customHeight="1">
      <c r="B35" s="305"/>
      <c r="C35" s="137">
        <v>23</v>
      </c>
      <c r="D35" s="138" t="s">
        <v>473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334</v>
      </c>
      <c r="AC35" s="131">
        <v>2008</v>
      </c>
    </row>
    <row r="36" spans="2:29" ht="33.75" customHeight="1">
      <c r="B36" s="306"/>
      <c r="C36" s="137">
        <v>24</v>
      </c>
      <c r="D36" s="224" t="s">
        <v>474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334</v>
      </c>
      <c r="AC36" s="131">
        <v>2008</v>
      </c>
    </row>
    <row r="37" spans="2:29" ht="33.75" customHeight="1" thickBot="1">
      <c r="B37" s="307"/>
      <c r="C37" s="176">
        <v>25</v>
      </c>
      <c r="D37" s="177" t="s">
        <v>350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334</v>
      </c>
      <c r="AC37" s="149">
        <v>2008</v>
      </c>
    </row>
    <row r="38" spans="2:29" ht="16.5" customHeight="1">
      <c r="B38" s="69"/>
      <c r="C38" s="69"/>
      <c r="D38" s="65" t="s">
        <v>332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566</v>
      </c>
      <c r="C39" s="244"/>
      <c r="D39" s="244"/>
      <c r="E39" s="303" t="s">
        <v>570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498</v>
      </c>
      <c r="BE2" s="341"/>
      <c r="BF2" s="341"/>
      <c r="BG2" s="341"/>
      <c r="BH2" s="341"/>
      <c r="BI2" s="341"/>
      <c r="BJ2" s="342"/>
    </row>
    <row r="3" spans="1:82" s="72" customFormat="1" ht="76.5" customHeight="1">
      <c r="A3" s="266" t="s">
        <v>276</v>
      </c>
      <c r="B3" s="275" t="s">
        <v>277</v>
      </c>
      <c r="C3" s="276" t="s">
        <v>49</v>
      </c>
      <c r="D3" s="274" t="s">
        <v>483</v>
      </c>
      <c r="E3" s="267" t="s">
        <v>355</v>
      </c>
      <c r="F3" s="267" t="s">
        <v>466</v>
      </c>
      <c r="G3" s="267" t="s">
        <v>357</v>
      </c>
      <c r="H3" s="267" t="s">
        <v>358</v>
      </c>
      <c r="I3" s="267" t="s">
        <v>359</v>
      </c>
      <c r="J3" s="267" t="s">
        <v>507</v>
      </c>
      <c r="K3" s="267" t="s">
        <v>508</v>
      </c>
      <c r="L3" s="267" t="s">
        <v>509</v>
      </c>
      <c r="M3" s="267" t="s">
        <v>360</v>
      </c>
      <c r="N3" s="267" t="s">
        <v>361</v>
      </c>
      <c r="O3" s="267" t="s">
        <v>362</v>
      </c>
      <c r="P3" s="267" t="s">
        <v>497</v>
      </c>
      <c r="Q3" s="267" t="s">
        <v>363</v>
      </c>
      <c r="R3" s="267" t="s">
        <v>364</v>
      </c>
      <c r="S3" s="267" t="s">
        <v>365</v>
      </c>
      <c r="T3" s="267" t="s">
        <v>366</v>
      </c>
      <c r="U3" s="267" t="s">
        <v>367</v>
      </c>
      <c r="V3" s="267" t="s">
        <v>368</v>
      </c>
      <c r="W3" s="267" t="s">
        <v>369</v>
      </c>
      <c r="X3" s="267" t="s">
        <v>370</v>
      </c>
      <c r="Y3" s="267" t="s">
        <v>371</v>
      </c>
      <c r="Z3" s="267" t="s">
        <v>372</v>
      </c>
      <c r="AA3" s="267" t="s">
        <v>373</v>
      </c>
      <c r="AB3" s="267" t="s">
        <v>374</v>
      </c>
      <c r="AC3" s="267" t="s">
        <v>375</v>
      </c>
      <c r="AD3" s="268" t="s">
        <v>376</v>
      </c>
      <c r="AE3" s="268" t="s">
        <v>355</v>
      </c>
      <c r="AF3" s="269" t="s">
        <v>356</v>
      </c>
      <c r="AG3" s="268" t="s">
        <v>357</v>
      </c>
      <c r="AH3" s="268" t="s">
        <v>358</v>
      </c>
      <c r="AI3" s="268" t="s">
        <v>359</v>
      </c>
      <c r="AJ3" s="268" t="s">
        <v>507</v>
      </c>
      <c r="AK3" s="268" t="s">
        <v>508</v>
      </c>
      <c r="AL3" s="268" t="s">
        <v>509</v>
      </c>
      <c r="AM3" s="268" t="s">
        <v>360</v>
      </c>
      <c r="AN3" s="268" t="s">
        <v>361</v>
      </c>
      <c r="AO3" s="268" t="s">
        <v>362</v>
      </c>
      <c r="AP3" s="268" t="s">
        <v>497</v>
      </c>
      <c r="AQ3" s="268" t="s">
        <v>363</v>
      </c>
      <c r="AR3" s="268" t="s">
        <v>364</v>
      </c>
      <c r="AS3" s="268" t="s">
        <v>365</v>
      </c>
      <c r="AT3" s="268" t="s">
        <v>366</v>
      </c>
      <c r="AU3" s="268" t="s">
        <v>367</v>
      </c>
      <c r="AV3" s="268" t="s">
        <v>368</v>
      </c>
      <c r="AW3" s="268" t="s">
        <v>369</v>
      </c>
      <c r="AX3" s="268" t="s">
        <v>370</v>
      </c>
      <c r="AY3" s="270" t="s">
        <v>371</v>
      </c>
      <c r="AZ3" s="271" t="s">
        <v>372</v>
      </c>
      <c r="BA3" s="271" t="s">
        <v>373</v>
      </c>
      <c r="BB3" s="271" t="s">
        <v>374</v>
      </c>
      <c r="BC3" s="272" t="s">
        <v>375</v>
      </c>
      <c r="BD3" s="273" t="s">
        <v>495</v>
      </c>
      <c r="BE3" s="273" t="s">
        <v>496</v>
      </c>
      <c r="BF3" s="273" t="s">
        <v>503</v>
      </c>
      <c r="BG3" s="273" t="s">
        <v>504</v>
      </c>
      <c r="BH3" s="273" t="s">
        <v>502</v>
      </c>
      <c r="BI3" s="273" t="s">
        <v>505</v>
      </c>
      <c r="BJ3" s="273" t="s">
        <v>506</v>
      </c>
      <c r="BK3" s="73"/>
      <c r="BL3" s="73"/>
      <c r="BM3" s="73"/>
      <c r="BN3" s="73"/>
      <c r="BO3" s="73"/>
      <c r="BP3" s="73"/>
      <c r="BQ3" s="73"/>
      <c r="BR3" s="73"/>
      <c r="BS3" s="73"/>
      <c r="BT3" s="73"/>
      <c r="BU3" s="73"/>
      <c r="BV3" s="73"/>
      <c r="BW3" s="73"/>
      <c r="BX3" s="73"/>
      <c r="BY3" s="73"/>
      <c r="BZ3" s="73"/>
      <c r="CA3" s="73"/>
      <c r="CB3" s="73"/>
      <c r="CC3" s="73"/>
      <c r="CD3" s="73"/>
    </row>
    <row r="4" spans="1:66" ht="12.75">
      <c r="A4" s="79" t="s">
        <v>532</v>
      </c>
      <c r="B4" s="79" t="s">
        <v>301</v>
      </c>
      <c r="C4" s="79" t="s">
        <v>251</v>
      </c>
      <c r="D4" s="99">
        <v>11577</v>
      </c>
      <c r="E4" s="99">
        <v>2285</v>
      </c>
      <c r="F4" s="99" t="s">
        <v>352</v>
      </c>
      <c r="G4" s="99">
        <v>61</v>
      </c>
      <c r="H4" s="99">
        <v>23</v>
      </c>
      <c r="I4" s="99">
        <v>114</v>
      </c>
      <c r="J4" s="99">
        <v>1099</v>
      </c>
      <c r="K4" s="99">
        <v>182</v>
      </c>
      <c r="L4" s="99">
        <v>2078</v>
      </c>
      <c r="M4" s="99">
        <v>891</v>
      </c>
      <c r="N4" s="99">
        <v>491</v>
      </c>
      <c r="O4" s="99">
        <v>206</v>
      </c>
      <c r="P4" s="159">
        <v>206</v>
      </c>
      <c r="Q4" s="99">
        <v>31</v>
      </c>
      <c r="R4" s="99">
        <v>51</v>
      </c>
      <c r="S4" s="99">
        <v>40</v>
      </c>
      <c r="T4" s="99">
        <v>20</v>
      </c>
      <c r="U4" s="99">
        <v>6</v>
      </c>
      <c r="V4" s="99">
        <v>55</v>
      </c>
      <c r="W4" s="99">
        <v>56</v>
      </c>
      <c r="X4" s="99">
        <v>17</v>
      </c>
      <c r="Y4" s="99">
        <v>93</v>
      </c>
      <c r="Z4" s="99">
        <v>79</v>
      </c>
      <c r="AA4" s="99" t="s">
        <v>569</v>
      </c>
      <c r="AB4" s="99" t="s">
        <v>569</v>
      </c>
      <c r="AC4" s="99" t="s">
        <v>569</v>
      </c>
      <c r="AD4" s="98" t="s">
        <v>332</v>
      </c>
      <c r="AE4" s="100">
        <v>0.19737410382655265</v>
      </c>
      <c r="AF4" s="100">
        <v>0.09</v>
      </c>
      <c r="AG4" s="98">
        <v>526.9067979614754</v>
      </c>
      <c r="AH4" s="98">
        <v>198.66977628055628</v>
      </c>
      <c r="AI4" s="100">
        <v>0.01</v>
      </c>
      <c r="AJ4" s="100">
        <v>0.727815</v>
      </c>
      <c r="AK4" s="100">
        <v>0.774468</v>
      </c>
      <c r="AL4" s="100">
        <v>0.753445</v>
      </c>
      <c r="AM4" s="100">
        <v>0.602434</v>
      </c>
      <c r="AN4" s="100">
        <v>0.624682</v>
      </c>
      <c r="AO4" s="98">
        <v>1779.3901701649822</v>
      </c>
      <c r="AP4" s="158">
        <v>0.8852306366</v>
      </c>
      <c r="AQ4" s="100">
        <v>0.15048543689320387</v>
      </c>
      <c r="AR4" s="100">
        <v>0.6078431372549019</v>
      </c>
      <c r="AS4" s="98">
        <v>345.51265440096745</v>
      </c>
      <c r="AT4" s="98">
        <v>172.75632720048372</v>
      </c>
      <c r="AU4" s="98">
        <v>51.82689816014511</v>
      </c>
      <c r="AV4" s="98">
        <v>475.0798998013302</v>
      </c>
      <c r="AW4" s="98">
        <v>483.7177161613544</v>
      </c>
      <c r="AX4" s="98">
        <v>146.84287812041117</v>
      </c>
      <c r="AY4" s="98">
        <v>803.3169214822493</v>
      </c>
      <c r="AZ4" s="98">
        <v>682.3874924419107</v>
      </c>
      <c r="BA4" s="100" t="s">
        <v>569</v>
      </c>
      <c r="BB4" s="100" t="s">
        <v>569</v>
      </c>
      <c r="BC4" s="100" t="s">
        <v>569</v>
      </c>
      <c r="BD4" s="158">
        <v>0.7684662628</v>
      </c>
      <c r="BE4" s="158">
        <v>1.014722977</v>
      </c>
      <c r="BF4" s="162">
        <v>1510</v>
      </c>
      <c r="BG4" s="162">
        <v>235</v>
      </c>
      <c r="BH4" s="162">
        <v>2758</v>
      </c>
      <c r="BI4" s="162">
        <v>1479</v>
      </c>
      <c r="BJ4" s="162">
        <v>786</v>
      </c>
      <c r="BK4" s="97"/>
      <c r="BL4" s="97"/>
      <c r="BM4" s="97"/>
      <c r="BN4" s="97"/>
    </row>
    <row r="5" spans="1:66" ht="12.75">
      <c r="A5" s="79" t="s">
        <v>527</v>
      </c>
      <c r="B5" s="79" t="s">
        <v>295</v>
      </c>
      <c r="C5" s="79" t="s">
        <v>251</v>
      </c>
      <c r="D5" s="99">
        <v>11558</v>
      </c>
      <c r="E5" s="99">
        <v>2133</v>
      </c>
      <c r="F5" s="99" t="s">
        <v>352</v>
      </c>
      <c r="G5" s="99">
        <v>49</v>
      </c>
      <c r="H5" s="99">
        <v>31</v>
      </c>
      <c r="I5" s="99">
        <v>209</v>
      </c>
      <c r="J5" s="99">
        <v>1124</v>
      </c>
      <c r="K5" s="99">
        <v>181</v>
      </c>
      <c r="L5" s="99">
        <v>2144</v>
      </c>
      <c r="M5" s="99">
        <v>796</v>
      </c>
      <c r="N5" s="99">
        <v>415</v>
      </c>
      <c r="O5" s="99">
        <v>154</v>
      </c>
      <c r="P5" s="159">
        <v>154</v>
      </c>
      <c r="Q5" s="99">
        <v>25</v>
      </c>
      <c r="R5" s="99">
        <v>45</v>
      </c>
      <c r="S5" s="99">
        <v>31</v>
      </c>
      <c r="T5" s="99">
        <v>28</v>
      </c>
      <c r="U5" s="99" t="s">
        <v>569</v>
      </c>
      <c r="V5" s="99">
        <v>17</v>
      </c>
      <c r="W5" s="99">
        <v>49</v>
      </c>
      <c r="X5" s="99">
        <v>28</v>
      </c>
      <c r="Y5" s="99">
        <v>90</v>
      </c>
      <c r="Z5" s="99">
        <v>72</v>
      </c>
      <c r="AA5" s="99" t="s">
        <v>569</v>
      </c>
      <c r="AB5" s="99" t="s">
        <v>569</v>
      </c>
      <c r="AC5" s="99" t="s">
        <v>569</v>
      </c>
      <c r="AD5" s="98" t="s">
        <v>332</v>
      </c>
      <c r="AE5" s="100">
        <v>0.18454749956739921</v>
      </c>
      <c r="AF5" s="100">
        <v>0.09</v>
      </c>
      <c r="AG5" s="98">
        <v>423.94878006575533</v>
      </c>
      <c r="AH5" s="98">
        <v>268.21249351098805</v>
      </c>
      <c r="AI5" s="100">
        <v>0.018000000000000002</v>
      </c>
      <c r="AJ5" s="100">
        <v>0.80114</v>
      </c>
      <c r="AK5" s="100">
        <v>0.712598</v>
      </c>
      <c r="AL5" s="100">
        <v>0.737023</v>
      </c>
      <c r="AM5" s="100">
        <v>0.588757</v>
      </c>
      <c r="AN5" s="100">
        <v>0.606725</v>
      </c>
      <c r="AO5" s="98">
        <v>1332.410451635231</v>
      </c>
      <c r="AP5" s="158">
        <v>0.681115799</v>
      </c>
      <c r="AQ5" s="100">
        <v>0.16233766233766234</v>
      </c>
      <c r="AR5" s="100">
        <v>0.5555555555555556</v>
      </c>
      <c r="AS5" s="98">
        <v>268.21249351098805</v>
      </c>
      <c r="AT5" s="98">
        <v>242.25644575186018</v>
      </c>
      <c r="AU5" s="98" t="s">
        <v>569</v>
      </c>
      <c r="AV5" s="98">
        <v>147.08427063505798</v>
      </c>
      <c r="AW5" s="98">
        <v>423.94878006575533</v>
      </c>
      <c r="AX5" s="98">
        <v>242.25644575186018</v>
      </c>
      <c r="AY5" s="98">
        <v>778.6814327738363</v>
      </c>
      <c r="AZ5" s="98">
        <v>622.945146219069</v>
      </c>
      <c r="BA5" s="100" t="s">
        <v>569</v>
      </c>
      <c r="BB5" s="100" t="s">
        <v>569</v>
      </c>
      <c r="BC5" s="100" t="s">
        <v>569</v>
      </c>
      <c r="BD5" s="158">
        <v>0.5777898026</v>
      </c>
      <c r="BE5" s="158">
        <v>0.7975878143</v>
      </c>
      <c r="BF5" s="162">
        <v>1403</v>
      </c>
      <c r="BG5" s="162">
        <v>254</v>
      </c>
      <c r="BH5" s="162">
        <v>2909</v>
      </c>
      <c r="BI5" s="162">
        <v>1352</v>
      </c>
      <c r="BJ5" s="162">
        <v>684</v>
      </c>
      <c r="BK5" s="97"/>
      <c r="BL5" s="97"/>
      <c r="BM5" s="97"/>
      <c r="BN5" s="97"/>
    </row>
    <row r="6" spans="1:66" ht="12.75">
      <c r="A6" s="79" t="s">
        <v>530</v>
      </c>
      <c r="B6" s="79" t="s">
        <v>298</v>
      </c>
      <c r="C6" s="79" t="s">
        <v>251</v>
      </c>
      <c r="D6" s="99">
        <v>14368</v>
      </c>
      <c r="E6" s="99">
        <v>2858</v>
      </c>
      <c r="F6" s="99" t="s">
        <v>352</v>
      </c>
      <c r="G6" s="99">
        <v>73</v>
      </c>
      <c r="H6" s="99">
        <v>25</v>
      </c>
      <c r="I6" s="99">
        <v>131</v>
      </c>
      <c r="J6" s="99">
        <v>1558</v>
      </c>
      <c r="K6" s="99">
        <v>15</v>
      </c>
      <c r="L6" s="99">
        <v>2462</v>
      </c>
      <c r="M6" s="99">
        <v>1143</v>
      </c>
      <c r="N6" s="99">
        <v>625</v>
      </c>
      <c r="O6" s="99">
        <v>154</v>
      </c>
      <c r="P6" s="159">
        <v>154</v>
      </c>
      <c r="Q6" s="99">
        <v>27</v>
      </c>
      <c r="R6" s="99">
        <v>50</v>
      </c>
      <c r="S6" s="99">
        <v>23</v>
      </c>
      <c r="T6" s="99">
        <v>27</v>
      </c>
      <c r="U6" s="99">
        <v>10</v>
      </c>
      <c r="V6" s="99">
        <v>18</v>
      </c>
      <c r="W6" s="99">
        <v>80</v>
      </c>
      <c r="X6" s="99">
        <v>57</v>
      </c>
      <c r="Y6" s="99">
        <v>109</v>
      </c>
      <c r="Z6" s="99">
        <v>55</v>
      </c>
      <c r="AA6" s="99" t="s">
        <v>569</v>
      </c>
      <c r="AB6" s="99" t="s">
        <v>569</v>
      </c>
      <c r="AC6" s="99" t="s">
        <v>569</v>
      </c>
      <c r="AD6" s="98" t="s">
        <v>332</v>
      </c>
      <c r="AE6" s="100">
        <v>0.1989142538975501</v>
      </c>
      <c r="AF6" s="100">
        <v>0.11</v>
      </c>
      <c r="AG6" s="98">
        <v>508.0734966592428</v>
      </c>
      <c r="AH6" s="98">
        <v>173.9977728285078</v>
      </c>
      <c r="AI6" s="100">
        <v>0.009000000000000001</v>
      </c>
      <c r="AJ6" s="100">
        <v>0.772817</v>
      </c>
      <c r="AK6" s="100">
        <v>0.555556</v>
      </c>
      <c r="AL6" s="100">
        <v>0.727541</v>
      </c>
      <c r="AM6" s="100">
        <v>0.591309</v>
      </c>
      <c r="AN6" s="100">
        <v>0.637105</v>
      </c>
      <c r="AO6" s="98">
        <v>1071.826280623608</v>
      </c>
      <c r="AP6" s="158">
        <v>0.5182239151</v>
      </c>
      <c r="AQ6" s="100">
        <v>0.17532467532467533</v>
      </c>
      <c r="AR6" s="100">
        <v>0.54</v>
      </c>
      <c r="AS6" s="98">
        <v>160.07795100222717</v>
      </c>
      <c r="AT6" s="98">
        <v>187.91759465478842</v>
      </c>
      <c r="AU6" s="98">
        <v>69.59910913140311</v>
      </c>
      <c r="AV6" s="98">
        <v>125.27839643652561</v>
      </c>
      <c r="AW6" s="98">
        <v>556.7928730512249</v>
      </c>
      <c r="AX6" s="98">
        <v>396.7149220489978</v>
      </c>
      <c r="AY6" s="98">
        <v>758.630289532294</v>
      </c>
      <c r="AZ6" s="98">
        <v>382.79510022271717</v>
      </c>
      <c r="BA6" s="100" t="s">
        <v>569</v>
      </c>
      <c r="BB6" s="100" t="s">
        <v>569</v>
      </c>
      <c r="BC6" s="100" t="s">
        <v>569</v>
      </c>
      <c r="BD6" s="158">
        <v>0.4396088028</v>
      </c>
      <c r="BE6" s="158">
        <v>0.6068411255</v>
      </c>
      <c r="BF6" s="162">
        <v>2016</v>
      </c>
      <c r="BG6" s="162">
        <v>27</v>
      </c>
      <c r="BH6" s="162">
        <v>3384</v>
      </c>
      <c r="BI6" s="162">
        <v>1933</v>
      </c>
      <c r="BJ6" s="162">
        <v>981</v>
      </c>
      <c r="BK6" s="97"/>
      <c r="BL6" s="97"/>
      <c r="BM6" s="97"/>
      <c r="BN6" s="97"/>
    </row>
    <row r="7" spans="1:66" ht="12.75">
      <c r="A7" s="79" t="s">
        <v>539</v>
      </c>
      <c r="B7" s="79" t="s">
        <v>308</v>
      </c>
      <c r="C7" s="79" t="s">
        <v>251</v>
      </c>
      <c r="D7" s="99">
        <v>16673</v>
      </c>
      <c r="E7" s="99">
        <v>2264</v>
      </c>
      <c r="F7" s="99" t="s">
        <v>352</v>
      </c>
      <c r="G7" s="99">
        <v>72</v>
      </c>
      <c r="H7" s="99">
        <v>31</v>
      </c>
      <c r="I7" s="99">
        <v>259</v>
      </c>
      <c r="J7" s="99">
        <v>1735</v>
      </c>
      <c r="K7" s="99">
        <v>744</v>
      </c>
      <c r="L7" s="99">
        <v>3154</v>
      </c>
      <c r="M7" s="99">
        <v>1110</v>
      </c>
      <c r="N7" s="99">
        <v>612</v>
      </c>
      <c r="O7" s="99">
        <v>209</v>
      </c>
      <c r="P7" s="159">
        <v>209</v>
      </c>
      <c r="Q7" s="99">
        <v>26</v>
      </c>
      <c r="R7" s="99">
        <v>60</v>
      </c>
      <c r="S7" s="99">
        <v>54</v>
      </c>
      <c r="T7" s="99">
        <v>18</v>
      </c>
      <c r="U7" s="99" t="s">
        <v>569</v>
      </c>
      <c r="V7" s="99">
        <v>65</v>
      </c>
      <c r="W7" s="99">
        <v>64</v>
      </c>
      <c r="X7" s="99">
        <v>34</v>
      </c>
      <c r="Y7" s="99">
        <v>106</v>
      </c>
      <c r="Z7" s="99">
        <v>80</v>
      </c>
      <c r="AA7" s="99" t="s">
        <v>569</v>
      </c>
      <c r="AB7" s="99" t="s">
        <v>569</v>
      </c>
      <c r="AC7" s="99" t="s">
        <v>569</v>
      </c>
      <c r="AD7" s="98" t="s">
        <v>332</v>
      </c>
      <c r="AE7" s="100">
        <v>0.135788400407845</v>
      </c>
      <c r="AF7" s="100">
        <v>0.11</v>
      </c>
      <c r="AG7" s="98">
        <v>431.8359023571043</v>
      </c>
      <c r="AH7" s="98">
        <v>185.9293468481977</v>
      </c>
      <c r="AI7" s="100">
        <v>0.016</v>
      </c>
      <c r="AJ7" s="100">
        <v>0.809991</v>
      </c>
      <c r="AK7" s="100">
        <v>0.744</v>
      </c>
      <c r="AL7" s="100">
        <v>0.728743</v>
      </c>
      <c r="AM7" s="100">
        <v>0.565461</v>
      </c>
      <c r="AN7" s="100">
        <v>0.593023</v>
      </c>
      <c r="AO7" s="98">
        <v>1253.5236610088166</v>
      </c>
      <c r="AP7" s="158">
        <v>0.7105215454</v>
      </c>
      <c r="AQ7" s="100">
        <v>0.12440191387559808</v>
      </c>
      <c r="AR7" s="100">
        <v>0.43333333333333335</v>
      </c>
      <c r="AS7" s="98">
        <v>323.87692676782825</v>
      </c>
      <c r="AT7" s="98">
        <v>107.95897558927608</v>
      </c>
      <c r="AU7" s="98" t="s">
        <v>569</v>
      </c>
      <c r="AV7" s="98">
        <v>389.85185629460807</v>
      </c>
      <c r="AW7" s="98">
        <v>383.8541354285372</v>
      </c>
      <c r="AX7" s="98">
        <v>203.92250944641037</v>
      </c>
      <c r="AY7" s="98">
        <v>635.7584118035147</v>
      </c>
      <c r="AZ7" s="98">
        <v>479.81766928567146</v>
      </c>
      <c r="BA7" s="100" t="s">
        <v>569</v>
      </c>
      <c r="BB7" s="100" t="s">
        <v>569</v>
      </c>
      <c r="BC7" s="100" t="s">
        <v>569</v>
      </c>
      <c r="BD7" s="158">
        <v>0.6174528503</v>
      </c>
      <c r="BE7" s="158">
        <v>0.8136577606000001</v>
      </c>
      <c r="BF7" s="162">
        <v>2142</v>
      </c>
      <c r="BG7" s="162">
        <v>1000</v>
      </c>
      <c r="BH7" s="162">
        <v>4328</v>
      </c>
      <c r="BI7" s="162">
        <v>1963</v>
      </c>
      <c r="BJ7" s="162">
        <v>1032</v>
      </c>
      <c r="BK7" s="97"/>
      <c r="BL7" s="97"/>
      <c r="BM7" s="97"/>
      <c r="BN7" s="97"/>
    </row>
    <row r="8" spans="1:66" ht="12.75">
      <c r="A8" s="79" t="s">
        <v>553</v>
      </c>
      <c r="B8" s="79" t="s">
        <v>322</v>
      </c>
      <c r="C8" s="79" t="s">
        <v>251</v>
      </c>
      <c r="D8" s="99">
        <v>10648</v>
      </c>
      <c r="E8" s="99">
        <v>871</v>
      </c>
      <c r="F8" s="99" t="s">
        <v>352</v>
      </c>
      <c r="G8" s="99">
        <v>30</v>
      </c>
      <c r="H8" s="99">
        <v>22</v>
      </c>
      <c r="I8" s="99">
        <v>95</v>
      </c>
      <c r="J8" s="99">
        <v>636</v>
      </c>
      <c r="K8" s="99">
        <v>285</v>
      </c>
      <c r="L8" s="99">
        <v>1967</v>
      </c>
      <c r="M8" s="99">
        <v>349</v>
      </c>
      <c r="N8" s="99">
        <v>178</v>
      </c>
      <c r="O8" s="99">
        <v>82</v>
      </c>
      <c r="P8" s="159">
        <v>82</v>
      </c>
      <c r="Q8" s="99">
        <v>11</v>
      </c>
      <c r="R8" s="99">
        <v>23</v>
      </c>
      <c r="S8" s="99">
        <v>27</v>
      </c>
      <c r="T8" s="99" t="s">
        <v>569</v>
      </c>
      <c r="U8" s="99">
        <v>8</v>
      </c>
      <c r="V8" s="99">
        <v>14</v>
      </c>
      <c r="W8" s="99">
        <v>30</v>
      </c>
      <c r="X8" s="99">
        <v>26</v>
      </c>
      <c r="Y8" s="99">
        <v>44</v>
      </c>
      <c r="Z8" s="99">
        <v>46</v>
      </c>
      <c r="AA8" s="99" t="s">
        <v>569</v>
      </c>
      <c r="AB8" s="99" t="s">
        <v>569</v>
      </c>
      <c r="AC8" s="99" t="s">
        <v>569</v>
      </c>
      <c r="AD8" s="98" t="s">
        <v>332</v>
      </c>
      <c r="AE8" s="100">
        <v>0.08179939894815928</v>
      </c>
      <c r="AF8" s="100">
        <v>0.11</v>
      </c>
      <c r="AG8" s="98">
        <v>281.7430503380917</v>
      </c>
      <c r="AH8" s="98">
        <v>206.61157024793388</v>
      </c>
      <c r="AI8" s="100">
        <v>0.009000000000000001</v>
      </c>
      <c r="AJ8" s="100">
        <v>0.746479</v>
      </c>
      <c r="AK8" s="100">
        <v>0.705446</v>
      </c>
      <c r="AL8" s="100">
        <v>0.707554</v>
      </c>
      <c r="AM8" s="100">
        <v>0.532012</v>
      </c>
      <c r="AN8" s="100">
        <v>0.537764</v>
      </c>
      <c r="AO8" s="98">
        <v>770.0976709241172</v>
      </c>
      <c r="AP8" s="158">
        <v>0.5475297546</v>
      </c>
      <c r="AQ8" s="100">
        <v>0.13414634146341464</v>
      </c>
      <c r="AR8" s="100">
        <v>0.4782608695652174</v>
      </c>
      <c r="AS8" s="98">
        <v>253.5687453042825</v>
      </c>
      <c r="AT8" s="98" t="s">
        <v>569</v>
      </c>
      <c r="AU8" s="98">
        <v>75.13148009015778</v>
      </c>
      <c r="AV8" s="98">
        <v>131.48009015777612</v>
      </c>
      <c r="AW8" s="98">
        <v>281.7430503380917</v>
      </c>
      <c r="AX8" s="98">
        <v>244.17731029301277</v>
      </c>
      <c r="AY8" s="98">
        <v>413.22314049586777</v>
      </c>
      <c r="AZ8" s="98">
        <v>432.0060105184072</v>
      </c>
      <c r="BA8" s="100" t="s">
        <v>569</v>
      </c>
      <c r="BB8" s="100" t="s">
        <v>569</v>
      </c>
      <c r="BC8" s="100" t="s">
        <v>569</v>
      </c>
      <c r="BD8" s="158">
        <v>0.4354666519</v>
      </c>
      <c r="BE8" s="158">
        <v>0.6796287537000001</v>
      </c>
      <c r="BF8" s="162">
        <v>852</v>
      </c>
      <c r="BG8" s="162">
        <v>404</v>
      </c>
      <c r="BH8" s="162">
        <v>2780</v>
      </c>
      <c r="BI8" s="162">
        <v>656</v>
      </c>
      <c r="BJ8" s="162">
        <v>331</v>
      </c>
      <c r="BK8" s="97"/>
      <c r="BL8" s="97"/>
      <c r="BM8" s="97"/>
      <c r="BN8" s="97"/>
    </row>
    <row r="9" spans="1:66" ht="12.75">
      <c r="A9" s="79" t="s">
        <v>556</v>
      </c>
      <c r="B9" s="79" t="s">
        <v>325</v>
      </c>
      <c r="C9" s="79" t="s">
        <v>251</v>
      </c>
      <c r="D9" s="99">
        <v>5827</v>
      </c>
      <c r="E9" s="99">
        <v>682</v>
      </c>
      <c r="F9" s="99" t="s">
        <v>354</v>
      </c>
      <c r="G9" s="99">
        <v>20</v>
      </c>
      <c r="H9" s="99">
        <v>8</v>
      </c>
      <c r="I9" s="99">
        <v>84</v>
      </c>
      <c r="J9" s="99">
        <v>568</v>
      </c>
      <c r="K9" s="99">
        <v>290</v>
      </c>
      <c r="L9" s="99">
        <v>1296</v>
      </c>
      <c r="M9" s="99">
        <v>397</v>
      </c>
      <c r="N9" s="99">
        <v>231</v>
      </c>
      <c r="O9" s="99">
        <v>38</v>
      </c>
      <c r="P9" s="159">
        <v>38</v>
      </c>
      <c r="Q9" s="99">
        <v>13</v>
      </c>
      <c r="R9" s="99">
        <v>19</v>
      </c>
      <c r="S9" s="99">
        <v>9</v>
      </c>
      <c r="T9" s="99" t="s">
        <v>569</v>
      </c>
      <c r="U9" s="99" t="s">
        <v>569</v>
      </c>
      <c r="V9" s="99">
        <v>11</v>
      </c>
      <c r="W9" s="99">
        <v>24</v>
      </c>
      <c r="X9" s="99">
        <v>11</v>
      </c>
      <c r="Y9" s="99">
        <v>18</v>
      </c>
      <c r="Z9" s="99">
        <v>22</v>
      </c>
      <c r="AA9" s="99" t="s">
        <v>569</v>
      </c>
      <c r="AB9" s="99" t="s">
        <v>569</v>
      </c>
      <c r="AC9" s="99" t="s">
        <v>569</v>
      </c>
      <c r="AD9" s="98" t="s">
        <v>332</v>
      </c>
      <c r="AE9" s="100">
        <v>0.11704135918997768</v>
      </c>
      <c r="AF9" s="100">
        <v>0.06</v>
      </c>
      <c r="AG9" s="98">
        <v>343.2297923459756</v>
      </c>
      <c r="AH9" s="98">
        <v>137.29191693839024</v>
      </c>
      <c r="AI9" s="100">
        <v>0.013999999999999999</v>
      </c>
      <c r="AJ9" s="100">
        <v>0.777018</v>
      </c>
      <c r="AK9" s="100">
        <v>0.814607</v>
      </c>
      <c r="AL9" s="100">
        <v>0.838292</v>
      </c>
      <c r="AM9" s="100">
        <v>0.613601</v>
      </c>
      <c r="AN9" s="100">
        <v>0.650704</v>
      </c>
      <c r="AO9" s="98">
        <v>652.1366054573537</v>
      </c>
      <c r="AP9" s="158">
        <v>0.3847108078</v>
      </c>
      <c r="AQ9" s="100">
        <v>0.34210526315789475</v>
      </c>
      <c r="AR9" s="100">
        <v>0.6842105263157895</v>
      </c>
      <c r="AS9" s="98">
        <v>154.45340655568904</v>
      </c>
      <c r="AT9" s="98" t="s">
        <v>569</v>
      </c>
      <c r="AU9" s="98" t="s">
        <v>569</v>
      </c>
      <c r="AV9" s="98">
        <v>188.7763857902866</v>
      </c>
      <c r="AW9" s="98">
        <v>411.87575081517076</v>
      </c>
      <c r="AX9" s="98">
        <v>188.7763857902866</v>
      </c>
      <c r="AY9" s="98">
        <v>308.9068131113781</v>
      </c>
      <c r="AZ9" s="98">
        <v>377.5527715805732</v>
      </c>
      <c r="BA9" s="100" t="s">
        <v>569</v>
      </c>
      <c r="BB9" s="100" t="s">
        <v>569</v>
      </c>
      <c r="BC9" s="100" t="s">
        <v>569</v>
      </c>
      <c r="BD9" s="158">
        <v>0.27224426269999996</v>
      </c>
      <c r="BE9" s="158">
        <v>0.5280456161</v>
      </c>
      <c r="BF9" s="162">
        <v>731</v>
      </c>
      <c r="BG9" s="162">
        <v>356</v>
      </c>
      <c r="BH9" s="162">
        <v>1546</v>
      </c>
      <c r="BI9" s="162">
        <v>647</v>
      </c>
      <c r="BJ9" s="162">
        <v>355</v>
      </c>
      <c r="BK9" s="97"/>
      <c r="BL9" s="97"/>
      <c r="BM9" s="97"/>
      <c r="BN9" s="97"/>
    </row>
    <row r="10" spans="1:66" ht="12.75">
      <c r="A10" s="79" t="s">
        <v>558</v>
      </c>
      <c r="B10" s="79" t="s">
        <v>327</v>
      </c>
      <c r="C10" s="79" t="s">
        <v>251</v>
      </c>
      <c r="D10" s="99">
        <v>3423</v>
      </c>
      <c r="E10" s="99">
        <v>620</v>
      </c>
      <c r="F10" s="99" t="s">
        <v>354</v>
      </c>
      <c r="G10" s="99">
        <v>22</v>
      </c>
      <c r="H10" s="99" t="s">
        <v>569</v>
      </c>
      <c r="I10" s="99">
        <v>59</v>
      </c>
      <c r="J10" s="99">
        <v>422</v>
      </c>
      <c r="K10" s="99">
        <v>37</v>
      </c>
      <c r="L10" s="99">
        <v>639</v>
      </c>
      <c r="M10" s="99">
        <v>320</v>
      </c>
      <c r="N10" s="99">
        <v>181</v>
      </c>
      <c r="O10" s="99">
        <v>48</v>
      </c>
      <c r="P10" s="159">
        <v>48</v>
      </c>
      <c r="Q10" s="99" t="s">
        <v>569</v>
      </c>
      <c r="R10" s="99">
        <v>11</v>
      </c>
      <c r="S10" s="99">
        <v>9</v>
      </c>
      <c r="T10" s="99" t="s">
        <v>569</v>
      </c>
      <c r="U10" s="99" t="s">
        <v>569</v>
      </c>
      <c r="V10" s="99">
        <v>24</v>
      </c>
      <c r="W10" s="99">
        <v>8</v>
      </c>
      <c r="X10" s="99">
        <v>7</v>
      </c>
      <c r="Y10" s="99">
        <v>12</v>
      </c>
      <c r="Z10" s="99">
        <v>13</v>
      </c>
      <c r="AA10" s="99" t="s">
        <v>569</v>
      </c>
      <c r="AB10" s="99" t="s">
        <v>569</v>
      </c>
      <c r="AC10" s="99" t="s">
        <v>569</v>
      </c>
      <c r="AD10" s="98" t="s">
        <v>332</v>
      </c>
      <c r="AE10" s="100">
        <v>0.18112766579024248</v>
      </c>
      <c r="AF10" s="100">
        <v>0.08</v>
      </c>
      <c r="AG10" s="98">
        <v>642.7110721589249</v>
      </c>
      <c r="AH10" s="98" t="s">
        <v>569</v>
      </c>
      <c r="AI10" s="100">
        <v>0.017</v>
      </c>
      <c r="AJ10" s="100">
        <v>0.816248</v>
      </c>
      <c r="AK10" s="100">
        <v>0.880952</v>
      </c>
      <c r="AL10" s="100">
        <v>0.78022</v>
      </c>
      <c r="AM10" s="100">
        <v>0.668058</v>
      </c>
      <c r="AN10" s="100">
        <v>0.67037</v>
      </c>
      <c r="AO10" s="98">
        <v>1402.2787028921998</v>
      </c>
      <c r="AP10" s="158">
        <v>0.685736618</v>
      </c>
      <c r="AQ10" s="100" t="s">
        <v>569</v>
      </c>
      <c r="AR10" s="100" t="s">
        <v>569</v>
      </c>
      <c r="AS10" s="98">
        <v>262.9272567922875</v>
      </c>
      <c r="AT10" s="98" t="s">
        <v>569</v>
      </c>
      <c r="AU10" s="98" t="s">
        <v>569</v>
      </c>
      <c r="AV10" s="98">
        <v>701.1393514460999</v>
      </c>
      <c r="AW10" s="98">
        <v>233.71311714869998</v>
      </c>
      <c r="AX10" s="98">
        <v>204.49897750511246</v>
      </c>
      <c r="AY10" s="98">
        <v>350.56967572304995</v>
      </c>
      <c r="AZ10" s="98">
        <v>379.78381536663744</v>
      </c>
      <c r="BA10" s="100" t="s">
        <v>569</v>
      </c>
      <c r="BB10" s="100" t="s">
        <v>569</v>
      </c>
      <c r="BC10" s="100" t="s">
        <v>569</v>
      </c>
      <c r="BD10" s="158">
        <v>0.5056080627</v>
      </c>
      <c r="BE10" s="158">
        <v>0.9091872406</v>
      </c>
      <c r="BF10" s="162">
        <v>517</v>
      </c>
      <c r="BG10" s="162">
        <v>42</v>
      </c>
      <c r="BH10" s="162">
        <v>819</v>
      </c>
      <c r="BI10" s="162">
        <v>479</v>
      </c>
      <c r="BJ10" s="162">
        <v>270</v>
      </c>
      <c r="BK10" s="97"/>
      <c r="BL10" s="97"/>
      <c r="BM10" s="97"/>
      <c r="BN10" s="97"/>
    </row>
    <row r="11" spans="1:66" ht="12.75">
      <c r="A11" s="79" t="s">
        <v>536</v>
      </c>
      <c r="B11" s="79" t="s">
        <v>305</v>
      </c>
      <c r="C11" s="79" t="s">
        <v>251</v>
      </c>
      <c r="D11" s="99">
        <v>9658</v>
      </c>
      <c r="E11" s="99">
        <v>2160</v>
      </c>
      <c r="F11" s="99" t="s">
        <v>352</v>
      </c>
      <c r="G11" s="99">
        <v>66</v>
      </c>
      <c r="H11" s="99">
        <v>23</v>
      </c>
      <c r="I11" s="99">
        <v>153</v>
      </c>
      <c r="J11" s="99">
        <v>1145</v>
      </c>
      <c r="K11" s="99">
        <v>19</v>
      </c>
      <c r="L11" s="99">
        <v>1753</v>
      </c>
      <c r="M11" s="99">
        <v>924</v>
      </c>
      <c r="N11" s="99">
        <v>475</v>
      </c>
      <c r="O11" s="99">
        <v>119</v>
      </c>
      <c r="P11" s="159">
        <v>119</v>
      </c>
      <c r="Q11" s="99">
        <v>18</v>
      </c>
      <c r="R11" s="99">
        <v>39</v>
      </c>
      <c r="S11" s="99">
        <v>33</v>
      </c>
      <c r="T11" s="99">
        <v>12</v>
      </c>
      <c r="U11" s="99" t="s">
        <v>569</v>
      </c>
      <c r="V11" s="99">
        <v>37</v>
      </c>
      <c r="W11" s="99">
        <v>38</v>
      </c>
      <c r="X11" s="99">
        <v>24</v>
      </c>
      <c r="Y11" s="99">
        <v>75</v>
      </c>
      <c r="Z11" s="99">
        <v>78</v>
      </c>
      <c r="AA11" s="99" t="s">
        <v>569</v>
      </c>
      <c r="AB11" s="99" t="s">
        <v>569</v>
      </c>
      <c r="AC11" s="99" t="s">
        <v>569</v>
      </c>
      <c r="AD11" s="98" t="s">
        <v>332</v>
      </c>
      <c r="AE11" s="100">
        <v>0.22364878856906192</v>
      </c>
      <c r="AF11" s="100">
        <v>0.11</v>
      </c>
      <c r="AG11" s="98">
        <v>683.371298405467</v>
      </c>
      <c r="AH11" s="98">
        <v>238.14454338372335</v>
      </c>
      <c r="AI11" s="100">
        <v>0.016</v>
      </c>
      <c r="AJ11" s="100">
        <v>0.746902</v>
      </c>
      <c r="AK11" s="100">
        <v>0.791667</v>
      </c>
      <c r="AL11" s="100">
        <v>0.787865</v>
      </c>
      <c r="AM11" s="100">
        <v>0.59383</v>
      </c>
      <c r="AN11" s="100">
        <v>0.602028</v>
      </c>
      <c r="AO11" s="98">
        <v>1232.1391592462207</v>
      </c>
      <c r="AP11" s="158">
        <v>0.5608366394000001</v>
      </c>
      <c r="AQ11" s="100">
        <v>0.15126050420168066</v>
      </c>
      <c r="AR11" s="100">
        <v>0.46153846153846156</v>
      </c>
      <c r="AS11" s="98">
        <v>341.6856492027335</v>
      </c>
      <c r="AT11" s="98">
        <v>124.24932698281218</v>
      </c>
      <c r="AU11" s="98" t="s">
        <v>569</v>
      </c>
      <c r="AV11" s="98">
        <v>383.10209153033753</v>
      </c>
      <c r="AW11" s="98">
        <v>393.45620211223854</v>
      </c>
      <c r="AX11" s="98">
        <v>248.49865396562436</v>
      </c>
      <c r="AY11" s="98">
        <v>776.5582936425761</v>
      </c>
      <c r="AZ11" s="98">
        <v>807.6206253882791</v>
      </c>
      <c r="BA11" s="101" t="s">
        <v>569</v>
      </c>
      <c r="BB11" s="101" t="s">
        <v>569</v>
      </c>
      <c r="BC11" s="101" t="s">
        <v>569</v>
      </c>
      <c r="BD11" s="158">
        <v>0.4646066666</v>
      </c>
      <c r="BE11" s="158">
        <v>0.671124649</v>
      </c>
      <c r="BF11" s="162">
        <v>1533</v>
      </c>
      <c r="BG11" s="162">
        <v>24</v>
      </c>
      <c r="BH11" s="162">
        <v>2225</v>
      </c>
      <c r="BI11" s="162">
        <v>1556</v>
      </c>
      <c r="BJ11" s="162">
        <v>789</v>
      </c>
      <c r="BK11" s="97"/>
      <c r="BL11" s="97"/>
      <c r="BM11" s="97"/>
      <c r="BN11" s="97"/>
    </row>
    <row r="12" spans="1:66" ht="12.75">
      <c r="A12" s="79" t="s">
        <v>542</v>
      </c>
      <c r="B12" s="79" t="s">
        <v>311</v>
      </c>
      <c r="C12" s="79" t="s">
        <v>251</v>
      </c>
      <c r="D12" s="99">
        <v>1806</v>
      </c>
      <c r="E12" s="99">
        <v>396</v>
      </c>
      <c r="F12" s="99" t="s">
        <v>352</v>
      </c>
      <c r="G12" s="99">
        <v>14</v>
      </c>
      <c r="H12" s="99" t="s">
        <v>569</v>
      </c>
      <c r="I12" s="99">
        <v>16</v>
      </c>
      <c r="J12" s="99">
        <v>212</v>
      </c>
      <c r="K12" s="99">
        <v>8</v>
      </c>
      <c r="L12" s="99">
        <v>331</v>
      </c>
      <c r="M12" s="99">
        <v>147</v>
      </c>
      <c r="N12" s="99">
        <v>76</v>
      </c>
      <c r="O12" s="99">
        <v>22</v>
      </c>
      <c r="P12" s="159">
        <v>22</v>
      </c>
      <c r="Q12" s="99" t="s">
        <v>569</v>
      </c>
      <c r="R12" s="99">
        <v>8</v>
      </c>
      <c r="S12" s="99" t="s">
        <v>569</v>
      </c>
      <c r="T12" s="99" t="s">
        <v>569</v>
      </c>
      <c r="U12" s="99" t="s">
        <v>569</v>
      </c>
      <c r="V12" s="99" t="s">
        <v>569</v>
      </c>
      <c r="W12" s="99">
        <v>11</v>
      </c>
      <c r="X12" s="99" t="s">
        <v>569</v>
      </c>
      <c r="Y12" s="99">
        <v>20</v>
      </c>
      <c r="Z12" s="99">
        <v>9</v>
      </c>
      <c r="AA12" s="99" t="s">
        <v>569</v>
      </c>
      <c r="AB12" s="99" t="s">
        <v>569</v>
      </c>
      <c r="AC12" s="99" t="s">
        <v>569</v>
      </c>
      <c r="AD12" s="98" t="s">
        <v>332</v>
      </c>
      <c r="AE12" s="100">
        <v>0.21926910299003322</v>
      </c>
      <c r="AF12" s="100">
        <v>0.09</v>
      </c>
      <c r="AG12" s="98">
        <v>775.1937984496124</v>
      </c>
      <c r="AH12" s="98" t="s">
        <v>569</v>
      </c>
      <c r="AI12" s="100">
        <v>0.009000000000000001</v>
      </c>
      <c r="AJ12" s="100">
        <v>0.788104</v>
      </c>
      <c r="AK12" s="100">
        <v>0.666667</v>
      </c>
      <c r="AL12" s="100">
        <v>0.79759</v>
      </c>
      <c r="AM12" s="100">
        <v>0.576471</v>
      </c>
      <c r="AN12" s="100">
        <v>0.575758</v>
      </c>
      <c r="AO12" s="98">
        <v>1218.1616832779623</v>
      </c>
      <c r="AP12" s="158">
        <v>0.5457337189</v>
      </c>
      <c r="AQ12" s="100" t="s">
        <v>569</v>
      </c>
      <c r="AR12" s="100" t="s">
        <v>569</v>
      </c>
      <c r="AS12" s="98" t="s">
        <v>569</v>
      </c>
      <c r="AT12" s="98" t="s">
        <v>569</v>
      </c>
      <c r="AU12" s="98" t="s">
        <v>569</v>
      </c>
      <c r="AV12" s="98" t="s">
        <v>569</v>
      </c>
      <c r="AW12" s="98">
        <v>609.0808416389812</v>
      </c>
      <c r="AX12" s="98" t="s">
        <v>569</v>
      </c>
      <c r="AY12" s="98">
        <v>1107.4197120708748</v>
      </c>
      <c r="AZ12" s="98">
        <v>498.33887043189367</v>
      </c>
      <c r="BA12" s="100" t="s">
        <v>569</v>
      </c>
      <c r="BB12" s="100" t="s">
        <v>569</v>
      </c>
      <c r="BC12" s="100" t="s">
        <v>569</v>
      </c>
      <c r="BD12" s="158">
        <v>0.3420084</v>
      </c>
      <c r="BE12" s="158">
        <v>0.8262474059999999</v>
      </c>
      <c r="BF12" s="162">
        <v>269</v>
      </c>
      <c r="BG12" s="162">
        <v>12</v>
      </c>
      <c r="BH12" s="162">
        <v>415</v>
      </c>
      <c r="BI12" s="162">
        <v>255</v>
      </c>
      <c r="BJ12" s="162">
        <v>132</v>
      </c>
      <c r="BK12" s="97"/>
      <c r="BL12" s="97"/>
      <c r="BM12" s="97"/>
      <c r="BN12" s="97"/>
    </row>
    <row r="13" spans="1:66" ht="12.75">
      <c r="A13" s="79" t="s">
        <v>550</v>
      </c>
      <c r="B13" s="79" t="s">
        <v>319</v>
      </c>
      <c r="C13" s="79" t="s">
        <v>251</v>
      </c>
      <c r="D13" s="99">
        <v>4133</v>
      </c>
      <c r="E13" s="99">
        <v>366</v>
      </c>
      <c r="F13" s="99" t="s">
        <v>354</v>
      </c>
      <c r="G13" s="99">
        <v>11</v>
      </c>
      <c r="H13" s="99" t="s">
        <v>569</v>
      </c>
      <c r="I13" s="99">
        <v>46</v>
      </c>
      <c r="J13" s="99">
        <v>304</v>
      </c>
      <c r="K13" s="99">
        <v>118</v>
      </c>
      <c r="L13" s="99">
        <v>886</v>
      </c>
      <c r="M13" s="99">
        <v>175</v>
      </c>
      <c r="N13" s="99">
        <v>90</v>
      </c>
      <c r="O13" s="99">
        <v>51</v>
      </c>
      <c r="P13" s="159">
        <v>51</v>
      </c>
      <c r="Q13" s="99" t="s">
        <v>569</v>
      </c>
      <c r="R13" s="99">
        <v>11</v>
      </c>
      <c r="S13" s="99">
        <v>13</v>
      </c>
      <c r="T13" s="99">
        <v>7</v>
      </c>
      <c r="U13" s="99" t="s">
        <v>569</v>
      </c>
      <c r="V13" s="99">
        <v>9</v>
      </c>
      <c r="W13" s="99">
        <v>20</v>
      </c>
      <c r="X13" s="99">
        <v>15</v>
      </c>
      <c r="Y13" s="99">
        <v>29</v>
      </c>
      <c r="Z13" s="99">
        <v>13</v>
      </c>
      <c r="AA13" s="99" t="s">
        <v>569</v>
      </c>
      <c r="AB13" s="99" t="s">
        <v>569</v>
      </c>
      <c r="AC13" s="99" t="s">
        <v>569</v>
      </c>
      <c r="AD13" s="98" t="s">
        <v>332</v>
      </c>
      <c r="AE13" s="100">
        <v>0.08855552867166706</v>
      </c>
      <c r="AF13" s="100">
        <v>0.06</v>
      </c>
      <c r="AG13" s="98">
        <v>266.15049600774256</v>
      </c>
      <c r="AH13" s="98" t="s">
        <v>569</v>
      </c>
      <c r="AI13" s="100">
        <v>0.011000000000000001</v>
      </c>
      <c r="AJ13" s="100">
        <v>0.8</v>
      </c>
      <c r="AK13" s="100">
        <v>0.75641</v>
      </c>
      <c r="AL13" s="100">
        <v>0.761168</v>
      </c>
      <c r="AM13" s="100">
        <v>0.589226</v>
      </c>
      <c r="AN13" s="100">
        <v>0.638298</v>
      </c>
      <c r="AO13" s="98">
        <v>1233.9704814904428</v>
      </c>
      <c r="AP13" s="158">
        <v>0.8359981537</v>
      </c>
      <c r="AQ13" s="100" t="s">
        <v>569</v>
      </c>
      <c r="AR13" s="100" t="s">
        <v>569</v>
      </c>
      <c r="AS13" s="98">
        <v>314.5414952818776</v>
      </c>
      <c r="AT13" s="98">
        <v>169.36849745947254</v>
      </c>
      <c r="AU13" s="98" t="s">
        <v>569</v>
      </c>
      <c r="AV13" s="98">
        <v>217.75949673360756</v>
      </c>
      <c r="AW13" s="98">
        <v>483.9099927413501</v>
      </c>
      <c r="AX13" s="98">
        <v>362.93249455601256</v>
      </c>
      <c r="AY13" s="98">
        <v>701.6694894749577</v>
      </c>
      <c r="AZ13" s="98">
        <v>314.5414952818776</v>
      </c>
      <c r="BA13" s="100" t="s">
        <v>569</v>
      </c>
      <c r="BB13" s="100" t="s">
        <v>569</v>
      </c>
      <c r="BC13" s="100" t="s">
        <v>569</v>
      </c>
      <c r="BD13" s="158">
        <v>0.6224555588</v>
      </c>
      <c r="BE13" s="158">
        <v>1.099183197</v>
      </c>
      <c r="BF13" s="162">
        <v>380</v>
      </c>
      <c r="BG13" s="162">
        <v>156</v>
      </c>
      <c r="BH13" s="162">
        <v>1164</v>
      </c>
      <c r="BI13" s="162">
        <v>297</v>
      </c>
      <c r="BJ13" s="162">
        <v>141</v>
      </c>
      <c r="BK13" s="97"/>
      <c r="BL13" s="97"/>
      <c r="BM13" s="97"/>
      <c r="BN13" s="97"/>
    </row>
    <row r="14" spans="1:66" ht="12.75">
      <c r="A14" s="79" t="s">
        <v>552</v>
      </c>
      <c r="B14" s="79" t="s">
        <v>321</v>
      </c>
      <c r="C14" s="79" t="s">
        <v>251</v>
      </c>
      <c r="D14" s="99">
        <v>3116</v>
      </c>
      <c r="E14" s="99">
        <v>321</v>
      </c>
      <c r="F14" s="99" t="s">
        <v>354</v>
      </c>
      <c r="G14" s="99" t="s">
        <v>569</v>
      </c>
      <c r="H14" s="99" t="s">
        <v>569</v>
      </c>
      <c r="I14" s="99">
        <v>36</v>
      </c>
      <c r="J14" s="99">
        <v>254</v>
      </c>
      <c r="K14" s="99">
        <v>123</v>
      </c>
      <c r="L14" s="99">
        <v>608</v>
      </c>
      <c r="M14" s="99">
        <v>132</v>
      </c>
      <c r="N14" s="99">
        <v>77</v>
      </c>
      <c r="O14" s="99">
        <v>33</v>
      </c>
      <c r="P14" s="159">
        <v>33</v>
      </c>
      <c r="Q14" s="99">
        <v>7</v>
      </c>
      <c r="R14" s="99">
        <v>10</v>
      </c>
      <c r="S14" s="99">
        <v>6</v>
      </c>
      <c r="T14" s="99" t="s">
        <v>569</v>
      </c>
      <c r="U14" s="99" t="s">
        <v>569</v>
      </c>
      <c r="V14" s="99" t="s">
        <v>569</v>
      </c>
      <c r="W14" s="99">
        <v>10</v>
      </c>
      <c r="X14" s="99">
        <v>8</v>
      </c>
      <c r="Y14" s="99">
        <v>11</v>
      </c>
      <c r="Z14" s="99">
        <v>8</v>
      </c>
      <c r="AA14" s="99" t="s">
        <v>569</v>
      </c>
      <c r="AB14" s="99" t="s">
        <v>569</v>
      </c>
      <c r="AC14" s="99" t="s">
        <v>569</v>
      </c>
      <c r="AD14" s="98" t="s">
        <v>332</v>
      </c>
      <c r="AE14" s="100">
        <v>0.10301668806161746</v>
      </c>
      <c r="AF14" s="100">
        <v>0.06</v>
      </c>
      <c r="AG14" s="98" t="s">
        <v>569</v>
      </c>
      <c r="AH14" s="98" t="s">
        <v>569</v>
      </c>
      <c r="AI14" s="100">
        <v>0.012</v>
      </c>
      <c r="AJ14" s="100">
        <v>0.747059</v>
      </c>
      <c r="AK14" s="100">
        <v>0.809211</v>
      </c>
      <c r="AL14" s="100">
        <v>0.768647</v>
      </c>
      <c r="AM14" s="100">
        <v>0.483516</v>
      </c>
      <c r="AN14" s="100">
        <v>0.534722</v>
      </c>
      <c r="AO14" s="98">
        <v>1059.0500641848523</v>
      </c>
      <c r="AP14" s="158">
        <v>0.6538459778</v>
      </c>
      <c r="AQ14" s="100">
        <v>0.21212121212121213</v>
      </c>
      <c r="AR14" s="100">
        <v>0.7</v>
      </c>
      <c r="AS14" s="98">
        <v>192.55455712451862</v>
      </c>
      <c r="AT14" s="98" t="s">
        <v>569</v>
      </c>
      <c r="AU14" s="98" t="s">
        <v>569</v>
      </c>
      <c r="AV14" s="98" t="s">
        <v>569</v>
      </c>
      <c r="AW14" s="98">
        <v>320.92426187419767</v>
      </c>
      <c r="AX14" s="98">
        <v>256.73940949935815</v>
      </c>
      <c r="AY14" s="98">
        <v>353.01668806161746</v>
      </c>
      <c r="AZ14" s="98">
        <v>256.73940949935815</v>
      </c>
      <c r="BA14" s="100" t="s">
        <v>569</v>
      </c>
      <c r="BB14" s="100" t="s">
        <v>569</v>
      </c>
      <c r="BC14" s="100" t="s">
        <v>569</v>
      </c>
      <c r="BD14" s="158">
        <v>0.4500775146</v>
      </c>
      <c r="BE14" s="158">
        <v>0.9182428740999999</v>
      </c>
      <c r="BF14" s="162">
        <v>340</v>
      </c>
      <c r="BG14" s="162">
        <v>152</v>
      </c>
      <c r="BH14" s="162">
        <v>791</v>
      </c>
      <c r="BI14" s="162">
        <v>273</v>
      </c>
      <c r="BJ14" s="162">
        <v>144</v>
      </c>
      <c r="BK14" s="97"/>
      <c r="BL14" s="97"/>
      <c r="BM14" s="97"/>
      <c r="BN14" s="97"/>
    </row>
    <row r="15" spans="1:66" ht="12.75">
      <c r="A15" s="79" t="s">
        <v>549</v>
      </c>
      <c r="B15" s="79" t="s">
        <v>318</v>
      </c>
      <c r="C15" s="79" t="s">
        <v>251</v>
      </c>
      <c r="D15" s="99">
        <v>1824</v>
      </c>
      <c r="E15" s="99">
        <v>300</v>
      </c>
      <c r="F15" s="99" t="s">
        <v>353</v>
      </c>
      <c r="G15" s="99">
        <v>13</v>
      </c>
      <c r="H15" s="99">
        <v>7</v>
      </c>
      <c r="I15" s="99">
        <v>25</v>
      </c>
      <c r="J15" s="99">
        <v>186</v>
      </c>
      <c r="K15" s="99">
        <v>8</v>
      </c>
      <c r="L15" s="99">
        <v>311</v>
      </c>
      <c r="M15" s="99">
        <v>126</v>
      </c>
      <c r="N15" s="99">
        <v>68</v>
      </c>
      <c r="O15" s="99">
        <v>22</v>
      </c>
      <c r="P15" s="159">
        <v>22</v>
      </c>
      <c r="Q15" s="99" t="s">
        <v>569</v>
      </c>
      <c r="R15" s="99" t="s">
        <v>569</v>
      </c>
      <c r="S15" s="99">
        <v>8</v>
      </c>
      <c r="T15" s="99" t="s">
        <v>569</v>
      </c>
      <c r="U15" s="99" t="s">
        <v>569</v>
      </c>
      <c r="V15" s="99" t="s">
        <v>569</v>
      </c>
      <c r="W15" s="99">
        <v>10</v>
      </c>
      <c r="X15" s="99" t="s">
        <v>569</v>
      </c>
      <c r="Y15" s="99">
        <v>16</v>
      </c>
      <c r="Z15" s="99">
        <v>10</v>
      </c>
      <c r="AA15" s="99" t="s">
        <v>569</v>
      </c>
      <c r="AB15" s="99" t="s">
        <v>569</v>
      </c>
      <c r="AC15" s="99" t="s">
        <v>569</v>
      </c>
      <c r="AD15" s="98" t="s">
        <v>332</v>
      </c>
      <c r="AE15" s="100">
        <v>0.16447368421052633</v>
      </c>
      <c r="AF15" s="100">
        <v>0.13</v>
      </c>
      <c r="AG15" s="98">
        <v>712.719298245614</v>
      </c>
      <c r="AH15" s="98">
        <v>383.7719298245614</v>
      </c>
      <c r="AI15" s="100">
        <v>0.013999999999999999</v>
      </c>
      <c r="AJ15" s="100">
        <v>0.756098</v>
      </c>
      <c r="AK15" s="100">
        <v>0.666667</v>
      </c>
      <c r="AL15" s="100">
        <v>0.714943</v>
      </c>
      <c r="AM15" s="100">
        <v>0.56</v>
      </c>
      <c r="AN15" s="100">
        <v>0.581197</v>
      </c>
      <c r="AO15" s="98">
        <v>1206.140350877193</v>
      </c>
      <c r="AP15" s="158">
        <v>0.6327103424</v>
      </c>
      <c r="AQ15" s="100" t="s">
        <v>569</v>
      </c>
      <c r="AR15" s="100" t="s">
        <v>569</v>
      </c>
      <c r="AS15" s="98">
        <v>438.5964912280702</v>
      </c>
      <c r="AT15" s="98" t="s">
        <v>569</v>
      </c>
      <c r="AU15" s="98" t="s">
        <v>569</v>
      </c>
      <c r="AV15" s="98" t="s">
        <v>569</v>
      </c>
      <c r="AW15" s="98">
        <v>548.2456140350877</v>
      </c>
      <c r="AX15" s="98" t="s">
        <v>569</v>
      </c>
      <c r="AY15" s="98">
        <v>877.1929824561404</v>
      </c>
      <c r="AZ15" s="98">
        <v>548.2456140350877</v>
      </c>
      <c r="BA15" s="100" t="s">
        <v>569</v>
      </c>
      <c r="BB15" s="100" t="s">
        <v>569</v>
      </c>
      <c r="BC15" s="100" t="s">
        <v>569</v>
      </c>
      <c r="BD15" s="158">
        <v>0.3965161896</v>
      </c>
      <c r="BE15" s="158">
        <v>0.9579310608</v>
      </c>
      <c r="BF15" s="162">
        <v>246</v>
      </c>
      <c r="BG15" s="162">
        <v>12</v>
      </c>
      <c r="BH15" s="162">
        <v>435</v>
      </c>
      <c r="BI15" s="162">
        <v>225</v>
      </c>
      <c r="BJ15" s="162">
        <v>117</v>
      </c>
      <c r="BK15" s="97"/>
      <c r="BL15" s="97"/>
      <c r="BM15" s="97"/>
      <c r="BN15" s="97"/>
    </row>
    <row r="16" spans="1:66" ht="12.75">
      <c r="A16" s="79" t="s">
        <v>531</v>
      </c>
      <c r="B16" s="79" t="s">
        <v>299</v>
      </c>
      <c r="C16" s="79" t="s">
        <v>251</v>
      </c>
      <c r="D16" s="99">
        <v>11735</v>
      </c>
      <c r="E16" s="99">
        <v>2492</v>
      </c>
      <c r="F16" s="99" t="s">
        <v>354</v>
      </c>
      <c r="G16" s="99">
        <v>56</v>
      </c>
      <c r="H16" s="99">
        <v>44</v>
      </c>
      <c r="I16" s="99">
        <v>218</v>
      </c>
      <c r="J16" s="99">
        <v>1398</v>
      </c>
      <c r="K16" s="99">
        <v>1053</v>
      </c>
      <c r="L16" s="99">
        <v>2172</v>
      </c>
      <c r="M16" s="99">
        <v>1156</v>
      </c>
      <c r="N16" s="99">
        <v>628</v>
      </c>
      <c r="O16" s="99">
        <v>190</v>
      </c>
      <c r="P16" s="159">
        <v>190</v>
      </c>
      <c r="Q16" s="99">
        <v>28</v>
      </c>
      <c r="R16" s="99">
        <v>61</v>
      </c>
      <c r="S16" s="99">
        <v>51</v>
      </c>
      <c r="T16" s="99">
        <v>27</v>
      </c>
      <c r="U16" s="99">
        <v>7</v>
      </c>
      <c r="V16" s="99">
        <v>34</v>
      </c>
      <c r="W16" s="99">
        <v>50</v>
      </c>
      <c r="X16" s="99">
        <v>35</v>
      </c>
      <c r="Y16" s="99">
        <v>76</v>
      </c>
      <c r="Z16" s="99">
        <v>46</v>
      </c>
      <c r="AA16" s="99" t="s">
        <v>569</v>
      </c>
      <c r="AB16" s="99" t="s">
        <v>569</v>
      </c>
      <c r="AC16" s="99" t="s">
        <v>569</v>
      </c>
      <c r="AD16" s="98" t="s">
        <v>332</v>
      </c>
      <c r="AE16" s="100">
        <v>0.21235619940349382</v>
      </c>
      <c r="AF16" s="100">
        <v>0.06</v>
      </c>
      <c r="AG16" s="98">
        <v>477.20494247976137</v>
      </c>
      <c r="AH16" s="98">
        <v>374.9467405198125</v>
      </c>
      <c r="AI16" s="100">
        <v>0.019</v>
      </c>
      <c r="AJ16" s="100">
        <v>0.783632</v>
      </c>
      <c r="AK16" s="100">
        <v>0.797123</v>
      </c>
      <c r="AL16" s="100">
        <v>0.795313</v>
      </c>
      <c r="AM16" s="100">
        <v>0.62419</v>
      </c>
      <c r="AN16" s="100">
        <v>0.659664</v>
      </c>
      <c r="AO16" s="98">
        <v>1619.0881976991905</v>
      </c>
      <c r="AP16" s="158">
        <v>0.7518814087</v>
      </c>
      <c r="AQ16" s="100">
        <v>0.14736842105263157</v>
      </c>
      <c r="AR16" s="100">
        <v>0.45901639344262296</v>
      </c>
      <c r="AS16" s="98">
        <v>434.5973583297827</v>
      </c>
      <c r="AT16" s="98">
        <v>230.08095440988495</v>
      </c>
      <c r="AU16" s="98">
        <v>59.65061780997017</v>
      </c>
      <c r="AV16" s="98">
        <v>289.73157221985514</v>
      </c>
      <c r="AW16" s="98">
        <v>426.075841499787</v>
      </c>
      <c r="AX16" s="98">
        <v>298.25308904985087</v>
      </c>
      <c r="AY16" s="98">
        <v>647.6352790796761</v>
      </c>
      <c r="AZ16" s="98">
        <v>391.989774179804</v>
      </c>
      <c r="BA16" s="100" t="s">
        <v>569</v>
      </c>
      <c r="BB16" s="100" t="s">
        <v>569</v>
      </c>
      <c r="BC16" s="100" t="s">
        <v>569</v>
      </c>
      <c r="BD16" s="158">
        <v>0.648766861</v>
      </c>
      <c r="BE16" s="158">
        <v>0.8667277527</v>
      </c>
      <c r="BF16" s="162">
        <v>1784</v>
      </c>
      <c r="BG16" s="162">
        <v>1321</v>
      </c>
      <c r="BH16" s="162">
        <v>2731</v>
      </c>
      <c r="BI16" s="162">
        <v>1852</v>
      </c>
      <c r="BJ16" s="162">
        <v>952</v>
      </c>
      <c r="BK16" s="97"/>
      <c r="BL16" s="97"/>
      <c r="BM16" s="97"/>
      <c r="BN16" s="97"/>
    </row>
    <row r="17" spans="1:66" ht="12.75">
      <c r="A17" s="79" t="s">
        <v>518</v>
      </c>
      <c r="B17" s="79" t="s">
        <v>286</v>
      </c>
      <c r="C17" s="79" t="s">
        <v>251</v>
      </c>
      <c r="D17" s="99">
        <v>5902</v>
      </c>
      <c r="E17" s="99">
        <v>891</v>
      </c>
      <c r="F17" s="99" t="s">
        <v>352</v>
      </c>
      <c r="G17" s="99">
        <v>25</v>
      </c>
      <c r="H17" s="99">
        <v>6</v>
      </c>
      <c r="I17" s="99">
        <v>98</v>
      </c>
      <c r="J17" s="99">
        <v>533</v>
      </c>
      <c r="K17" s="99">
        <v>131</v>
      </c>
      <c r="L17" s="99">
        <v>1116</v>
      </c>
      <c r="M17" s="99">
        <v>339</v>
      </c>
      <c r="N17" s="99">
        <v>174</v>
      </c>
      <c r="O17" s="99">
        <v>101</v>
      </c>
      <c r="P17" s="159">
        <v>101</v>
      </c>
      <c r="Q17" s="99">
        <v>10</v>
      </c>
      <c r="R17" s="99">
        <v>18</v>
      </c>
      <c r="S17" s="99">
        <v>21</v>
      </c>
      <c r="T17" s="99">
        <v>13</v>
      </c>
      <c r="U17" s="99" t="s">
        <v>569</v>
      </c>
      <c r="V17" s="99">
        <v>30</v>
      </c>
      <c r="W17" s="99">
        <v>23</v>
      </c>
      <c r="X17" s="99">
        <v>16</v>
      </c>
      <c r="Y17" s="99">
        <v>29</v>
      </c>
      <c r="Z17" s="99">
        <v>14</v>
      </c>
      <c r="AA17" s="99" t="s">
        <v>569</v>
      </c>
      <c r="AB17" s="99" t="s">
        <v>569</v>
      </c>
      <c r="AC17" s="99" t="s">
        <v>569</v>
      </c>
      <c r="AD17" s="98" t="s">
        <v>332</v>
      </c>
      <c r="AE17" s="100">
        <v>0.15096577431379193</v>
      </c>
      <c r="AF17" s="100">
        <v>0.11</v>
      </c>
      <c r="AG17" s="98">
        <v>423.5852253473399</v>
      </c>
      <c r="AH17" s="98">
        <v>101.66045408336157</v>
      </c>
      <c r="AI17" s="100">
        <v>0.017</v>
      </c>
      <c r="AJ17" s="100">
        <v>0.778102</v>
      </c>
      <c r="AK17" s="100">
        <v>0.735955</v>
      </c>
      <c r="AL17" s="100">
        <v>0.774462</v>
      </c>
      <c r="AM17" s="100">
        <v>0.586505</v>
      </c>
      <c r="AN17" s="100">
        <v>0.621429</v>
      </c>
      <c r="AO17" s="98">
        <v>1711.2843104032531</v>
      </c>
      <c r="AP17" s="158">
        <v>0.9330932617000001</v>
      </c>
      <c r="AQ17" s="100">
        <v>0.09900990099009901</v>
      </c>
      <c r="AR17" s="100">
        <v>0.5555555555555556</v>
      </c>
      <c r="AS17" s="98">
        <v>355.81158929176553</v>
      </c>
      <c r="AT17" s="98">
        <v>220.26431718061673</v>
      </c>
      <c r="AU17" s="98" t="s">
        <v>569</v>
      </c>
      <c r="AV17" s="98">
        <v>508.30227041680786</v>
      </c>
      <c r="AW17" s="98">
        <v>389.6984073195527</v>
      </c>
      <c r="AX17" s="98">
        <v>271.09454422229754</v>
      </c>
      <c r="AY17" s="98">
        <v>491.3588614029143</v>
      </c>
      <c r="AZ17" s="98">
        <v>237.20772619451034</v>
      </c>
      <c r="BA17" s="100" t="s">
        <v>569</v>
      </c>
      <c r="BB17" s="100" t="s">
        <v>569</v>
      </c>
      <c r="BC17" s="100" t="s">
        <v>569</v>
      </c>
      <c r="BD17" s="158">
        <v>0.7600198364</v>
      </c>
      <c r="BE17" s="158">
        <v>1.133792953</v>
      </c>
      <c r="BF17" s="162">
        <v>685</v>
      </c>
      <c r="BG17" s="162">
        <v>178</v>
      </c>
      <c r="BH17" s="162">
        <v>1441</v>
      </c>
      <c r="BI17" s="162">
        <v>578</v>
      </c>
      <c r="BJ17" s="162">
        <v>280</v>
      </c>
      <c r="BK17" s="97"/>
      <c r="BL17" s="97"/>
      <c r="BM17" s="97"/>
      <c r="BN17" s="97"/>
    </row>
    <row r="18" spans="1:66" ht="12.75">
      <c r="A18" s="79" t="s">
        <v>544</v>
      </c>
      <c r="B18" s="79" t="s">
        <v>313</v>
      </c>
      <c r="C18" s="79" t="s">
        <v>251</v>
      </c>
      <c r="D18" s="99">
        <v>5088</v>
      </c>
      <c r="E18" s="99">
        <v>564</v>
      </c>
      <c r="F18" s="99" t="s">
        <v>353</v>
      </c>
      <c r="G18" s="99">
        <v>19</v>
      </c>
      <c r="H18" s="99">
        <v>19</v>
      </c>
      <c r="I18" s="99">
        <v>75</v>
      </c>
      <c r="J18" s="99">
        <v>472</v>
      </c>
      <c r="K18" s="99">
        <v>15</v>
      </c>
      <c r="L18" s="99">
        <v>1000</v>
      </c>
      <c r="M18" s="99">
        <v>317</v>
      </c>
      <c r="N18" s="99">
        <v>177</v>
      </c>
      <c r="O18" s="99">
        <v>93</v>
      </c>
      <c r="P18" s="159">
        <v>93</v>
      </c>
      <c r="Q18" s="99">
        <v>11</v>
      </c>
      <c r="R18" s="99">
        <v>20</v>
      </c>
      <c r="S18" s="99">
        <v>22</v>
      </c>
      <c r="T18" s="99">
        <v>10</v>
      </c>
      <c r="U18" s="99" t="s">
        <v>569</v>
      </c>
      <c r="V18" s="99">
        <v>15</v>
      </c>
      <c r="W18" s="99">
        <v>25</v>
      </c>
      <c r="X18" s="99">
        <v>10</v>
      </c>
      <c r="Y18" s="99">
        <v>43</v>
      </c>
      <c r="Z18" s="99">
        <v>46</v>
      </c>
      <c r="AA18" s="99" t="s">
        <v>569</v>
      </c>
      <c r="AB18" s="99" t="s">
        <v>569</v>
      </c>
      <c r="AC18" s="99" t="s">
        <v>569</v>
      </c>
      <c r="AD18" s="98" t="s">
        <v>332</v>
      </c>
      <c r="AE18" s="100">
        <v>0.11084905660377359</v>
      </c>
      <c r="AF18" s="100">
        <v>0.15</v>
      </c>
      <c r="AG18" s="98">
        <v>373.42767295597486</v>
      </c>
      <c r="AH18" s="98">
        <v>373.42767295597486</v>
      </c>
      <c r="AI18" s="100">
        <v>0.015</v>
      </c>
      <c r="AJ18" s="100">
        <v>0.746835</v>
      </c>
      <c r="AK18" s="100">
        <v>0.625</v>
      </c>
      <c r="AL18" s="100">
        <v>0.772201</v>
      </c>
      <c r="AM18" s="100">
        <v>0.540034</v>
      </c>
      <c r="AN18" s="100">
        <v>0.544615</v>
      </c>
      <c r="AO18" s="98">
        <v>1827.8301886792453</v>
      </c>
      <c r="AP18" s="158">
        <v>1.115016785</v>
      </c>
      <c r="AQ18" s="100">
        <v>0.11827956989247312</v>
      </c>
      <c r="AR18" s="100">
        <v>0.55</v>
      </c>
      <c r="AS18" s="98">
        <v>432.38993710691824</v>
      </c>
      <c r="AT18" s="98">
        <v>196.54088050314465</v>
      </c>
      <c r="AU18" s="98" t="s">
        <v>569</v>
      </c>
      <c r="AV18" s="98">
        <v>294.811320754717</v>
      </c>
      <c r="AW18" s="98">
        <v>491.3522012578616</v>
      </c>
      <c r="AX18" s="98">
        <v>196.54088050314465</v>
      </c>
      <c r="AY18" s="98">
        <v>845.125786163522</v>
      </c>
      <c r="AZ18" s="98">
        <v>904.0880503144654</v>
      </c>
      <c r="BA18" s="100" t="s">
        <v>569</v>
      </c>
      <c r="BB18" s="100" t="s">
        <v>569</v>
      </c>
      <c r="BC18" s="100" t="s">
        <v>569</v>
      </c>
      <c r="BD18" s="158">
        <v>0.8999624634</v>
      </c>
      <c r="BE18" s="158">
        <v>1.3659709169999998</v>
      </c>
      <c r="BF18" s="162">
        <v>632</v>
      </c>
      <c r="BG18" s="162">
        <v>24</v>
      </c>
      <c r="BH18" s="162">
        <v>1295</v>
      </c>
      <c r="BI18" s="162">
        <v>587</v>
      </c>
      <c r="BJ18" s="162">
        <v>325</v>
      </c>
      <c r="BK18" s="97"/>
      <c r="BL18" s="97"/>
      <c r="BM18" s="97"/>
      <c r="BN18" s="97"/>
    </row>
    <row r="19" spans="1:66" ht="12.75">
      <c r="A19" s="79" t="s">
        <v>519</v>
      </c>
      <c r="B19" s="79" t="s">
        <v>287</v>
      </c>
      <c r="C19" s="79" t="s">
        <v>251</v>
      </c>
      <c r="D19" s="99">
        <v>17235</v>
      </c>
      <c r="E19" s="99">
        <v>3168</v>
      </c>
      <c r="F19" s="99" t="s">
        <v>352</v>
      </c>
      <c r="G19" s="99">
        <v>88</v>
      </c>
      <c r="H19" s="99">
        <v>55</v>
      </c>
      <c r="I19" s="99">
        <v>292</v>
      </c>
      <c r="J19" s="99">
        <v>1677</v>
      </c>
      <c r="K19" s="99">
        <v>25</v>
      </c>
      <c r="L19" s="99">
        <v>3046</v>
      </c>
      <c r="M19" s="99">
        <v>1173</v>
      </c>
      <c r="N19" s="99">
        <v>657</v>
      </c>
      <c r="O19" s="99">
        <v>325</v>
      </c>
      <c r="P19" s="159">
        <v>325</v>
      </c>
      <c r="Q19" s="99">
        <v>32</v>
      </c>
      <c r="R19" s="99">
        <v>74</v>
      </c>
      <c r="S19" s="99">
        <v>94</v>
      </c>
      <c r="T19" s="99">
        <v>56</v>
      </c>
      <c r="U19" s="99">
        <v>10</v>
      </c>
      <c r="V19" s="99">
        <v>50</v>
      </c>
      <c r="W19" s="99">
        <v>112</v>
      </c>
      <c r="X19" s="99">
        <v>88</v>
      </c>
      <c r="Y19" s="99">
        <v>126</v>
      </c>
      <c r="Z19" s="99">
        <v>98</v>
      </c>
      <c r="AA19" s="99" t="s">
        <v>569</v>
      </c>
      <c r="AB19" s="99" t="s">
        <v>569</v>
      </c>
      <c r="AC19" s="99" t="s">
        <v>569</v>
      </c>
      <c r="AD19" s="98" t="s">
        <v>332</v>
      </c>
      <c r="AE19" s="100">
        <v>0.18381201044386422</v>
      </c>
      <c r="AF19" s="100">
        <v>0.12</v>
      </c>
      <c r="AG19" s="98">
        <v>510.58891789962286</v>
      </c>
      <c r="AH19" s="98">
        <v>319.1180736872643</v>
      </c>
      <c r="AI19" s="100">
        <v>0.017</v>
      </c>
      <c r="AJ19" s="100">
        <v>0.781454</v>
      </c>
      <c r="AK19" s="100">
        <v>0.806452</v>
      </c>
      <c r="AL19" s="100">
        <v>0.748219</v>
      </c>
      <c r="AM19" s="100">
        <v>0.567489</v>
      </c>
      <c r="AN19" s="100">
        <v>0.598361</v>
      </c>
      <c r="AO19" s="98">
        <v>1885.6977081520163</v>
      </c>
      <c r="AP19" s="158">
        <v>0.9774481964</v>
      </c>
      <c r="AQ19" s="100">
        <v>0.09846153846153846</v>
      </c>
      <c r="AR19" s="100">
        <v>0.43243243243243246</v>
      </c>
      <c r="AS19" s="98">
        <v>545.4017986655062</v>
      </c>
      <c r="AT19" s="98">
        <v>324.92022048157816</v>
      </c>
      <c r="AU19" s="98">
        <v>58.02146794313896</v>
      </c>
      <c r="AV19" s="98">
        <v>290.1073397156948</v>
      </c>
      <c r="AW19" s="98">
        <v>649.8404409631563</v>
      </c>
      <c r="AX19" s="98">
        <v>510.58891789962286</v>
      </c>
      <c r="AY19" s="98">
        <v>731.0704960835509</v>
      </c>
      <c r="AZ19" s="98">
        <v>568.6103858427618</v>
      </c>
      <c r="BA19" s="100" t="s">
        <v>569</v>
      </c>
      <c r="BB19" s="100" t="s">
        <v>569</v>
      </c>
      <c r="BC19" s="100" t="s">
        <v>569</v>
      </c>
      <c r="BD19" s="158">
        <v>0.8740573883</v>
      </c>
      <c r="BE19" s="158">
        <v>1.089705887</v>
      </c>
      <c r="BF19" s="162">
        <v>2146</v>
      </c>
      <c r="BG19" s="162">
        <v>31</v>
      </c>
      <c r="BH19" s="162">
        <v>4071</v>
      </c>
      <c r="BI19" s="162">
        <v>2067</v>
      </c>
      <c r="BJ19" s="162">
        <v>1098</v>
      </c>
      <c r="BK19" s="97"/>
      <c r="BL19" s="97"/>
      <c r="BM19" s="97"/>
      <c r="BN19" s="97"/>
    </row>
    <row r="20" spans="1:66" ht="12.75">
      <c r="A20" s="79" t="s">
        <v>554</v>
      </c>
      <c r="B20" s="79" t="s">
        <v>323</v>
      </c>
      <c r="C20" s="79" t="s">
        <v>251</v>
      </c>
      <c r="D20" s="99">
        <v>1453</v>
      </c>
      <c r="E20" s="99">
        <v>149</v>
      </c>
      <c r="F20" s="99" t="s">
        <v>352</v>
      </c>
      <c r="G20" s="99" t="s">
        <v>569</v>
      </c>
      <c r="H20" s="99" t="s">
        <v>569</v>
      </c>
      <c r="I20" s="99">
        <v>18</v>
      </c>
      <c r="J20" s="99">
        <v>86</v>
      </c>
      <c r="K20" s="99">
        <v>10</v>
      </c>
      <c r="L20" s="99">
        <v>249</v>
      </c>
      <c r="M20" s="99">
        <v>47</v>
      </c>
      <c r="N20" s="99">
        <v>22</v>
      </c>
      <c r="O20" s="99">
        <v>13</v>
      </c>
      <c r="P20" s="159">
        <v>13</v>
      </c>
      <c r="Q20" s="99" t="s">
        <v>569</v>
      </c>
      <c r="R20" s="99" t="s">
        <v>569</v>
      </c>
      <c r="S20" s="99">
        <v>6</v>
      </c>
      <c r="T20" s="99" t="s">
        <v>569</v>
      </c>
      <c r="U20" s="99" t="s">
        <v>569</v>
      </c>
      <c r="V20" s="99" t="s">
        <v>569</v>
      </c>
      <c r="W20" s="99" t="s">
        <v>569</v>
      </c>
      <c r="X20" s="99" t="s">
        <v>569</v>
      </c>
      <c r="Y20" s="99">
        <v>7</v>
      </c>
      <c r="Z20" s="99">
        <v>8</v>
      </c>
      <c r="AA20" s="99" t="s">
        <v>569</v>
      </c>
      <c r="AB20" s="99" t="s">
        <v>569</v>
      </c>
      <c r="AC20" s="99" t="s">
        <v>569</v>
      </c>
      <c r="AD20" s="98" t="s">
        <v>332</v>
      </c>
      <c r="AE20" s="100">
        <v>0.10254645560908465</v>
      </c>
      <c r="AF20" s="100">
        <v>0.11</v>
      </c>
      <c r="AG20" s="98" t="s">
        <v>569</v>
      </c>
      <c r="AH20" s="98" t="s">
        <v>569</v>
      </c>
      <c r="AI20" s="100">
        <v>0.012</v>
      </c>
      <c r="AJ20" s="100">
        <v>0.693548</v>
      </c>
      <c r="AK20" s="100">
        <v>0.769231</v>
      </c>
      <c r="AL20" s="100">
        <v>0.717579</v>
      </c>
      <c r="AM20" s="100">
        <v>0.47</v>
      </c>
      <c r="AN20" s="100">
        <v>0.5</v>
      </c>
      <c r="AO20" s="98">
        <v>894.7006194081212</v>
      </c>
      <c r="AP20" s="158">
        <v>0.6245222092</v>
      </c>
      <c r="AQ20" s="100" t="s">
        <v>569</v>
      </c>
      <c r="AR20" s="100" t="s">
        <v>569</v>
      </c>
      <c r="AS20" s="98">
        <v>412.9387474191328</v>
      </c>
      <c r="AT20" s="98" t="s">
        <v>569</v>
      </c>
      <c r="AU20" s="98" t="s">
        <v>569</v>
      </c>
      <c r="AV20" s="98" t="s">
        <v>569</v>
      </c>
      <c r="AW20" s="98" t="s">
        <v>569</v>
      </c>
      <c r="AX20" s="98" t="s">
        <v>569</v>
      </c>
      <c r="AY20" s="98">
        <v>481.7618719889883</v>
      </c>
      <c r="AZ20" s="98">
        <v>550.5849965588437</v>
      </c>
      <c r="BA20" s="100" t="s">
        <v>569</v>
      </c>
      <c r="BB20" s="100" t="s">
        <v>569</v>
      </c>
      <c r="BC20" s="100" t="s">
        <v>569</v>
      </c>
      <c r="BD20" s="158">
        <v>0.3325317764</v>
      </c>
      <c r="BE20" s="158">
        <v>1.067951965</v>
      </c>
      <c r="BF20" s="162">
        <v>124</v>
      </c>
      <c r="BG20" s="162">
        <v>13</v>
      </c>
      <c r="BH20" s="162">
        <v>347</v>
      </c>
      <c r="BI20" s="162">
        <v>100</v>
      </c>
      <c r="BJ20" s="162">
        <v>44</v>
      </c>
      <c r="BK20" s="97"/>
      <c r="BL20" s="97"/>
      <c r="BM20" s="97"/>
      <c r="BN20" s="97"/>
    </row>
    <row r="21" spans="1:66" ht="12.75">
      <c r="A21" s="79" t="s">
        <v>561</v>
      </c>
      <c r="B21" s="79" t="s">
        <v>331</v>
      </c>
      <c r="C21" s="79" t="s">
        <v>251</v>
      </c>
      <c r="D21" s="99">
        <v>2556</v>
      </c>
      <c r="E21" s="99">
        <v>303</v>
      </c>
      <c r="F21" s="99" t="s">
        <v>354</v>
      </c>
      <c r="G21" s="99">
        <v>14</v>
      </c>
      <c r="H21" s="99" t="s">
        <v>569</v>
      </c>
      <c r="I21" s="99">
        <v>36</v>
      </c>
      <c r="J21" s="99">
        <v>326</v>
      </c>
      <c r="K21" s="99">
        <v>172</v>
      </c>
      <c r="L21" s="99">
        <v>549</v>
      </c>
      <c r="M21" s="99">
        <v>181</v>
      </c>
      <c r="N21" s="99">
        <v>106</v>
      </c>
      <c r="O21" s="99">
        <v>27</v>
      </c>
      <c r="P21" s="159">
        <v>27</v>
      </c>
      <c r="Q21" s="99" t="s">
        <v>569</v>
      </c>
      <c r="R21" s="99" t="s">
        <v>569</v>
      </c>
      <c r="S21" s="99" t="s">
        <v>569</v>
      </c>
      <c r="T21" s="99" t="s">
        <v>569</v>
      </c>
      <c r="U21" s="99" t="s">
        <v>569</v>
      </c>
      <c r="V21" s="99">
        <v>6</v>
      </c>
      <c r="W21" s="99">
        <v>12</v>
      </c>
      <c r="X21" s="99" t="s">
        <v>569</v>
      </c>
      <c r="Y21" s="99">
        <v>16</v>
      </c>
      <c r="Z21" s="99">
        <v>8</v>
      </c>
      <c r="AA21" s="99" t="s">
        <v>569</v>
      </c>
      <c r="AB21" s="99" t="s">
        <v>569</v>
      </c>
      <c r="AC21" s="99" t="s">
        <v>569</v>
      </c>
      <c r="AD21" s="98" t="s">
        <v>332</v>
      </c>
      <c r="AE21" s="100">
        <v>0.11854460093896714</v>
      </c>
      <c r="AF21" s="100">
        <v>0.05</v>
      </c>
      <c r="AG21" s="98">
        <v>547.7308294209703</v>
      </c>
      <c r="AH21" s="98" t="s">
        <v>569</v>
      </c>
      <c r="AI21" s="100">
        <v>0.013999999999999999</v>
      </c>
      <c r="AJ21" s="100">
        <v>0.783654</v>
      </c>
      <c r="AK21" s="100">
        <v>0.873096</v>
      </c>
      <c r="AL21" s="100">
        <v>0.828054</v>
      </c>
      <c r="AM21" s="100">
        <v>0.551829</v>
      </c>
      <c r="AN21" s="100">
        <v>0.585635</v>
      </c>
      <c r="AO21" s="98">
        <v>1056.338028169014</v>
      </c>
      <c r="AP21" s="158">
        <v>0.5647720337</v>
      </c>
      <c r="AQ21" s="100" t="s">
        <v>569</v>
      </c>
      <c r="AR21" s="100" t="s">
        <v>569</v>
      </c>
      <c r="AS21" s="98" t="s">
        <v>569</v>
      </c>
      <c r="AT21" s="98" t="s">
        <v>569</v>
      </c>
      <c r="AU21" s="98" t="s">
        <v>569</v>
      </c>
      <c r="AV21" s="98">
        <v>234.7417840375587</v>
      </c>
      <c r="AW21" s="98">
        <v>469.4835680751174</v>
      </c>
      <c r="AX21" s="98" t="s">
        <v>569</v>
      </c>
      <c r="AY21" s="98">
        <v>625.9780907668231</v>
      </c>
      <c r="AZ21" s="98">
        <v>312.98904538341156</v>
      </c>
      <c r="BA21" s="100" t="s">
        <v>569</v>
      </c>
      <c r="BB21" s="100" t="s">
        <v>569</v>
      </c>
      <c r="BC21" s="100" t="s">
        <v>569</v>
      </c>
      <c r="BD21" s="158">
        <v>0.3721883011</v>
      </c>
      <c r="BE21" s="158">
        <v>0.8217136383</v>
      </c>
      <c r="BF21" s="162">
        <v>416</v>
      </c>
      <c r="BG21" s="162">
        <v>197</v>
      </c>
      <c r="BH21" s="162">
        <v>663</v>
      </c>
      <c r="BI21" s="162">
        <v>328</v>
      </c>
      <c r="BJ21" s="162">
        <v>181</v>
      </c>
      <c r="BK21" s="97"/>
      <c r="BL21" s="97"/>
      <c r="BM21" s="97"/>
      <c r="BN21" s="97"/>
    </row>
    <row r="22" spans="1:66" ht="12.75">
      <c r="A22" s="79" t="s">
        <v>540</v>
      </c>
      <c r="B22" s="79" t="s">
        <v>309</v>
      </c>
      <c r="C22" s="79" t="s">
        <v>251</v>
      </c>
      <c r="D22" s="99">
        <v>3204</v>
      </c>
      <c r="E22" s="99">
        <v>727</v>
      </c>
      <c r="F22" s="99" t="s">
        <v>352</v>
      </c>
      <c r="G22" s="99">
        <v>23</v>
      </c>
      <c r="H22" s="99">
        <v>8</v>
      </c>
      <c r="I22" s="99">
        <v>56</v>
      </c>
      <c r="J22" s="99">
        <v>374</v>
      </c>
      <c r="K22" s="99">
        <v>12</v>
      </c>
      <c r="L22" s="99">
        <v>595</v>
      </c>
      <c r="M22" s="99">
        <v>359</v>
      </c>
      <c r="N22" s="99">
        <v>196</v>
      </c>
      <c r="O22" s="99">
        <v>46</v>
      </c>
      <c r="P22" s="159">
        <v>46</v>
      </c>
      <c r="Q22" s="99">
        <v>7</v>
      </c>
      <c r="R22" s="99">
        <v>9</v>
      </c>
      <c r="S22" s="99">
        <v>17</v>
      </c>
      <c r="T22" s="99">
        <v>7</v>
      </c>
      <c r="U22" s="99" t="s">
        <v>569</v>
      </c>
      <c r="V22" s="99">
        <v>7</v>
      </c>
      <c r="W22" s="99">
        <v>16</v>
      </c>
      <c r="X22" s="99">
        <v>7</v>
      </c>
      <c r="Y22" s="99">
        <v>17</v>
      </c>
      <c r="Z22" s="99">
        <v>14</v>
      </c>
      <c r="AA22" s="99" t="s">
        <v>569</v>
      </c>
      <c r="AB22" s="99" t="s">
        <v>569</v>
      </c>
      <c r="AC22" s="99" t="s">
        <v>569</v>
      </c>
      <c r="AD22" s="98" t="s">
        <v>332</v>
      </c>
      <c r="AE22" s="100">
        <v>0.22690387016229713</v>
      </c>
      <c r="AF22" s="100">
        <v>0.09</v>
      </c>
      <c r="AG22" s="98">
        <v>717.852684144819</v>
      </c>
      <c r="AH22" s="98">
        <v>249.68789013732834</v>
      </c>
      <c r="AI22" s="100">
        <v>0.017</v>
      </c>
      <c r="AJ22" s="100">
        <v>0.758621</v>
      </c>
      <c r="AK22" s="100">
        <v>0.666667</v>
      </c>
      <c r="AL22" s="100">
        <v>0.802969</v>
      </c>
      <c r="AM22" s="100">
        <v>0.649186</v>
      </c>
      <c r="AN22" s="100">
        <v>0.657718</v>
      </c>
      <c r="AO22" s="98">
        <v>1435.705368289638</v>
      </c>
      <c r="AP22" s="158">
        <v>0.6458707428</v>
      </c>
      <c r="AQ22" s="100">
        <v>0.15217391304347827</v>
      </c>
      <c r="AR22" s="100">
        <v>0.7777777777777778</v>
      </c>
      <c r="AS22" s="98">
        <v>530.5867665418227</v>
      </c>
      <c r="AT22" s="98">
        <v>218.4769038701623</v>
      </c>
      <c r="AU22" s="98" t="s">
        <v>569</v>
      </c>
      <c r="AV22" s="98">
        <v>218.4769038701623</v>
      </c>
      <c r="AW22" s="98">
        <v>499.3757802746567</v>
      </c>
      <c r="AX22" s="98">
        <v>218.4769038701623</v>
      </c>
      <c r="AY22" s="98">
        <v>530.5867665418227</v>
      </c>
      <c r="AZ22" s="98">
        <v>436.9538077403246</v>
      </c>
      <c r="BA22" s="100" t="s">
        <v>569</v>
      </c>
      <c r="BB22" s="100" t="s">
        <v>569</v>
      </c>
      <c r="BC22" s="100" t="s">
        <v>569</v>
      </c>
      <c r="BD22" s="158">
        <v>0.4728585434</v>
      </c>
      <c r="BE22" s="158">
        <v>0.8615010071</v>
      </c>
      <c r="BF22" s="162">
        <v>493</v>
      </c>
      <c r="BG22" s="162">
        <v>18</v>
      </c>
      <c r="BH22" s="162">
        <v>741</v>
      </c>
      <c r="BI22" s="162">
        <v>553</v>
      </c>
      <c r="BJ22" s="162">
        <v>298</v>
      </c>
      <c r="BK22" s="97"/>
      <c r="BL22" s="97"/>
      <c r="BM22" s="97"/>
      <c r="BN22" s="97"/>
    </row>
    <row r="23" spans="1:66" ht="12.75">
      <c r="A23" s="79" t="s">
        <v>537</v>
      </c>
      <c r="B23" s="79" t="s">
        <v>306</v>
      </c>
      <c r="C23" s="79" t="s">
        <v>251</v>
      </c>
      <c r="D23" s="99">
        <v>10565</v>
      </c>
      <c r="E23" s="99">
        <v>1939</v>
      </c>
      <c r="F23" s="99" t="s">
        <v>354</v>
      </c>
      <c r="G23" s="99">
        <v>53</v>
      </c>
      <c r="H23" s="99">
        <v>24</v>
      </c>
      <c r="I23" s="99">
        <v>180</v>
      </c>
      <c r="J23" s="99">
        <v>1060</v>
      </c>
      <c r="K23" s="99">
        <v>514</v>
      </c>
      <c r="L23" s="99">
        <v>2031</v>
      </c>
      <c r="M23" s="99">
        <v>807</v>
      </c>
      <c r="N23" s="99">
        <v>453</v>
      </c>
      <c r="O23" s="99">
        <v>253</v>
      </c>
      <c r="P23" s="159">
        <v>253</v>
      </c>
      <c r="Q23" s="99">
        <v>27</v>
      </c>
      <c r="R23" s="99">
        <v>46</v>
      </c>
      <c r="S23" s="99">
        <v>38</v>
      </c>
      <c r="T23" s="99">
        <v>50</v>
      </c>
      <c r="U23" s="99" t="s">
        <v>569</v>
      </c>
      <c r="V23" s="99">
        <v>51</v>
      </c>
      <c r="W23" s="99">
        <v>85</v>
      </c>
      <c r="X23" s="99">
        <v>59</v>
      </c>
      <c r="Y23" s="99">
        <v>115</v>
      </c>
      <c r="Z23" s="99">
        <v>83</v>
      </c>
      <c r="AA23" s="99" t="s">
        <v>569</v>
      </c>
      <c r="AB23" s="99" t="s">
        <v>569</v>
      </c>
      <c r="AC23" s="99" t="s">
        <v>569</v>
      </c>
      <c r="AD23" s="98" t="s">
        <v>332</v>
      </c>
      <c r="AE23" s="100">
        <v>0.18353052531945102</v>
      </c>
      <c r="AF23" s="100">
        <v>0.07</v>
      </c>
      <c r="AG23" s="98">
        <v>501.65641268338857</v>
      </c>
      <c r="AH23" s="98">
        <v>227.16516800757216</v>
      </c>
      <c r="AI23" s="100">
        <v>0.017</v>
      </c>
      <c r="AJ23" s="100">
        <v>0.795796</v>
      </c>
      <c r="AK23" s="100">
        <v>0.785933</v>
      </c>
      <c r="AL23" s="100">
        <v>0.79398</v>
      </c>
      <c r="AM23" s="100">
        <v>0.628016</v>
      </c>
      <c r="AN23" s="100">
        <v>0.656522</v>
      </c>
      <c r="AO23" s="98">
        <v>2394.6994794131565</v>
      </c>
      <c r="AP23" s="158">
        <v>1.202214203</v>
      </c>
      <c r="AQ23" s="100">
        <v>0.1067193675889328</v>
      </c>
      <c r="AR23" s="100">
        <v>0.5869565217391305</v>
      </c>
      <c r="AS23" s="98">
        <v>359.67818267865596</v>
      </c>
      <c r="AT23" s="98">
        <v>473.260766682442</v>
      </c>
      <c r="AU23" s="98" t="s">
        <v>569</v>
      </c>
      <c r="AV23" s="98">
        <v>482.7259820160909</v>
      </c>
      <c r="AW23" s="98">
        <v>804.5433033601514</v>
      </c>
      <c r="AX23" s="98">
        <v>558.4477046852816</v>
      </c>
      <c r="AY23" s="98">
        <v>1088.4997633696166</v>
      </c>
      <c r="AZ23" s="98">
        <v>785.6128726928538</v>
      </c>
      <c r="BA23" s="100" t="s">
        <v>569</v>
      </c>
      <c r="BB23" s="100" t="s">
        <v>569</v>
      </c>
      <c r="BC23" s="100" t="s">
        <v>569</v>
      </c>
      <c r="BD23" s="158">
        <v>1.05862587</v>
      </c>
      <c r="BE23" s="158">
        <v>1.3598457339999999</v>
      </c>
      <c r="BF23" s="162">
        <v>1332</v>
      </c>
      <c r="BG23" s="162">
        <v>654</v>
      </c>
      <c r="BH23" s="162">
        <v>2558</v>
      </c>
      <c r="BI23" s="162">
        <v>1285</v>
      </c>
      <c r="BJ23" s="162">
        <v>690</v>
      </c>
      <c r="BK23" s="97"/>
      <c r="BL23" s="97"/>
      <c r="BM23" s="97"/>
      <c r="BN23" s="97"/>
    </row>
    <row r="24" spans="1:66" ht="12.75">
      <c r="A24" s="79" t="s">
        <v>572</v>
      </c>
      <c r="B24" s="79" t="s">
        <v>282</v>
      </c>
      <c r="C24" s="79" t="s">
        <v>251</v>
      </c>
      <c r="D24" s="99">
        <v>4711</v>
      </c>
      <c r="E24" s="99">
        <v>793</v>
      </c>
      <c r="F24" s="99" t="s">
        <v>354</v>
      </c>
      <c r="G24" s="99">
        <v>24</v>
      </c>
      <c r="H24" s="99">
        <v>14</v>
      </c>
      <c r="I24" s="99">
        <v>77</v>
      </c>
      <c r="J24" s="99">
        <v>496</v>
      </c>
      <c r="K24" s="99">
        <v>54</v>
      </c>
      <c r="L24" s="99">
        <v>911</v>
      </c>
      <c r="M24" s="99">
        <v>353</v>
      </c>
      <c r="N24" s="99">
        <v>187</v>
      </c>
      <c r="O24" s="99">
        <v>74</v>
      </c>
      <c r="P24" s="159">
        <v>74</v>
      </c>
      <c r="Q24" s="99">
        <v>6</v>
      </c>
      <c r="R24" s="99">
        <v>19</v>
      </c>
      <c r="S24" s="99">
        <v>14</v>
      </c>
      <c r="T24" s="99">
        <v>8</v>
      </c>
      <c r="U24" s="99" t="s">
        <v>569</v>
      </c>
      <c r="V24" s="99">
        <v>31</v>
      </c>
      <c r="W24" s="99">
        <v>24</v>
      </c>
      <c r="X24" s="99">
        <v>12</v>
      </c>
      <c r="Y24" s="99">
        <v>39</v>
      </c>
      <c r="Z24" s="99">
        <v>34</v>
      </c>
      <c r="AA24" s="99" t="s">
        <v>569</v>
      </c>
      <c r="AB24" s="99" t="s">
        <v>569</v>
      </c>
      <c r="AC24" s="99" t="s">
        <v>569</v>
      </c>
      <c r="AD24" s="98" t="s">
        <v>332</v>
      </c>
      <c r="AE24" s="100">
        <v>0.16832944173211634</v>
      </c>
      <c r="AF24" s="100">
        <v>0.08</v>
      </c>
      <c r="AG24" s="98">
        <v>509.44597749946934</v>
      </c>
      <c r="AH24" s="98">
        <v>297.1768202080238</v>
      </c>
      <c r="AI24" s="100">
        <v>0.016</v>
      </c>
      <c r="AJ24" s="100">
        <v>0.794872</v>
      </c>
      <c r="AK24" s="100">
        <v>0.739726</v>
      </c>
      <c r="AL24" s="100">
        <v>0.782646</v>
      </c>
      <c r="AM24" s="100">
        <v>0.580592</v>
      </c>
      <c r="AN24" s="100">
        <v>0.642612</v>
      </c>
      <c r="AO24" s="98">
        <v>1570.7917639566972</v>
      </c>
      <c r="AP24" s="158">
        <v>0.8157829285</v>
      </c>
      <c r="AQ24" s="100">
        <v>0.08108108108108109</v>
      </c>
      <c r="AR24" s="100">
        <v>0.3157894736842105</v>
      </c>
      <c r="AS24" s="98">
        <v>297.1768202080238</v>
      </c>
      <c r="AT24" s="98">
        <v>169.81532583315644</v>
      </c>
      <c r="AU24" s="98" t="s">
        <v>569</v>
      </c>
      <c r="AV24" s="98">
        <v>658.0343876034813</v>
      </c>
      <c r="AW24" s="98">
        <v>509.44597749946934</v>
      </c>
      <c r="AX24" s="98">
        <v>254.72298874973467</v>
      </c>
      <c r="AY24" s="98">
        <v>827.8497134366377</v>
      </c>
      <c r="AZ24" s="98">
        <v>721.7151347909149</v>
      </c>
      <c r="BA24" s="100" t="s">
        <v>569</v>
      </c>
      <c r="BB24" s="100" t="s">
        <v>569</v>
      </c>
      <c r="BC24" s="100" t="s">
        <v>569</v>
      </c>
      <c r="BD24" s="158">
        <v>0.640565033</v>
      </c>
      <c r="BE24" s="158">
        <v>1.024140778</v>
      </c>
      <c r="BF24" s="162">
        <v>624</v>
      </c>
      <c r="BG24" s="162">
        <v>73</v>
      </c>
      <c r="BH24" s="162">
        <v>1164</v>
      </c>
      <c r="BI24" s="162">
        <v>608</v>
      </c>
      <c r="BJ24" s="162">
        <v>291</v>
      </c>
      <c r="BK24" s="97"/>
      <c r="BL24" s="97"/>
      <c r="BM24" s="97"/>
      <c r="BN24" s="97"/>
    </row>
    <row r="25" spans="1:66" ht="12.75">
      <c r="A25" s="79" t="s">
        <v>543</v>
      </c>
      <c r="B25" s="79" t="s">
        <v>312</v>
      </c>
      <c r="C25" s="79" t="s">
        <v>251</v>
      </c>
      <c r="D25" s="99">
        <v>3217</v>
      </c>
      <c r="E25" s="99">
        <v>445</v>
      </c>
      <c r="F25" s="99" t="s">
        <v>354</v>
      </c>
      <c r="G25" s="99">
        <v>14</v>
      </c>
      <c r="H25" s="99" t="s">
        <v>569</v>
      </c>
      <c r="I25" s="99">
        <v>35</v>
      </c>
      <c r="J25" s="99">
        <v>408</v>
      </c>
      <c r="K25" s="99">
        <v>213</v>
      </c>
      <c r="L25" s="99">
        <v>652</v>
      </c>
      <c r="M25" s="99">
        <v>331</v>
      </c>
      <c r="N25" s="99">
        <v>189</v>
      </c>
      <c r="O25" s="99">
        <v>47</v>
      </c>
      <c r="P25" s="159">
        <v>47</v>
      </c>
      <c r="Q25" s="99" t="s">
        <v>569</v>
      </c>
      <c r="R25" s="99">
        <v>8</v>
      </c>
      <c r="S25" s="99">
        <v>6</v>
      </c>
      <c r="T25" s="99">
        <v>6</v>
      </c>
      <c r="U25" s="99" t="s">
        <v>569</v>
      </c>
      <c r="V25" s="99">
        <v>11</v>
      </c>
      <c r="W25" s="99">
        <v>14</v>
      </c>
      <c r="X25" s="99">
        <v>8</v>
      </c>
      <c r="Y25" s="99">
        <v>20</v>
      </c>
      <c r="Z25" s="99">
        <v>18</v>
      </c>
      <c r="AA25" s="99" t="s">
        <v>569</v>
      </c>
      <c r="AB25" s="99" t="s">
        <v>569</v>
      </c>
      <c r="AC25" s="99" t="s">
        <v>569</v>
      </c>
      <c r="AD25" s="98" t="s">
        <v>332</v>
      </c>
      <c r="AE25" s="100">
        <v>0.13832763444202673</v>
      </c>
      <c r="AF25" s="100">
        <v>0.05</v>
      </c>
      <c r="AG25" s="98">
        <v>435.1880634131178</v>
      </c>
      <c r="AH25" s="98" t="s">
        <v>569</v>
      </c>
      <c r="AI25" s="100">
        <v>0.011000000000000001</v>
      </c>
      <c r="AJ25" s="100">
        <v>0.781609</v>
      </c>
      <c r="AK25" s="100">
        <v>0.803774</v>
      </c>
      <c r="AL25" s="100">
        <v>0.778973</v>
      </c>
      <c r="AM25" s="100">
        <v>0.629278</v>
      </c>
      <c r="AN25" s="100">
        <v>0.645051</v>
      </c>
      <c r="AO25" s="98">
        <v>1460.9884986011812</v>
      </c>
      <c r="AP25" s="158">
        <v>0.7745305634</v>
      </c>
      <c r="AQ25" s="100" t="s">
        <v>569</v>
      </c>
      <c r="AR25" s="100" t="s">
        <v>569</v>
      </c>
      <c r="AS25" s="98">
        <v>186.50917003419335</v>
      </c>
      <c r="AT25" s="98">
        <v>186.50917003419335</v>
      </c>
      <c r="AU25" s="98" t="s">
        <v>569</v>
      </c>
      <c r="AV25" s="98">
        <v>341.93347839602114</v>
      </c>
      <c r="AW25" s="98">
        <v>435.1880634131178</v>
      </c>
      <c r="AX25" s="98">
        <v>248.67889337892447</v>
      </c>
      <c r="AY25" s="98">
        <v>621.6972334473112</v>
      </c>
      <c r="AZ25" s="98">
        <v>559.5275101025801</v>
      </c>
      <c r="BA25" s="100" t="s">
        <v>569</v>
      </c>
      <c r="BB25" s="100" t="s">
        <v>569</v>
      </c>
      <c r="BC25" s="100" t="s">
        <v>569</v>
      </c>
      <c r="BD25" s="158">
        <v>0.5690959166999999</v>
      </c>
      <c r="BE25" s="158">
        <v>1.029961395</v>
      </c>
      <c r="BF25" s="162">
        <v>522</v>
      </c>
      <c r="BG25" s="162">
        <v>265</v>
      </c>
      <c r="BH25" s="162">
        <v>837</v>
      </c>
      <c r="BI25" s="162">
        <v>526</v>
      </c>
      <c r="BJ25" s="162">
        <v>293</v>
      </c>
      <c r="BK25" s="97"/>
      <c r="BL25" s="97"/>
      <c r="BM25" s="97"/>
      <c r="BN25" s="97"/>
    </row>
    <row r="26" spans="1:66" ht="12.75">
      <c r="A26" s="79" t="s">
        <v>573</v>
      </c>
      <c r="B26" s="79" t="s">
        <v>300</v>
      </c>
      <c r="C26" s="79" t="s">
        <v>251</v>
      </c>
      <c r="D26" s="99">
        <v>16295</v>
      </c>
      <c r="E26" s="99">
        <v>2174</v>
      </c>
      <c r="F26" s="99" t="s">
        <v>354</v>
      </c>
      <c r="G26" s="99">
        <v>58</v>
      </c>
      <c r="H26" s="99">
        <v>34</v>
      </c>
      <c r="I26" s="99">
        <v>168</v>
      </c>
      <c r="J26" s="99">
        <v>1491</v>
      </c>
      <c r="K26" s="99">
        <v>1311</v>
      </c>
      <c r="L26" s="99">
        <v>3286</v>
      </c>
      <c r="M26" s="99">
        <v>1014</v>
      </c>
      <c r="N26" s="99">
        <v>571</v>
      </c>
      <c r="O26" s="99">
        <v>199</v>
      </c>
      <c r="P26" s="159">
        <v>199</v>
      </c>
      <c r="Q26" s="99">
        <v>30</v>
      </c>
      <c r="R26" s="99">
        <v>63</v>
      </c>
      <c r="S26" s="99">
        <v>47</v>
      </c>
      <c r="T26" s="99">
        <v>23</v>
      </c>
      <c r="U26" s="99" t="s">
        <v>569</v>
      </c>
      <c r="V26" s="99">
        <v>28</v>
      </c>
      <c r="W26" s="99">
        <v>57</v>
      </c>
      <c r="X26" s="99">
        <v>33</v>
      </c>
      <c r="Y26" s="99">
        <v>74</v>
      </c>
      <c r="Z26" s="99">
        <v>61</v>
      </c>
      <c r="AA26" s="99" t="s">
        <v>569</v>
      </c>
      <c r="AB26" s="99" t="s">
        <v>569</v>
      </c>
      <c r="AC26" s="99" t="s">
        <v>569</v>
      </c>
      <c r="AD26" s="98" t="s">
        <v>332</v>
      </c>
      <c r="AE26" s="100">
        <v>0.13341515802393372</v>
      </c>
      <c r="AF26" s="100">
        <v>0.07</v>
      </c>
      <c r="AG26" s="98">
        <v>355.9374041116907</v>
      </c>
      <c r="AH26" s="98">
        <v>208.6529610309911</v>
      </c>
      <c r="AI26" s="100">
        <v>0.01</v>
      </c>
      <c r="AJ26" s="100">
        <v>0.813421</v>
      </c>
      <c r="AK26" s="100">
        <v>0.807266</v>
      </c>
      <c r="AL26" s="100">
        <v>0.779782</v>
      </c>
      <c r="AM26" s="100">
        <v>0.593329</v>
      </c>
      <c r="AN26" s="100">
        <v>0.628855</v>
      </c>
      <c r="AO26" s="98">
        <v>1221.2335072108008</v>
      </c>
      <c r="AP26" s="158">
        <v>0.7076404572</v>
      </c>
      <c r="AQ26" s="100">
        <v>0.1507537688442211</v>
      </c>
      <c r="AR26" s="100">
        <v>0.47619047619047616</v>
      </c>
      <c r="AS26" s="98">
        <v>288.43203436637003</v>
      </c>
      <c r="AT26" s="98">
        <v>141.14759128567044</v>
      </c>
      <c r="AU26" s="98" t="s">
        <v>569</v>
      </c>
      <c r="AV26" s="98">
        <v>171.8318502608162</v>
      </c>
      <c r="AW26" s="98">
        <v>349.80055231666154</v>
      </c>
      <c r="AX26" s="98">
        <v>202.51610923596195</v>
      </c>
      <c r="AY26" s="98">
        <v>454.1270328321571</v>
      </c>
      <c r="AZ26" s="98">
        <v>374.3479594967782</v>
      </c>
      <c r="BA26" s="100" t="s">
        <v>569</v>
      </c>
      <c r="BB26" s="100" t="s">
        <v>569</v>
      </c>
      <c r="BC26" s="100" t="s">
        <v>569</v>
      </c>
      <c r="BD26" s="158">
        <v>0.6127323532</v>
      </c>
      <c r="BE26" s="158">
        <v>0.8130850983000001</v>
      </c>
      <c r="BF26" s="162">
        <v>1833</v>
      </c>
      <c r="BG26" s="162">
        <v>1624</v>
      </c>
      <c r="BH26" s="162">
        <v>4214</v>
      </c>
      <c r="BI26" s="162">
        <v>1709</v>
      </c>
      <c r="BJ26" s="162">
        <v>908</v>
      </c>
      <c r="BK26" s="97"/>
      <c r="BL26" s="97"/>
      <c r="BM26" s="97"/>
      <c r="BN26" s="97"/>
    </row>
    <row r="27" spans="1:66" ht="12.75">
      <c r="A27" s="79" t="s">
        <v>517</v>
      </c>
      <c r="B27" s="79" t="s">
        <v>285</v>
      </c>
      <c r="C27" s="79" t="s">
        <v>251</v>
      </c>
      <c r="D27" s="99">
        <v>14294</v>
      </c>
      <c r="E27" s="99">
        <v>2681</v>
      </c>
      <c r="F27" s="99" t="s">
        <v>352</v>
      </c>
      <c r="G27" s="99">
        <v>90</v>
      </c>
      <c r="H27" s="99">
        <v>38</v>
      </c>
      <c r="I27" s="99">
        <v>242</v>
      </c>
      <c r="J27" s="99">
        <v>1472</v>
      </c>
      <c r="K27" s="99">
        <v>26</v>
      </c>
      <c r="L27" s="99">
        <v>2668</v>
      </c>
      <c r="M27" s="99">
        <v>1134</v>
      </c>
      <c r="N27" s="99">
        <v>607</v>
      </c>
      <c r="O27" s="99">
        <v>215</v>
      </c>
      <c r="P27" s="159">
        <v>215</v>
      </c>
      <c r="Q27" s="99">
        <v>29</v>
      </c>
      <c r="R27" s="99">
        <v>64</v>
      </c>
      <c r="S27" s="99">
        <v>67</v>
      </c>
      <c r="T27" s="99">
        <v>26</v>
      </c>
      <c r="U27" s="99" t="s">
        <v>569</v>
      </c>
      <c r="V27" s="99">
        <v>28</v>
      </c>
      <c r="W27" s="99">
        <v>88</v>
      </c>
      <c r="X27" s="99">
        <v>47</v>
      </c>
      <c r="Y27" s="99">
        <v>164</v>
      </c>
      <c r="Z27" s="99">
        <v>87</v>
      </c>
      <c r="AA27" s="99" t="s">
        <v>569</v>
      </c>
      <c r="AB27" s="99" t="s">
        <v>569</v>
      </c>
      <c r="AC27" s="99" t="s">
        <v>569</v>
      </c>
      <c r="AD27" s="98" t="s">
        <v>332</v>
      </c>
      <c r="AE27" s="100">
        <v>0.18756121449559254</v>
      </c>
      <c r="AF27" s="100">
        <v>0.11</v>
      </c>
      <c r="AG27" s="98">
        <v>629.6348118091507</v>
      </c>
      <c r="AH27" s="98">
        <v>265.84580943053027</v>
      </c>
      <c r="AI27" s="100">
        <v>0.017</v>
      </c>
      <c r="AJ27" s="100">
        <v>0.773516</v>
      </c>
      <c r="AK27" s="100">
        <v>0.619048</v>
      </c>
      <c r="AL27" s="100">
        <v>0.782175</v>
      </c>
      <c r="AM27" s="100">
        <v>0.601911</v>
      </c>
      <c r="AN27" s="100">
        <v>0.640295</v>
      </c>
      <c r="AO27" s="98">
        <v>1504.1276059885267</v>
      </c>
      <c r="AP27" s="158">
        <v>0.7576524353</v>
      </c>
      <c r="AQ27" s="100">
        <v>0.13488372093023257</v>
      </c>
      <c r="AR27" s="100">
        <v>0.453125</v>
      </c>
      <c r="AS27" s="98">
        <v>468.7281376801455</v>
      </c>
      <c r="AT27" s="98">
        <v>181.8945011893102</v>
      </c>
      <c r="AU27" s="98" t="s">
        <v>569</v>
      </c>
      <c r="AV27" s="98">
        <v>195.88638589618023</v>
      </c>
      <c r="AW27" s="98">
        <v>615.6429271022806</v>
      </c>
      <c r="AX27" s="98">
        <v>328.80929061144536</v>
      </c>
      <c r="AY27" s="98">
        <v>1147.3345459633413</v>
      </c>
      <c r="AZ27" s="98">
        <v>608.6469847488456</v>
      </c>
      <c r="BA27" s="100" t="s">
        <v>569</v>
      </c>
      <c r="BB27" s="100" t="s">
        <v>569</v>
      </c>
      <c r="BC27" s="100" t="s">
        <v>569</v>
      </c>
      <c r="BD27" s="158">
        <v>0.6597560883</v>
      </c>
      <c r="BE27" s="158">
        <v>0.8659812927</v>
      </c>
      <c r="BF27" s="162">
        <v>1903</v>
      </c>
      <c r="BG27" s="162">
        <v>42</v>
      </c>
      <c r="BH27" s="162">
        <v>3411</v>
      </c>
      <c r="BI27" s="162">
        <v>1884</v>
      </c>
      <c r="BJ27" s="162">
        <v>948</v>
      </c>
      <c r="BK27" s="97"/>
      <c r="BL27" s="97"/>
      <c r="BM27" s="97"/>
      <c r="BN27" s="97"/>
    </row>
    <row r="28" spans="1:66" ht="12.75">
      <c r="A28" s="79" t="s">
        <v>555</v>
      </c>
      <c r="B28" s="79" t="s">
        <v>324</v>
      </c>
      <c r="C28" s="79" t="s">
        <v>251</v>
      </c>
      <c r="D28" s="99">
        <v>1975</v>
      </c>
      <c r="E28" s="99">
        <v>296</v>
      </c>
      <c r="F28" s="99" t="s">
        <v>354</v>
      </c>
      <c r="G28" s="99">
        <v>10</v>
      </c>
      <c r="H28" s="99" t="s">
        <v>569</v>
      </c>
      <c r="I28" s="99">
        <v>29</v>
      </c>
      <c r="J28" s="99">
        <v>209</v>
      </c>
      <c r="K28" s="99" t="s">
        <v>569</v>
      </c>
      <c r="L28" s="99">
        <v>395</v>
      </c>
      <c r="M28" s="99">
        <v>140</v>
      </c>
      <c r="N28" s="99">
        <v>82</v>
      </c>
      <c r="O28" s="99">
        <v>15</v>
      </c>
      <c r="P28" s="159">
        <v>15</v>
      </c>
      <c r="Q28" s="99" t="s">
        <v>569</v>
      </c>
      <c r="R28" s="99">
        <v>8</v>
      </c>
      <c r="S28" s="99">
        <v>6</v>
      </c>
      <c r="T28" s="99" t="s">
        <v>569</v>
      </c>
      <c r="U28" s="99" t="s">
        <v>569</v>
      </c>
      <c r="V28" s="99" t="s">
        <v>569</v>
      </c>
      <c r="W28" s="99">
        <v>6</v>
      </c>
      <c r="X28" s="99">
        <v>6</v>
      </c>
      <c r="Y28" s="99">
        <v>14</v>
      </c>
      <c r="Z28" s="99">
        <v>7</v>
      </c>
      <c r="AA28" s="99" t="s">
        <v>569</v>
      </c>
      <c r="AB28" s="99" t="s">
        <v>569</v>
      </c>
      <c r="AC28" s="99" t="s">
        <v>569</v>
      </c>
      <c r="AD28" s="98" t="s">
        <v>332</v>
      </c>
      <c r="AE28" s="100">
        <v>0.149873417721519</v>
      </c>
      <c r="AF28" s="100">
        <v>0.07</v>
      </c>
      <c r="AG28" s="98">
        <v>506.32911392405066</v>
      </c>
      <c r="AH28" s="98" t="s">
        <v>569</v>
      </c>
      <c r="AI28" s="100">
        <v>0.015</v>
      </c>
      <c r="AJ28" s="100">
        <v>0.749104</v>
      </c>
      <c r="AK28" s="100" t="s">
        <v>569</v>
      </c>
      <c r="AL28" s="100">
        <v>0.854978</v>
      </c>
      <c r="AM28" s="100">
        <v>0.569106</v>
      </c>
      <c r="AN28" s="100">
        <v>0.630769</v>
      </c>
      <c r="AO28" s="98">
        <v>759.493670886076</v>
      </c>
      <c r="AP28" s="158">
        <v>0.39657363889999997</v>
      </c>
      <c r="AQ28" s="100" t="s">
        <v>569</v>
      </c>
      <c r="AR28" s="100" t="s">
        <v>569</v>
      </c>
      <c r="AS28" s="98">
        <v>303.7974683544304</v>
      </c>
      <c r="AT28" s="98" t="s">
        <v>569</v>
      </c>
      <c r="AU28" s="98" t="s">
        <v>569</v>
      </c>
      <c r="AV28" s="98" t="s">
        <v>569</v>
      </c>
      <c r="AW28" s="98">
        <v>303.7974683544304</v>
      </c>
      <c r="AX28" s="98">
        <v>303.7974683544304</v>
      </c>
      <c r="AY28" s="98">
        <v>708.8607594936709</v>
      </c>
      <c r="AZ28" s="98">
        <v>354.43037974683546</v>
      </c>
      <c r="BA28" s="100" t="s">
        <v>569</v>
      </c>
      <c r="BB28" s="100" t="s">
        <v>569</v>
      </c>
      <c r="BC28" s="100" t="s">
        <v>569</v>
      </c>
      <c r="BD28" s="158">
        <v>0.2219592476</v>
      </c>
      <c r="BE28" s="158">
        <v>0.6540879059</v>
      </c>
      <c r="BF28" s="162">
        <v>279</v>
      </c>
      <c r="BG28" s="162" t="s">
        <v>569</v>
      </c>
      <c r="BH28" s="162">
        <v>462</v>
      </c>
      <c r="BI28" s="162">
        <v>246</v>
      </c>
      <c r="BJ28" s="162">
        <v>130</v>
      </c>
      <c r="BK28" s="97"/>
      <c r="BL28" s="97"/>
      <c r="BM28" s="97"/>
      <c r="BN28" s="97"/>
    </row>
    <row r="29" spans="1:66" ht="12.75">
      <c r="A29" s="79" t="s">
        <v>525</v>
      </c>
      <c r="B29" s="79" t="s">
        <v>293</v>
      </c>
      <c r="C29" s="79" t="s">
        <v>251</v>
      </c>
      <c r="D29" s="99">
        <v>6114</v>
      </c>
      <c r="E29" s="99">
        <v>1098</v>
      </c>
      <c r="F29" s="99" t="s">
        <v>353</v>
      </c>
      <c r="G29" s="99">
        <v>31</v>
      </c>
      <c r="H29" s="99">
        <v>19</v>
      </c>
      <c r="I29" s="99">
        <v>97</v>
      </c>
      <c r="J29" s="99">
        <v>529</v>
      </c>
      <c r="K29" s="99">
        <v>115</v>
      </c>
      <c r="L29" s="99">
        <v>1066</v>
      </c>
      <c r="M29" s="99">
        <v>343</v>
      </c>
      <c r="N29" s="99">
        <v>186</v>
      </c>
      <c r="O29" s="99">
        <v>116</v>
      </c>
      <c r="P29" s="159">
        <v>116</v>
      </c>
      <c r="Q29" s="99">
        <v>17</v>
      </c>
      <c r="R29" s="99">
        <v>30</v>
      </c>
      <c r="S29" s="99">
        <v>23</v>
      </c>
      <c r="T29" s="99">
        <v>22</v>
      </c>
      <c r="U29" s="99" t="s">
        <v>569</v>
      </c>
      <c r="V29" s="99">
        <v>19</v>
      </c>
      <c r="W29" s="99">
        <v>30</v>
      </c>
      <c r="X29" s="99">
        <v>17</v>
      </c>
      <c r="Y29" s="99">
        <v>79</v>
      </c>
      <c r="Z29" s="99">
        <v>49</v>
      </c>
      <c r="AA29" s="99" t="s">
        <v>569</v>
      </c>
      <c r="AB29" s="99" t="s">
        <v>569</v>
      </c>
      <c r="AC29" s="99" t="s">
        <v>569</v>
      </c>
      <c r="AD29" s="98" t="s">
        <v>332</v>
      </c>
      <c r="AE29" s="100">
        <v>0.17958783120706576</v>
      </c>
      <c r="AF29" s="100">
        <v>0.15</v>
      </c>
      <c r="AG29" s="98">
        <v>507.03303892705264</v>
      </c>
      <c r="AH29" s="98">
        <v>310.76218514883874</v>
      </c>
      <c r="AI29" s="100">
        <v>0.016</v>
      </c>
      <c r="AJ29" s="100">
        <v>0.752489</v>
      </c>
      <c r="AK29" s="100">
        <v>0.69697</v>
      </c>
      <c r="AL29" s="100">
        <v>0.774709</v>
      </c>
      <c r="AM29" s="100">
        <v>0.547923</v>
      </c>
      <c r="AN29" s="100">
        <v>0.579439</v>
      </c>
      <c r="AO29" s="98">
        <v>1897.284919856068</v>
      </c>
      <c r="AP29" s="158">
        <v>0.9924624634</v>
      </c>
      <c r="AQ29" s="100">
        <v>0.14655172413793102</v>
      </c>
      <c r="AR29" s="100">
        <v>0.5666666666666667</v>
      </c>
      <c r="AS29" s="98">
        <v>376.18580307491004</v>
      </c>
      <c r="AT29" s="98">
        <v>359.8298985933922</v>
      </c>
      <c r="AU29" s="98" t="s">
        <v>569</v>
      </c>
      <c r="AV29" s="98">
        <v>310.76218514883874</v>
      </c>
      <c r="AW29" s="98">
        <v>490.6771344455348</v>
      </c>
      <c r="AX29" s="98">
        <v>278.0503761858031</v>
      </c>
      <c r="AY29" s="98">
        <v>1292.1164540399084</v>
      </c>
      <c r="AZ29" s="98">
        <v>801.4393195943736</v>
      </c>
      <c r="BA29" s="100" t="s">
        <v>569</v>
      </c>
      <c r="BB29" s="100" t="s">
        <v>569</v>
      </c>
      <c r="BC29" s="100" t="s">
        <v>569</v>
      </c>
      <c r="BD29" s="158">
        <v>0.8200909423999999</v>
      </c>
      <c r="BE29" s="158">
        <v>1.190364227</v>
      </c>
      <c r="BF29" s="162">
        <v>703</v>
      </c>
      <c r="BG29" s="162">
        <v>165</v>
      </c>
      <c r="BH29" s="162">
        <v>1376</v>
      </c>
      <c r="BI29" s="162">
        <v>626</v>
      </c>
      <c r="BJ29" s="162">
        <v>321</v>
      </c>
      <c r="BK29" s="97"/>
      <c r="BL29" s="97"/>
      <c r="BM29" s="97"/>
      <c r="BN29" s="97"/>
    </row>
    <row r="30" spans="1:66" ht="12.75">
      <c r="A30" s="79" t="s">
        <v>520</v>
      </c>
      <c r="B30" s="79" t="s">
        <v>288</v>
      </c>
      <c r="C30" s="79" t="s">
        <v>251</v>
      </c>
      <c r="D30" s="99">
        <v>6557</v>
      </c>
      <c r="E30" s="99">
        <v>1157</v>
      </c>
      <c r="F30" s="99" t="s">
        <v>354</v>
      </c>
      <c r="G30" s="99">
        <v>25</v>
      </c>
      <c r="H30" s="99">
        <v>11</v>
      </c>
      <c r="I30" s="99">
        <v>114</v>
      </c>
      <c r="J30" s="99">
        <v>730</v>
      </c>
      <c r="K30" s="99">
        <v>70</v>
      </c>
      <c r="L30" s="99">
        <v>1243</v>
      </c>
      <c r="M30" s="99">
        <v>480</v>
      </c>
      <c r="N30" s="99">
        <v>244</v>
      </c>
      <c r="O30" s="99">
        <v>69</v>
      </c>
      <c r="P30" s="159">
        <v>69</v>
      </c>
      <c r="Q30" s="99">
        <v>13</v>
      </c>
      <c r="R30" s="99">
        <v>31</v>
      </c>
      <c r="S30" s="99">
        <v>22</v>
      </c>
      <c r="T30" s="99" t="s">
        <v>569</v>
      </c>
      <c r="U30" s="99" t="s">
        <v>569</v>
      </c>
      <c r="V30" s="99">
        <v>11</v>
      </c>
      <c r="W30" s="99">
        <v>29</v>
      </c>
      <c r="X30" s="99">
        <v>15</v>
      </c>
      <c r="Y30" s="99">
        <v>36</v>
      </c>
      <c r="Z30" s="99">
        <v>30</v>
      </c>
      <c r="AA30" s="99" t="s">
        <v>569</v>
      </c>
      <c r="AB30" s="99" t="s">
        <v>569</v>
      </c>
      <c r="AC30" s="99" t="s">
        <v>569</v>
      </c>
      <c r="AD30" s="98" t="s">
        <v>332</v>
      </c>
      <c r="AE30" s="100">
        <v>0.17645264602714655</v>
      </c>
      <c r="AF30" s="100">
        <v>0.06</v>
      </c>
      <c r="AG30" s="98">
        <v>381.2719231355803</v>
      </c>
      <c r="AH30" s="98">
        <v>167.75964617965533</v>
      </c>
      <c r="AI30" s="100">
        <v>0.017</v>
      </c>
      <c r="AJ30" s="100">
        <v>0.841014</v>
      </c>
      <c r="AK30" s="100">
        <v>0.686275</v>
      </c>
      <c r="AL30" s="100">
        <v>0.791216</v>
      </c>
      <c r="AM30" s="100">
        <v>0.591133</v>
      </c>
      <c r="AN30" s="100">
        <v>0.605459</v>
      </c>
      <c r="AO30" s="98">
        <v>1052.3105078542017</v>
      </c>
      <c r="AP30" s="158">
        <v>0.5431532669</v>
      </c>
      <c r="AQ30" s="100">
        <v>0.18840579710144928</v>
      </c>
      <c r="AR30" s="100">
        <v>0.41935483870967744</v>
      </c>
      <c r="AS30" s="98">
        <v>335.51929235931067</v>
      </c>
      <c r="AT30" s="98" t="s">
        <v>569</v>
      </c>
      <c r="AU30" s="98" t="s">
        <v>569</v>
      </c>
      <c r="AV30" s="98">
        <v>167.75964617965533</v>
      </c>
      <c r="AW30" s="98">
        <v>442.2754308372731</v>
      </c>
      <c r="AX30" s="98">
        <v>228.7631538813482</v>
      </c>
      <c r="AY30" s="98">
        <v>549.0315693152356</v>
      </c>
      <c r="AZ30" s="98">
        <v>457.5263077626964</v>
      </c>
      <c r="BA30" s="100" t="s">
        <v>569</v>
      </c>
      <c r="BB30" s="100" t="s">
        <v>569</v>
      </c>
      <c r="BC30" s="100" t="s">
        <v>569</v>
      </c>
      <c r="BD30" s="158">
        <v>0.42260566709999997</v>
      </c>
      <c r="BE30" s="158">
        <v>0.6873952484</v>
      </c>
      <c r="BF30" s="162">
        <v>868</v>
      </c>
      <c r="BG30" s="162">
        <v>102</v>
      </c>
      <c r="BH30" s="162">
        <v>1571</v>
      </c>
      <c r="BI30" s="162">
        <v>812</v>
      </c>
      <c r="BJ30" s="162">
        <v>403</v>
      </c>
      <c r="BK30" s="97"/>
      <c r="BL30" s="97"/>
      <c r="BM30" s="97"/>
      <c r="BN30" s="97"/>
    </row>
    <row r="31" spans="1:66" ht="12.75">
      <c r="A31" s="79" t="s">
        <v>528</v>
      </c>
      <c r="B31" s="79" t="s">
        <v>296</v>
      </c>
      <c r="C31" s="79" t="s">
        <v>251</v>
      </c>
      <c r="D31" s="99">
        <v>13512</v>
      </c>
      <c r="E31" s="99">
        <v>2659</v>
      </c>
      <c r="F31" s="99" t="s">
        <v>352</v>
      </c>
      <c r="G31" s="99">
        <v>52</v>
      </c>
      <c r="H31" s="99">
        <v>32</v>
      </c>
      <c r="I31" s="99">
        <v>211</v>
      </c>
      <c r="J31" s="99">
        <v>1351</v>
      </c>
      <c r="K31" s="99">
        <v>599</v>
      </c>
      <c r="L31" s="99">
        <v>2344</v>
      </c>
      <c r="M31" s="99">
        <v>854</v>
      </c>
      <c r="N31" s="99">
        <v>462</v>
      </c>
      <c r="O31" s="99">
        <v>214</v>
      </c>
      <c r="P31" s="159">
        <v>214</v>
      </c>
      <c r="Q31" s="99">
        <v>29</v>
      </c>
      <c r="R31" s="99">
        <v>58</v>
      </c>
      <c r="S31" s="99">
        <v>45</v>
      </c>
      <c r="T31" s="99">
        <v>32</v>
      </c>
      <c r="U31" s="99">
        <v>8</v>
      </c>
      <c r="V31" s="99">
        <v>54</v>
      </c>
      <c r="W31" s="99">
        <v>64</v>
      </c>
      <c r="X31" s="99">
        <v>46</v>
      </c>
      <c r="Y31" s="99">
        <v>101</v>
      </c>
      <c r="Z31" s="99">
        <v>85</v>
      </c>
      <c r="AA31" s="99" t="s">
        <v>569</v>
      </c>
      <c r="AB31" s="99" t="s">
        <v>569</v>
      </c>
      <c r="AC31" s="99" t="s">
        <v>569</v>
      </c>
      <c r="AD31" s="98" t="s">
        <v>332</v>
      </c>
      <c r="AE31" s="100">
        <v>0.19678804026050917</v>
      </c>
      <c r="AF31" s="100">
        <v>0.12</v>
      </c>
      <c r="AG31" s="98">
        <v>384.8431024274719</v>
      </c>
      <c r="AH31" s="98">
        <v>236.82652457075193</v>
      </c>
      <c r="AI31" s="100">
        <v>0.016</v>
      </c>
      <c r="AJ31" s="100">
        <v>0.805605</v>
      </c>
      <c r="AK31" s="100">
        <v>0.749687</v>
      </c>
      <c r="AL31" s="100">
        <v>0.757106</v>
      </c>
      <c r="AM31" s="100">
        <v>0.542567</v>
      </c>
      <c r="AN31" s="100">
        <v>0.57606</v>
      </c>
      <c r="AO31" s="98">
        <v>1583.7773830669034</v>
      </c>
      <c r="AP31" s="158">
        <v>0.7892730713</v>
      </c>
      <c r="AQ31" s="100">
        <v>0.13551401869158877</v>
      </c>
      <c r="AR31" s="100">
        <v>0.5</v>
      </c>
      <c r="AS31" s="98">
        <v>333.0373001776199</v>
      </c>
      <c r="AT31" s="98">
        <v>236.82652457075193</v>
      </c>
      <c r="AU31" s="98">
        <v>59.20663114268798</v>
      </c>
      <c r="AV31" s="98">
        <v>399.64476021314385</v>
      </c>
      <c r="AW31" s="98">
        <v>473.65304914150386</v>
      </c>
      <c r="AX31" s="98">
        <v>340.4381290704559</v>
      </c>
      <c r="AY31" s="98">
        <v>747.4837181764358</v>
      </c>
      <c r="AZ31" s="98">
        <v>629.0704558910599</v>
      </c>
      <c r="BA31" s="100" t="s">
        <v>569</v>
      </c>
      <c r="BB31" s="100" t="s">
        <v>569</v>
      </c>
      <c r="BC31" s="100" t="s">
        <v>569</v>
      </c>
      <c r="BD31" s="158">
        <v>0.6870613861</v>
      </c>
      <c r="BE31" s="158">
        <v>0.9024040222</v>
      </c>
      <c r="BF31" s="162">
        <v>1677</v>
      </c>
      <c r="BG31" s="162">
        <v>799</v>
      </c>
      <c r="BH31" s="162">
        <v>3096</v>
      </c>
      <c r="BI31" s="162">
        <v>1574</v>
      </c>
      <c r="BJ31" s="162">
        <v>802</v>
      </c>
      <c r="BK31" s="97"/>
      <c r="BL31" s="97"/>
      <c r="BM31" s="97"/>
      <c r="BN31" s="97"/>
    </row>
    <row r="32" spans="1:66" ht="12.75">
      <c r="A32" s="79" t="s">
        <v>545</v>
      </c>
      <c r="B32" s="79" t="s">
        <v>314</v>
      </c>
      <c r="C32" s="79" t="s">
        <v>251</v>
      </c>
      <c r="D32" s="99">
        <v>7395</v>
      </c>
      <c r="E32" s="99">
        <v>764</v>
      </c>
      <c r="F32" s="99" t="s">
        <v>354</v>
      </c>
      <c r="G32" s="99">
        <v>27</v>
      </c>
      <c r="H32" s="99">
        <v>16</v>
      </c>
      <c r="I32" s="99">
        <v>94</v>
      </c>
      <c r="J32" s="99">
        <v>666</v>
      </c>
      <c r="K32" s="99">
        <v>356</v>
      </c>
      <c r="L32" s="99">
        <v>1538</v>
      </c>
      <c r="M32" s="99">
        <v>336</v>
      </c>
      <c r="N32" s="99">
        <v>189</v>
      </c>
      <c r="O32" s="99">
        <v>89</v>
      </c>
      <c r="P32" s="159">
        <v>89</v>
      </c>
      <c r="Q32" s="99">
        <v>8</v>
      </c>
      <c r="R32" s="99">
        <v>22</v>
      </c>
      <c r="S32" s="99">
        <v>22</v>
      </c>
      <c r="T32" s="99">
        <v>16</v>
      </c>
      <c r="U32" s="99" t="s">
        <v>569</v>
      </c>
      <c r="V32" s="99">
        <v>15</v>
      </c>
      <c r="W32" s="99">
        <v>39</v>
      </c>
      <c r="X32" s="99">
        <v>23</v>
      </c>
      <c r="Y32" s="99">
        <v>55</v>
      </c>
      <c r="Z32" s="99">
        <v>29</v>
      </c>
      <c r="AA32" s="99" t="s">
        <v>569</v>
      </c>
      <c r="AB32" s="99" t="s">
        <v>569</v>
      </c>
      <c r="AC32" s="99" t="s">
        <v>569</v>
      </c>
      <c r="AD32" s="98" t="s">
        <v>332</v>
      </c>
      <c r="AE32" s="100">
        <v>0.1033130493576741</v>
      </c>
      <c r="AF32" s="100">
        <v>0.06</v>
      </c>
      <c r="AG32" s="98">
        <v>365.1115618661258</v>
      </c>
      <c r="AH32" s="98">
        <v>216.36240703177822</v>
      </c>
      <c r="AI32" s="100">
        <v>0.013000000000000001</v>
      </c>
      <c r="AJ32" s="100">
        <v>0.791914</v>
      </c>
      <c r="AK32" s="100">
        <v>0.8</v>
      </c>
      <c r="AL32" s="100">
        <v>0.772476</v>
      </c>
      <c r="AM32" s="100">
        <v>0.54902</v>
      </c>
      <c r="AN32" s="100">
        <v>0.585139</v>
      </c>
      <c r="AO32" s="98">
        <v>1203.5158891142664</v>
      </c>
      <c r="AP32" s="158">
        <v>0.7352490997</v>
      </c>
      <c r="AQ32" s="100">
        <v>0.0898876404494382</v>
      </c>
      <c r="AR32" s="100">
        <v>0.36363636363636365</v>
      </c>
      <c r="AS32" s="98">
        <v>297.4983096686951</v>
      </c>
      <c r="AT32" s="98">
        <v>216.36240703177822</v>
      </c>
      <c r="AU32" s="98" t="s">
        <v>569</v>
      </c>
      <c r="AV32" s="98">
        <v>202.83975659229208</v>
      </c>
      <c r="AW32" s="98">
        <v>527.3833671399594</v>
      </c>
      <c r="AX32" s="98">
        <v>311.0209601081812</v>
      </c>
      <c r="AY32" s="98">
        <v>743.7457741717377</v>
      </c>
      <c r="AZ32" s="98">
        <v>392.15686274509807</v>
      </c>
      <c r="BA32" s="100" t="s">
        <v>569</v>
      </c>
      <c r="BB32" s="100" t="s">
        <v>569</v>
      </c>
      <c r="BC32" s="100" t="s">
        <v>569</v>
      </c>
      <c r="BD32" s="158">
        <v>0.5904653931</v>
      </c>
      <c r="BE32" s="158">
        <v>0.9047872925</v>
      </c>
      <c r="BF32" s="162">
        <v>841</v>
      </c>
      <c r="BG32" s="162">
        <v>445</v>
      </c>
      <c r="BH32" s="162">
        <v>1991</v>
      </c>
      <c r="BI32" s="162">
        <v>612</v>
      </c>
      <c r="BJ32" s="162">
        <v>323</v>
      </c>
      <c r="BK32" s="97"/>
      <c r="BL32" s="97"/>
      <c r="BM32" s="97"/>
      <c r="BN32" s="97"/>
    </row>
    <row r="33" spans="1:66" ht="12.75">
      <c r="A33" s="79" t="s">
        <v>524</v>
      </c>
      <c r="B33" s="79" t="s">
        <v>292</v>
      </c>
      <c r="C33" s="79" t="s">
        <v>251</v>
      </c>
      <c r="D33" s="99">
        <v>12029</v>
      </c>
      <c r="E33" s="99">
        <v>1549</v>
      </c>
      <c r="F33" s="99" t="s">
        <v>354</v>
      </c>
      <c r="G33" s="99">
        <v>38</v>
      </c>
      <c r="H33" s="99">
        <v>25</v>
      </c>
      <c r="I33" s="99">
        <v>139</v>
      </c>
      <c r="J33" s="99">
        <v>897</v>
      </c>
      <c r="K33" s="99">
        <v>130</v>
      </c>
      <c r="L33" s="99">
        <v>2184</v>
      </c>
      <c r="M33" s="99">
        <v>569</v>
      </c>
      <c r="N33" s="99">
        <v>299</v>
      </c>
      <c r="O33" s="99">
        <v>107</v>
      </c>
      <c r="P33" s="159">
        <v>107</v>
      </c>
      <c r="Q33" s="99">
        <v>26</v>
      </c>
      <c r="R33" s="99">
        <v>38</v>
      </c>
      <c r="S33" s="99">
        <v>23</v>
      </c>
      <c r="T33" s="99">
        <v>13</v>
      </c>
      <c r="U33" s="99" t="s">
        <v>569</v>
      </c>
      <c r="V33" s="99">
        <v>20</v>
      </c>
      <c r="W33" s="99">
        <v>48</v>
      </c>
      <c r="X33" s="99">
        <v>27</v>
      </c>
      <c r="Y33" s="99">
        <v>55</v>
      </c>
      <c r="Z33" s="99">
        <v>33</v>
      </c>
      <c r="AA33" s="99" t="s">
        <v>569</v>
      </c>
      <c r="AB33" s="99" t="s">
        <v>569</v>
      </c>
      <c r="AC33" s="99" t="s">
        <v>569</v>
      </c>
      <c r="AD33" s="98" t="s">
        <v>332</v>
      </c>
      <c r="AE33" s="100">
        <v>0.1287721340094771</v>
      </c>
      <c r="AF33" s="100">
        <v>0.08</v>
      </c>
      <c r="AG33" s="98">
        <v>315.9032338515255</v>
      </c>
      <c r="AH33" s="98">
        <v>207.8310749023194</v>
      </c>
      <c r="AI33" s="100">
        <v>0.012</v>
      </c>
      <c r="AJ33" s="100">
        <v>0.798043</v>
      </c>
      <c r="AK33" s="100">
        <v>0.656566</v>
      </c>
      <c r="AL33" s="100">
        <v>0.700899</v>
      </c>
      <c r="AM33" s="100">
        <v>0.587203</v>
      </c>
      <c r="AN33" s="100">
        <v>0.606491</v>
      </c>
      <c r="AO33" s="98">
        <v>889.517000581927</v>
      </c>
      <c r="AP33" s="158">
        <v>0.5428046036</v>
      </c>
      <c r="AQ33" s="100">
        <v>0.24299065420560748</v>
      </c>
      <c r="AR33" s="100">
        <v>0.6842105263157895</v>
      </c>
      <c r="AS33" s="98">
        <v>191.20458891013385</v>
      </c>
      <c r="AT33" s="98">
        <v>108.07215894920608</v>
      </c>
      <c r="AU33" s="98" t="s">
        <v>569</v>
      </c>
      <c r="AV33" s="98">
        <v>166.2648599218555</v>
      </c>
      <c r="AW33" s="98">
        <v>399.03566381245327</v>
      </c>
      <c r="AX33" s="98">
        <v>224.45756089450495</v>
      </c>
      <c r="AY33" s="98">
        <v>457.22836478510266</v>
      </c>
      <c r="AZ33" s="98">
        <v>274.3370188710616</v>
      </c>
      <c r="BA33" s="101" t="s">
        <v>569</v>
      </c>
      <c r="BB33" s="101" t="s">
        <v>569</v>
      </c>
      <c r="BC33" s="101" t="s">
        <v>569</v>
      </c>
      <c r="BD33" s="158">
        <v>0.4448414993</v>
      </c>
      <c r="BE33" s="158">
        <v>0.6559238434</v>
      </c>
      <c r="BF33" s="162">
        <v>1124</v>
      </c>
      <c r="BG33" s="162">
        <v>198</v>
      </c>
      <c r="BH33" s="162">
        <v>3116</v>
      </c>
      <c r="BI33" s="162">
        <v>969</v>
      </c>
      <c r="BJ33" s="162">
        <v>493</v>
      </c>
      <c r="BK33" s="97"/>
      <c r="BL33" s="97"/>
      <c r="BM33" s="97"/>
      <c r="BN33" s="97"/>
    </row>
    <row r="34" spans="1:66" ht="12.75">
      <c r="A34" s="79" t="s">
        <v>515</v>
      </c>
      <c r="B34" s="79" t="s">
        <v>283</v>
      </c>
      <c r="C34" s="79" t="s">
        <v>251</v>
      </c>
      <c r="D34" s="99">
        <v>15215</v>
      </c>
      <c r="E34" s="99">
        <v>2821</v>
      </c>
      <c r="F34" s="99" t="s">
        <v>352</v>
      </c>
      <c r="G34" s="99">
        <v>69</v>
      </c>
      <c r="H34" s="99">
        <v>36</v>
      </c>
      <c r="I34" s="99">
        <v>283</v>
      </c>
      <c r="J34" s="99">
        <v>1604</v>
      </c>
      <c r="K34" s="99">
        <v>591</v>
      </c>
      <c r="L34" s="99">
        <v>2701</v>
      </c>
      <c r="M34" s="99">
        <v>1176</v>
      </c>
      <c r="N34" s="99">
        <v>666</v>
      </c>
      <c r="O34" s="99">
        <v>245</v>
      </c>
      <c r="P34" s="159">
        <v>245</v>
      </c>
      <c r="Q34" s="99">
        <v>29</v>
      </c>
      <c r="R34" s="99">
        <v>58</v>
      </c>
      <c r="S34" s="99">
        <v>47</v>
      </c>
      <c r="T34" s="99">
        <v>41</v>
      </c>
      <c r="U34" s="99">
        <v>11</v>
      </c>
      <c r="V34" s="99">
        <v>40</v>
      </c>
      <c r="W34" s="99">
        <v>75</v>
      </c>
      <c r="X34" s="99">
        <v>42</v>
      </c>
      <c r="Y34" s="99">
        <v>105</v>
      </c>
      <c r="Z34" s="99">
        <v>122</v>
      </c>
      <c r="AA34" s="99" t="s">
        <v>569</v>
      </c>
      <c r="AB34" s="99" t="s">
        <v>569</v>
      </c>
      <c r="AC34" s="99" t="s">
        <v>569</v>
      </c>
      <c r="AD34" s="98" t="s">
        <v>332</v>
      </c>
      <c r="AE34" s="100">
        <v>0.18540913572132764</v>
      </c>
      <c r="AF34" s="100">
        <v>0.12</v>
      </c>
      <c r="AG34" s="98">
        <v>453.49983568846534</v>
      </c>
      <c r="AH34" s="98">
        <v>236.6086099244167</v>
      </c>
      <c r="AI34" s="100">
        <v>0.019</v>
      </c>
      <c r="AJ34" s="100">
        <v>0.812563</v>
      </c>
      <c r="AK34" s="100">
        <v>0.75964</v>
      </c>
      <c r="AL34" s="100">
        <v>0.757219</v>
      </c>
      <c r="AM34" s="100">
        <v>0.603386</v>
      </c>
      <c r="AN34" s="100">
        <v>0.64786</v>
      </c>
      <c r="AO34" s="98">
        <v>1610.2530397633914</v>
      </c>
      <c r="AP34" s="158">
        <v>0.8165863037</v>
      </c>
      <c r="AQ34" s="100">
        <v>0.11836734693877551</v>
      </c>
      <c r="AR34" s="100">
        <v>0.5</v>
      </c>
      <c r="AS34" s="98">
        <v>308.9056851790996</v>
      </c>
      <c r="AT34" s="98">
        <v>269.47091685836347</v>
      </c>
      <c r="AU34" s="98">
        <v>72.29707525468288</v>
      </c>
      <c r="AV34" s="98">
        <v>262.8984554715741</v>
      </c>
      <c r="AW34" s="98">
        <v>492.93460400920145</v>
      </c>
      <c r="AX34" s="98">
        <v>276.04337824515284</v>
      </c>
      <c r="AY34" s="98">
        <v>690.1084456128821</v>
      </c>
      <c r="AZ34" s="98">
        <v>801.840289188301</v>
      </c>
      <c r="BA34" s="100" t="s">
        <v>569</v>
      </c>
      <c r="BB34" s="100" t="s">
        <v>569</v>
      </c>
      <c r="BC34" s="100" t="s">
        <v>569</v>
      </c>
      <c r="BD34" s="158">
        <v>0.7175279236000001</v>
      </c>
      <c r="BE34" s="158">
        <v>0.9254981232</v>
      </c>
      <c r="BF34" s="162">
        <v>1974</v>
      </c>
      <c r="BG34" s="162">
        <v>778</v>
      </c>
      <c r="BH34" s="162">
        <v>3567</v>
      </c>
      <c r="BI34" s="162">
        <v>1949</v>
      </c>
      <c r="BJ34" s="162">
        <v>1028</v>
      </c>
      <c r="BK34" s="97"/>
      <c r="BL34" s="97"/>
      <c r="BM34" s="97"/>
      <c r="BN34" s="97"/>
    </row>
    <row r="35" spans="1:66" ht="12.75">
      <c r="A35" s="79" t="s">
        <v>521</v>
      </c>
      <c r="B35" s="79" t="s">
        <v>289</v>
      </c>
      <c r="C35" s="79" t="s">
        <v>251</v>
      </c>
      <c r="D35" s="99">
        <v>3730</v>
      </c>
      <c r="E35" s="99">
        <v>1029</v>
      </c>
      <c r="F35" s="99" t="s">
        <v>354</v>
      </c>
      <c r="G35" s="99">
        <v>25</v>
      </c>
      <c r="H35" s="99">
        <v>9</v>
      </c>
      <c r="I35" s="99">
        <v>53</v>
      </c>
      <c r="J35" s="99">
        <v>434</v>
      </c>
      <c r="K35" s="99">
        <v>256</v>
      </c>
      <c r="L35" s="99">
        <v>688</v>
      </c>
      <c r="M35" s="99">
        <v>355</v>
      </c>
      <c r="N35" s="99">
        <v>184</v>
      </c>
      <c r="O35" s="99">
        <v>190</v>
      </c>
      <c r="P35" s="159">
        <v>190</v>
      </c>
      <c r="Q35" s="99">
        <v>8</v>
      </c>
      <c r="R35" s="99">
        <v>13</v>
      </c>
      <c r="S35" s="99">
        <v>14</v>
      </c>
      <c r="T35" s="99">
        <v>26</v>
      </c>
      <c r="U35" s="99">
        <v>7</v>
      </c>
      <c r="V35" s="99">
        <v>55</v>
      </c>
      <c r="W35" s="99">
        <v>27</v>
      </c>
      <c r="X35" s="99">
        <v>18</v>
      </c>
      <c r="Y35" s="99">
        <v>36</v>
      </c>
      <c r="Z35" s="99">
        <v>31</v>
      </c>
      <c r="AA35" s="99" t="s">
        <v>569</v>
      </c>
      <c r="AB35" s="99" t="s">
        <v>569</v>
      </c>
      <c r="AC35" s="99" t="s">
        <v>569</v>
      </c>
      <c r="AD35" s="98" t="s">
        <v>332</v>
      </c>
      <c r="AE35" s="100">
        <v>0.2758713136729222</v>
      </c>
      <c r="AF35" s="100">
        <v>0.06</v>
      </c>
      <c r="AG35" s="98">
        <v>670.2412868632708</v>
      </c>
      <c r="AH35" s="98">
        <v>241.28686327077747</v>
      </c>
      <c r="AI35" s="100">
        <v>0.013999999999999999</v>
      </c>
      <c r="AJ35" s="100">
        <v>0.752166</v>
      </c>
      <c r="AK35" s="100">
        <v>0.785276</v>
      </c>
      <c r="AL35" s="100">
        <v>0.851485</v>
      </c>
      <c r="AM35" s="100">
        <v>0.603741</v>
      </c>
      <c r="AN35" s="100">
        <v>0.621622</v>
      </c>
      <c r="AO35" s="98">
        <v>5093.833780160858</v>
      </c>
      <c r="AP35" s="158">
        <v>2.1360899349999998</v>
      </c>
      <c r="AQ35" s="100">
        <v>0.042105263157894736</v>
      </c>
      <c r="AR35" s="100">
        <v>0.6153846153846154</v>
      </c>
      <c r="AS35" s="98">
        <v>375.33512064343165</v>
      </c>
      <c r="AT35" s="98">
        <v>697.0509383378017</v>
      </c>
      <c r="AU35" s="98">
        <v>187.66756032171583</v>
      </c>
      <c r="AV35" s="98">
        <v>1474.5308310991957</v>
      </c>
      <c r="AW35" s="98">
        <v>723.8605898123325</v>
      </c>
      <c r="AX35" s="98">
        <v>482.57372654155495</v>
      </c>
      <c r="AY35" s="98">
        <v>965.1474530831099</v>
      </c>
      <c r="AZ35" s="98">
        <v>831.0991957104558</v>
      </c>
      <c r="BA35" s="100" t="s">
        <v>569</v>
      </c>
      <c r="BB35" s="100" t="s">
        <v>569</v>
      </c>
      <c r="BC35" s="100" t="s">
        <v>569</v>
      </c>
      <c r="BD35" s="158">
        <v>1.843142242</v>
      </c>
      <c r="BE35" s="158">
        <v>2.462367706</v>
      </c>
      <c r="BF35" s="162">
        <v>577</v>
      </c>
      <c r="BG35" s="162">
        <v>326</v>
      </c>
      <c r="BH35" s="162">
        <v>808</v>
      </c>
      <c r="BI35" s="162">
        <v>588</v>
      </c>
      <c r="BJ35" s="162">
        <v>296</v>
      </c>
      <c r="BK35" s="97"/>
      <c r="BL35" s="97"/>
      <c r="BM35" s="97"/>
      <c r="BN35" s="97"/>
    </row>
    <row r="36" spans="1:66" ht="12.75">
      <c r="A36" s="79" t="s">
        <v>533</v>
      </c>
      <c r="B36" s="79" t="s">
        <v>302</v>
      </c>
      <c r="C36" s="79" t="s">
        <v>251</v>
      </c>
      <c r="D36" s="99">
        <v>12236</v>
      </c>
      <c r="E36" s="99">
        <v>2116</v>
      </c>
      <c r="F36" s="99" t="s">
        <v>352</v>
      </c>
      <c r="G36" s="99">
        <v>61</v>
      </c>
      <c r="H36" s="99">
        <v>23</v>
      </c>
      <c r="I36" s="99">
        <v>169</v>
      </c>
      <c r="J36" s="99">
        <v>1071</v>
      </c>
      <c r="K36" s="99">
        <v>171</v>
      </c>
      <c r="L36" s="99">
        <v>2265</v>
      </c>
      <c r="M36" s="99">
        <v>727</v>
      </c>
      <c r="N36" s="99">
        <v>397</v>
      </c>
      <c r="O36" s="99">
        <v>148</v>
      </c>
      <c r="P36" s="159">
        <v>148</v>
      </c>
      <c r="Q36" s="99">
        <v>19</v>
      </c>
      <c r="R36" s="99">
        <v>35</v>
      </c>
      <c r="S36" s="99">
        <v>31</v>
      </c>
      <c r="T36" s="99">
        <v>30</v>
      </c>
      <c r="U36" s="99" t="s">
        <v>569</v>
      </c>
      <c r="V36" s="99">
        <v>19</v>
      </c>
      <c r="W36" s="99">
        <v>65</v>
      </c>
      <c r="X36" s="99">
        <v>33</v>
      </c>
      <c r="Y36" s="99">
        <v>62</v>
      </c>
      <c r="Z36" s="99">
        <v>39</v>
      </c>
      <c r="AA36" s="99" t="s">
        <v>569</v>
      </c>
      <c r="AB36" s="99" t="s">
        <v>569</v>
      </c>
      <c r="AC36" s="99" t="s">
        <v>569</v>
      </c>
      <c r="AD36" s="98" t="s">
        <v>332</v>
      </c>
      <c r="AE36" s="100">
        <v>0.17293233082706766</v>
      </c>
      <c r="AF36" s="100">
        <v>0.09</v>
      </c>
      <c r="AG36" s="98">
        <v>498.5289310232102</v>
      </c>
      <c r="AH36" s="98">
        <v>187.9699248120301</v>
      </c>
      <c r="AI36" s="100">
        <v>0.013999999999999999</v>
      </c>
      <c r="AJ36" s="100">
        <v>0.768844</v>
      </c>
      <c r="AK36" s="100">
        <v>0.721519</v>
      </c>
      <c r="AL36" s="100">
        <v>0.757272</v>
      </c>
      <c r="AM36" s="100">
        <v>0.595902</v>
      </c>
      <c r="AN36" s="100">
        <v>0.627172</v>
      </c>
      <c r="AO36" s="98">
        <v>1209.5456031382805</v>
      </c>
      <c r="AP36" s="158">
        <v>0.6457476044</v>
      </c>
      <c r="AQ36" s="100">
        <v>0.12837837837837837</v>
      </c>
      <c r="AR36" s="100">
        <v>0.5428571428571428</v>
      </c>
      <c r="AS36" s="98">
        <v>253.3507682249101</v>
      </c>
      <c r="AT36" s="98">
        <v>245.1781627983001</v>
      </c>
      <c r="AU36" s="98" t="s">
        <v>569</v>
      </c>
      <c r="AV36" s="98">
        <v>155.27950310559007</v>
      </c>
      <c r="AW36" s="98">
        <v>531.2193527296503</v>
      </c>
      <c r="AX36" s="98">
        <v>269.6959790781301</v>
      </c>
      <c r="AY36" s="98">
        <v>506.7015364498202</v>
      </c>
      <c r="AZ36" s="98">
        <v>318.73161163779014</v>
      </c>
      <c r="BA36" s="100" t="s">
        <v>569</v>
      </c>
      <c r="BB36" s="100" t="s">
        <v>569</v>
      </c>
      <c r="BC36" s="100" t="s">
        <v>569</v>
      </c>
      <c r="BD36" s="158">
        <v>0.5459046173000001</v>
      </c>
      <c r="BE36" s="158">
        <v>0.758565979</v>
      </c>
      <c r="BF36" s="162">
        <v>1393</v>
      </c>
      <c r="BG36" s="162">
        <v>237</v>
      </c>
      <c r="BH36" s="162">
        <v>2991</v>
      </c>
      <c r="BI36" s="162">
        <v>1220</v>
      </c>
      <c r="BJ36" s="162">
        <v>633</v>
      </c>
      <c r="BK36" s="97"/>
      <c r="BL36" s="97"/>
      <c r="BM36" s="97"/>
      <c r="BN36" s="97"/>
    </row>
    <row r="37" spans="1:66" ht="12.75">
      <c r="A37" s="79" t="s">
        <v>535</v>
      </c>
      <c r="B37" s="79" t="s">
        <v>304</v>
      </c>
      <c r="C37" s="79" t="s">
        <v>251</v>
      </c>
      <c r="D37" s="99">
        <v>8629</v>
      </c>
      <c r="E37" s="99">
        <v>1395</v>
      </c>
      <c r="F37" s="99" t="s">
        <v>353</v>
      </c>
      <c r="G37" s="99">
        <v>37</v>
      </c>
      <c r="H37" s="99">
        <v>19</v>
      </c>
      <c r="I37" s="99">
        <v>143</v>
      </c>
      <c r="J37" s="99">
        <v>800</v>
      </c>
      <c r="K37" s="99">
        <v>185</v>
      </c>
      <c r="L37" s="99">
        <v>1480</v>
      </c>
      <c r="M37" s="99">
        <v>563</v>
      </c>
      <c r="N37" s="99">
        <v>291</v>
      </c>
      <c r="O37" s="99">
        <v>208</v>
      </c>
      <c r="P37" s="159">
        <v>208</v>
      </c>
      <c r="Q37" s="99">
        <v>28</v>
      </c>
      <c r="R37" s="99">
        <v>51</v>
      </c>
      <c r="S37" s="99">
        <v>25</v>
      </c>
      <c r="T37" s="99">
        <v>40</v>
      </c>
      <c r="U37" s="99" t="s">
        <v>569</v>
      </c>
      <c r="V37" s="99">
        <v>53</v>
      </c>
      <c r="W37" s="99">
        <v>70</v>
      </c>
      <c r="X37" s="99">
        <v>31</v>
      </c>
      <c r="Y37" s="99">
        <v>95</v>
      </c>
      <c r="Z37" s="99">
        <v>55</v>
      </c>
      <c r="AA37" s="99" t="s">
        <v>569</v>
      </c>
      <c r="AB37" s="99" t="s">
        <v>569</v>
      </c>
      <c r="AC37" s="99" t="s">
        <v>569</v>
      </c>
      <c r="AD37" s="98" t="s">
        <v>332</v>
      </c>
      <c r="AE37" s="100">
        <v>0.1616641557538533</v>
      </c>
      <c r="AF37" s="100">
        <v>0.14</v>
      </c>
      <c r="AG37" s="98">
        <v>428.7866496697184</v>
      </c>
      <c r="AH37" s="98">
        <v>220.1877390195851</v>
      </c>
      <c r="AI37" s="100">
        <v>0.017</v>
      </c>
      <c r="AJ37" s="100">
        <v>0.776699</v>
      </c>
      <c r="AK37" s="100">
        <v>0.719844</v>
      </c>
      <c r="AL37" s="100">
        <v>0.725846</v>
      </c>
      <c r="AM37" s="100">
        <v>0.566398</v>
      </c>
      <c r="AN37" s="100">
        <v>0.597536</v>
      </c>
      <c r="AO37" s="98">
        <v>2410.4763008459845</v>
      </c>
      <c r="AP37" s="158">
        <v>1.329267883</v>
      </c>
      <c r="AQ37" s="100">
        <v>0.1346153846153846</v>
      </c>
      <c r="AR37" s="100">
        <v>0.5490196078431373</v>
      </c>
      <c r="AS37" s="98">
        <v>289.7207092362962</v>
      </c>
      <c r="AT37" s="98">
        <v>463.5531347780739</v>
      </c>
      <c r="AU37" s="98" t="s">
        <v>569</v>
      </c>
      <c r="AV37" s="98">
        <v>614.2079035809479</v>
      </c>
      <c r="AW37" s="98">
        <v>811.2179858616294</v>
      </c>
      <c r="AX37" s="98">
        <v>359.2536794530073</v>
      </c>
      <c r="AY37" s="98">
        <v>1100.9386950979256</v>
      </c>
      <c r="AZ37" s="98">
        <v>637.3855603198516</v>
      </c>
      <c r="BA37" s="101" t="s">
        <v>569</v>
      </c>
      <c r="BB37" s="101" t="s">
        <v>569</v>
      </c>
      <c r="BC37" s="101" t="s">
        <v>569</v>
      </c>
      <c r="BD37" s="158">
        <v>1.154748611</v>
      </c>
      <c r="BE37" s="158">
        <v>1.52271347</v>
      </c>
      <c r="BF37" s="162">
        <v>1030</v>
      </c>
      <c r="BG37" s="162">
        <v>257</v>
      </c>
      <c r="BH37" s="162">
        <v>2039</v>
      </c>
      <c r="BI37" s="162">
        <v>994</v>
      </c>
      <c r="BJ37" s="162">
        <v>487</v>
      </c>
      <c r="BK37" s="97"/>
      <c r="BL37" s="97"/>
      <c r="BM37" s="97"/>
      <c r="BN37" s="97"/>
    </row>
    <row r="38" spans="1:66" ht="12.75">
      <c r="A38" s="79" t="s">
        <v>560</v>
      </c>
      <c r="B38" s="79" t="s">
        <v>330</v>
      </c>
      <c r="C38" s="79" t="s">
        <v>251</v>
      </c>
      <c r="D38" s="99">
        <v>2906</v>
      </c>
      <c r="E38" s="99">
        <v>461</v>
      </c>
      <c r="F38" s="99" t="s">
        <v>354</v>
      </c>
      <c r="G38" s="99">
        <v>11</v>
      </c>
      <c r="H38" s="99">
        <v>6</v>
      </c>
      <c r="I38" s="99">
        <v>60</v>
      </c>
      <c r="J38" s="99">
        <v>312</v>
      </c>
      <c r="K38" s="99">
        <v>6</v>
      </c>
      <c r="L38" s="99">
        <v>591</v>
      </c>
      <c r="M38" s="99">
        <v>211</v>
      </c>
      <c r="N38" s="99">
        <v>118</v>
      </c>
      <c r="O38" s="99">
        <v>54</v>
      </c>
      <c r="P38" s="159">
        <v>54</v>
      </c>
      <c r="Q38" s="99">
        <v>11</v>
      </c>
      <c r="R38" s="99">
        <v>18</v>
      </c>
      <c r="S38" s="99">
        <v>19</v>
      </c>
      <c r="T38" s="99" t="s">
        <v>569</v>
      </c>
      <c r="U38" s="99" t="s">
        <v>569</v>
      </c>
      <c r="V38" s="99">
        <v>8</v>
      </c>
      <c r="W38" s="99">
        <v>11</v>
      </c>
      <c r="X38" s="99">
        <v>7</v>
      </c>
      <c r="Y38" s="99">
        <v>14</v>
      </c>
      <c r="Z38" s="99">
        <v>21</v>
      </c>
      <c r="AA38" s="99" t="s">
        <v>569</v>
      </c>
      <c r="AB38" s="99" t="s">
        <v>569</v>
      </c>
      <c r="AC38" s="99" t="s">
        <v>569</v>
      </c>
      <c r="AD38" s="98" t="s">
        <v>332</v>
      </c>
      <c r="AE38" s="100">
        <v>0.15863730213351687</v>
      </c>
      <c r="AF38" s="100">
        <v>0.09</v>
      </c>
      <c r="AG38" s="98">
        <v>378.52718513420507</v>
      </c>
      <c r="AH38" s="98">
        <v>206.4693737095664</v>
      </c>
      <c r="AI38" s="100">
        <v>0.021</v>
      </c>
      <c r="AJ38" s="100">
        <v>0.760976</v>
      </c>
      <c r="AK38" s="100">
        <v>0.666667</v>
      </c>
      <c r="AL38" s="100">
        <v>0.816298</v>
      </c>
      <c r="AM38" s="100">
        <v>0.602857</v>
      </c>
      <c r="AN38" s="100">
        <v>0.682081</v>
      </c>
      <c r="AO38" s="98">
        <v>1858.2243633860978</v>
      </c>
      <c r="AP38" s="158">
        <v>0.9993939972</v>
      </c>
      <c r="AQ38" s="100">
        <v>0.2037037037037037</v>
      </c>
      <c r="AR38" s="100">
        <v>0.6111111111111112</v>
      </c>
      <c r="AS38" s="98">
        <v>653.819683413627</v>
      </c>
      <c r="AT38" s="98" t="s">
        <v>569</v>
      </c>
      <c r="AU38" s="98" t="s">
        <v>569</v>
      </c>
      <c r="AV38" s="98">
        <v>275.29249827942186</v>
      </c>
      <c r="AW38" s="98">
        <v>378.52718513420507</v>
      </c>
      <c r="AX38" s="98">
        <v>240.88093599449414</v>
      </c>
      <c r="AY38" s="98">
        <v>481.7618719889883</v>
      </c>
      <c r="AZ38" s="98">
        <v>722.6428079834825</v>
      </c>
      <c r="BA38" s="100" t="s">
        <v>569</v>
      </c>
      <c r="BB38" s="100" t="s">
        <v>569</v>
      </c>
      <c r="BC38" s="100" t="s">
        <v>569</v>
      </c>
      <c r="BD38" s="158">
        <v>0.750775528</v>
      </c>
      <c r="BE38" s="158">
        <v>1.30399231</v>
      </c>
      <c r="BF38" s="162">
        <v>410</v>
      </c>
      <c r="BG38" s="162">
        <v>9</v>
      </c>
      <c r="BH38" s="162">
        <v>724</v>
      </c>
      <c r="BI38" s="162">
        <v>350</v>
      </c>
      <c r="BJ38" s="162">
        <v>173</v>
      </c>
      <c r="BK38" s="97"/>
      <c r="BL38" s="97"/>
      <c r="BM38" s="97"/>
      <c r="BN38" s="97"/>
    </row>
    <row r="39" spans="1:66" ht="12.75">
      <c r="A39" s="79" t="s">
        <v>557</v>
      </c>
      <c r="B39" s="79" t="s">
        <v>326</v>
      </c>
      <c r="C39" s="79" t="s">
        <v>251</v>
      </c>
      <c r="D39" s="99">
        <v>5145</v>
      </c>
      <c r="E39" s="99">
        <v>988</v>
      </c>
      <c r="F39" s="99" t="s">
        <v>354</v>
      </c>
      <c r="G39" s="99">
        <v>20</v>
      </c>
      <c r="H39" s="99">
        <v>11</v>
      </c>
      <c r="I39" s="99">
        <v>113</v>
      </c>
      <c r="J39" s="99">
        <v>578</v>
      </c>
      <c r="K39" s="99">
        <v>456</v>
      </c>
      <c r="L39" s="99">
        <v>1069</v>
      </c>
      <c r="M39" s="99">
        <v>428</v>
      </c>
      <c r="N39" s="99">
        <v>246</v>
      </c>
      <c r="O39" s="99">
        <v>40</v>
      </c>
      <c r="P39" s="159">
        <v>40</v>
      </c>
      <c r="Q39" s="99">
        <v>7</v>
      </c>
      <c r="R39" s="99">
        <v>26</v>
      </c>
      <c r="S39" s="99">
        <v>9</v>
      </c>
      <c r="T39" s="99" t="s">
        <v>569</v>
      </c>
      <c r="U39" s="99" t="s">
        <v>569</v>
      </c>
      <c r="V39" s="99" t="s">
        <v>569</v>
      </c>
      <c r="W39" s="99">
        <v>30</v>
      </c>
      <c r="X39" s="99">
        <v>9</v>
      </c>
      <c r="Y39" s="99">
        <v>22</v>
      </c>
      <c r="Z39" s="99">
        <v>31</v>
      </c>
      <c r="AA39" s="99" t="s">
        <v>569</v>
      </c>
      <c r="AB39" s="99" t="s">
        <v>569</v>
      </c>
      <c r="AC39" s="99" t="s">
        <v>569</v>
      </c>
      <c r="AD39" s="98" t="s">
        <v>332</v>
      </c>
      <c r="AE39" s="100">
        <v>0.19203109815354713</v>
      </c>
      <c r="AF39" s="100">
        <v>0.08</v>
      </c>
      <c r="AG39" s="98">
        <v>388.7269193391642</v>
      </c>
      <c r="AH39" s="98">
        <v>213.79980563654033</v>
      </c>
      <c r="AI39" s="100">
        <v>0.022000000000000002</v>
      </c>
      <c r="AJ39" s="100">
        <v>0.800554</v>
      </c>
      <c r="AK39" s="100">
        <v>0.804233</v>
      </c>
      <c r="AL39" s="100">
        <v>0.823575</v>
      </c>
      <c r="AM39" s="100">
        <v>0.603667</v>
      </c>
      <c r="AN39" s="100">
        <v>0.635659</v>
      </c>
      <c r="AO39" s="98">
        <v>777.4538386783285</v>
      </c>
      <c r="AP39" s="158">
        <v>0.3751556778</v>
      </c>
      <c r="AQ39" s="100">
        <v>0.175</v>
      </c>
      <c r="AR39" s="100">
        <v>0.2692307692307692</v>
      </c>
      <c r="AS39" s="98">
        <v>174.9271137026239</v>
      </c>
      <c r="AT39" s="98" t="s">
        <v>569</v>
      </c>
      <c r="AU39" s="98" t="s">
        <v>569</v>
      </c>
      <c r="AV39" s="98" t="s">
        <v>569</v>
      </c>
      <c r="AW39" s="98">
        <v>583.0903790087464</v>
      </c>
      <c r="AX39" s="98">
        <v>174.9271137026239</v>
      </c>
      <c r="AY39" s="98">
        <v>427.59961127308065</v>
      </c>
      <c r="AZ39" s="98">
        <v>602.5267249757046</v>
      </c>
      <c r="BA39" s="100" t="s">
        <v>569</v>
      </c>
      <c r="BB39" s="100" t="s">
        <v>569</v>
      </c>
      <c r="BC39" s="100" t="s">
        <v>569</v>
      </c>
      <c r="BD39" s="158">
        <v>0.26801671979999997</v>
      </c>
      <c r="BE39" s="158">
        <v>0.5108555603</v>
      </c>
      <c r="BF39" s="162">
        <v>722</v>
      </c>
      <c r="BG39" s="162">
        <v>567</v>
      </c>
      <c r="BH39" s="162">
        <v>1298</v>
      </c>
      <c r="BI39" s="162">
        <v>709</v>
      </c>
      <c r="BJ39" s="162">
        <v>387</v>
      </c>
      <c r="BK39" s="97"/>
      <c r="BL39" s="97"/>
      <c r="BM39" s="97"/>
      <c r="BN39" s="97"/>
    </row>
    <row r="40" spans="1:66" ht="12.75">
      <c r="A40" s="79" t="s">
        <v>523</v>
      </c>
      <c r="B40" s="79" t="s">
        <v>291</v>
      </c>
      <c r="C40" s="79" t="s">
        <v>251</v>
      </c>
      <c r="D40" s="99">
        <v>15887</v>
      </c>
      <c r="E40" s="99">
        <v>3072</v>
      </c>
      <c r="F40" s="99" t="s">
        <v>352</v>
      </c>
      <c r="G40" s="99">
        <v>88</v>
      </c>
      <c r="H40" s="99">
        <v>35</v>
      </c>
      <c r="I40" s="99">
        <v>246</v>
      </c>
      <c r="J40" s="99">
        <v>1576</v>
      </c>
      <c r="K40" s="99">
        <v>30</v>
      </c>
      <c r="L40" s="99">
        <v>2867</v>
      </c>
      <c r="M40" s="99">
        <v>1159</v>
      </c>
      <c r="N40" s="99">
        <v>636</v>
      </c>
      <c r="O40" s="99">
        <v>189</v>
      </c>
      <c r="P40" s="159">
        <v>189</v>
      </c>
      <c r="Q40" s="99">
        <v>27</v>
      </c>
      <c r="R40" s="99">
        <v>70</v>
      </c>
      <c r="S40" s="99">
        <v>38</v>
      </c>
      <c r="T40" s="99">
        <v>9</v>
      </c>
      <c r="U40" s="99" t="s">
        <v>569</v>
      </c>
      <c r="V40" s="99">
        <v>93</v>
      </c>
      <c r="W40" s="99">
        <v>77</v>
      </c>
      <c r="X40" s="99">
        <v>39</v>
      </c>
      <c r="Y40" s="99">
        <v>93</v>
      </c>
      <c r="Z40" s="99">
        <v>74</v>
      </c>
      <c r="AA40" s="99" t="s">
        <v>569</v>
      </c>
      <c r="AB40" s="99" t="s">
        <v>569</v>
      </c>
      <c r="AC40" s="99" t="s">
        <v>569</v>
      </c>
      <c r="AD40" s="98" t="s">
        <v>332</v>
      </c>
      <c r="AE40" s="100">
        <v>0.1933656448668723</v>
      </c>
      <c r="AF40" s="100">
        <v>0.11</v>
      </c>
      <c r="AG40" s="98">
        <v>553.9120035248945</v>
      </c>
      <c r="AH40" s="98">
        <v>220.3059104928558</v>
      </c>
      <c r="AI40" s="100">
        <v>0.015</v>
      </c>
      <c r="AJ40" s="100">
        <v>0.751192</v>
      </c>
      <c r="AK40" s="100">
        <v>0.625</v>
      </c>
      <c r="AL40" s="100">
        <v>0.74642</v>
      </c>
      <c r="AM40" s="100">
        <v>0.578343</v>
      </c>
      <c r="AN40" s="100">
        <v>0.624754</v>
      </c>
      <c r="AO40" s="98">
        <v>1189.6519166614212</v>
      </c>
      <c r="AP40" s="158">
        <v>0.591084137</v>
      </c>
      <c r="AQ40" s="100">
        <v>0.14285714285714285</v>
      </c>
      <c r="AR40" s="100">
        <v>0.38571428571428573</v>
      </c>
      <c r="AS40" s="98">
        <v>239.1892742493863</v>
      </c>
      <c r="AT40" s="98">
        <v>56.65009126959149</v>
      </c>
      <c r="AU40" s="98" t="s">
        <v>569</v>
      </c>
      <c r="AV40" s="98">
        <v>585.3842764524454</v>
      </c>
      <c r="AW40" s="98">
        <v>484.67300308428275</v>
      </c>
      <c r="AX40" s="98">
        <v>245.48372883489645</v>
      </c>
      <c r="AY40" s="98">
        <v>585.3842764524454</v>
      </c>
      <c r="AZ40" s="98">
        <v>465.78963932775224</v>
      </c>
      <c r="BA40" s="100" t="s">
        <v>569</v>
      </c>
      <c r="BB40" s="100" t="s">
        <v>569</v>
      </c>
      <c r="BC40" s="100" t="s">
        <v>569</v>
      </c>
      <c r="BD40" s="158">
        <v>0.5098155212000001</v>
      </c>
      <c r="BE40" s="158">
        <v>0.6816249847</v>
      </c>
      <c r="BF40" s="162">
        <v>2098</v>
      </c>
      <c r="BG40" s="162">
        <v>48</v>
      </c>
      <c r="BH40" s="162">
        <v>3841</v>
      </c>
      <c r="BI40" s="162">
        <v>2004</v>
      </c>
      <c r="BJ40" s="162">
        <v>1018</v>
      </c>
      <c r="BK40" s="97"/>
      <c r="BL40" s="97"/>
      <c r="BM40" s="97"/>
      <c r="BN40" s="97"/>
    </row>
    <row r="41" spans="1:66" ht="12.75">
      <c r="A41" s="79" t="s">
        <v>516</v>
      </c>
      <c r="B41" s="79" t="s">
        <v>284</v>
      </c>
      <c r="C41" s="79" t="s">
        <v>251</v>
      </c>
      <c r="D41" s="99">
        <v>6375</v>
      </c>
      <c r="E41" s="99">
        <v>1184</v>
      </c>
      <c r="F41" s="99" t="s">
        <v>354</v>
      </c>
      <c r="G41" s="99">
        <v>23</v>
      </c>
      <c r="H41" s="99">
        <v>11</v>
      </c>
      <c r="I41" s="99">
        <v>150</v>
      </c>
      <c r="J41" s="99">
        <v>794</v>
      </c>
      <c r="K41" s="99">
        <v>669</v>
      </c>
      <c r="L41" s="99">
        <v>1323</v>
      </c>
      <c r="M41" s="99">
        <v>563</v>
      </c>
      <c r="N41" s="99">
        <v>304</v>
      </c>
      <c r="O41" s="99">
        <v>93</v>
      </c>
      <c r="P41" s="159">
        <v>93</v>
      </c>
      <c r="Q41" s="99">
        <v>20</v>
      </c>
      <c r="R41" s="99">
        <v>36</v>
      </c>
      <c r="S41" s="99">
        <v>30</v>
      </c>
      <c r="T41" s="99">
        <v>7</v>
      </c>
      <c r="U41" s="99" t="s">
        <v>569</v>
      </c>
      <c r="V41" s="99">
        <v>13</v>
      </c>
      <c r="W41" s="99">
        <v>34</v>
      </c>
      <c r="X41" s="99">
        <v>11</v>
      </c>
      <c r="Y41" s="99">
        <v>41</v>
      </c>
      <c r="Z41" s="99">
        <v>33</v>
      </c>
      <c r="AA41" s="99" t="s">
        <v>569</v>
      </c>
      <c r="AB41" s="99" t="s">
        <v>569</v>
      </c>
      <c r="AC41" s="99" t="s">
        <v>569</v>
      </c>
      <c r="AD41" s="98" t="s">
        <v>332</v>
      </c>
      <c r="AE41" s="100">
        <v>0.18572549019607842</v>
      </c>
      <c r="AF41" s="100">
        <v>0.07</v>
      </c>
      <c r="AG41" s="98">
        <v>360.7843137254902</v>
      </c>
      <c r="AH41" s="98">
        <v>172.54901960784315</v>
      </c>
      <c r="AI41" s="100">
        <v>0.024</v>
      </c>
      <c r="AJ41" s="100">
        <v>0.790837</v>
      </c>
      <c r="AK41" s="100">
        <v>0.796429</v>
      </c>
      <c r="AL41" s="100">
        <v>0.81566</v>
      </c>
      <c r="AM41" s="100">
        <v>0.606028</v>
      </c>
      <c r="AN41" s="100">
        <v>0.620408</v>
      </c>
      <c r="AO41" s="98">
        <v>1458.8235294117646</v>
      </c>
      <c r="AP41" s="158">
        <v>0.6905805969</v>
      </c>
      <c r="AQ41" s="100">
        <v>0.21505376344086022</v>
      </c>
      <c r="AR41" s="100">
        <v>0.5555555555555556</v>
      </c>
      <c r="AS41" s="98">
        <v>470.5882352941176</v>
      </c>
      <c r="AT41" s="98">
        <v>109.80392156862744</v>
      </c>
      <c r="AU41" s="98" t="s">
        <v>569</v>
      </c>
      <c r="AV41" s="98">
        <v>203.92156862745097</v>
      </c>
      <c r="AW41" s="98">
        <v>533.3333333333334</v>
      </c>
      <c r="AX41" s="98">
        <v>172.54901960784315</v>
      </c>
      <c r="AY41" s="98">
        <v>643.1372549019608</v>
      </c>
      <c r="AZ41" s="98">
        <v>517.6470588235294</v>
      </c>
      <c r="BA41" s="100" t="s">
        <v>569</v>
      </c>
      <c r="BB41" s="100" t="s">
        <v>569</v>
      </c>
      <c r="BC41" s="100" t="s">
        <v>569</v>
      </c>
      <c r="BD41" s="158">
        <v>0.5573876572</v>
      </c>
      <c r="BE41" s="158">
        <v>0.846007843</v>
      </c>
      <c r="BF41" s="162">
        <v>1004</v>
      </c>
      <c r="BG41" s="162">
        <v>840</v>
      </c>
      <c r="BH41" s="162">
        <v>1622</v>
      </c>
      <c r="BI41" s="162">
        <v>929</v>
      </c>
      <c r="BJ41" s="162">
        <v>490</v>
      </c>
      <c r="BK41" s="97"/>
      <c r="BL41" s="97"/>
      <c r="BM41" s="97"/>
      <c r="BN41" s="97"/>
    </row>
    <row r="42" spans="1:66" ht="12.75">
      <c r="A42" s="79" t="s">
        <v>541</v>
      </c>
      <c r="B42" s="79" t="s">
        <v>310</v>
      </c>
      <c r="C42" s="79" t="s">
        <v>251</v>
      </c>
      <c r="D42" s="99">
        <v>12162</v>
      </c>
      <c r="E42" s="99">
        <v>2044</v>
      </c>
      <c r="F42" s="99" t="s">
        <v>354</v>
      </c>
      <c r="G42" s="99">
        <v>54</v>
      </c>
      <c r="H42" s="99">
        <v>26</v>
      </c>
      <c r="I42" s="99">
        <v>221</v>
      </c>
      <c r="J42" s="99">
        <v>1222</v>
      </c>
      <c r="K42" s="99">
        <v>391</v>
      </c>
      <c r="L42" s="99">
        <v>2390</v>
      </c>
      <c r="M42" s="99">
        <v>865</v>
      </c>
      <c r="N42" s="99">
        <v>457</v>
      </c>
      <c r="O42" s="99">
        <v>101</v>
      </c>
      <c r="P42" s="159">
        <v>101</v>
      </c>
      <c r="Q42" s="99">
        <v>18</v>
      </c>
      <c r="R42" s="99">
        <v>34</v>
      </c>
      <c r="S42" s="99">
        <v>20</v>
      </c>
      <c r="T42" s="99">
        <v>18</v>
      </c>
      <c r="U42" s="99" t="s">
        <v>569</v>
      </c>
      <c r="V42" s="99">
        <v>10</v>
      </c>
      <c r="W42" s="99">
        <v>56</v>
      </c>
      <c r="X42" s="99">
        <v>22</v>
      </c>
      <c r="Y42" s="99">
        <v>68</v>
      </c>
      <c r="Z42" s="99">
        <v>47</v>
      </c>
      <c r="AA42" s="99" t="s">
        <v>569</v>
      </c>
      <c r="AB42" s="99" t="s">
        <v>569</v>
      </c>
      <c r="AC42" s="99" t="s">
        <v>569</v>
      </c>
      <c r="AD42" s="98" t="s">
        <v>332</v>
      </c>
      <c r="AE42" s="100">
        <v>0.16806446308172998</v>
      </c>
      <c r="AF42" s="100">
        <v>0.08</v>
      </c>
      <c r="AG42" s="98">
        <v>444.00592007893437</v>
      </c>
      <c r="AH42" s="98">
        <v>213.7806281861536</v>
      </c>
      <c r="AI42" s="100">
        <v>0.018000000000000002</v>
      </c>
      <c r="AJ42" s="100">
        <v>0.78183</v>
      </c>
      <c r="AK42" s="100">
        <v>0.794715</v>
      </c>
      <c r="AL42" s="100">
        <v>0.805799</v>
      </c>
      <c r="AM42" s="100">
        <v>0.599861</v>
      </c>
      <c r="AN42" s="100">
        <v>0.643662</v>
      </c>
      <c r="AO42" s="98">
        <v>830.4555171846736</v>
      </c>
      <c r="AP42" s="158">
        <v>0.4326189041</v>
      </c>
      <c r="AQ42" s="100">
        <v>0.1782178217821782</v>
      </c>
      <c r="AR42" s="100">
        <v>0.5294117647058824</v>
      </c>
      <c r="AS42" s="98">
        <v>164.446637066272</v>
      </c>
      <c r="AT42" s="98">
        <v>148.0019733596448</v>
      </c>
      <c r="AU42" s="98" t="s">
        <v>569</v>
      </c>
      <c r="AV42" s="98">
        <v>82.223318533136</v>
      </c>
      <c r="AW42" s="98">
        <v>460.4505837855616</v>
      </c>
      <c r="AX42" s="98">
        <v>180.8913007728992</v>
      </c>
      <c r="AY42" s="98">
        <v>559.1185660253248</v>
      </c>
      <c r="AZ42" s="98">
        <v>386.4495971057392</v>
      </c>
      <c r="BA42" s="100" t="s">
        <v>569</v>
      </c>
      <c r="BB42" s="100" t="s">
        <v>569</v>
      </c>
      <c r="BC42" s="100" t="s">
        <v>569</v>
      </c>
      <c r="BD42" s="158">
        <v>0.35237522130000004</v>
      </c>
      <c r="BE42" s="158">
        <v>0.525671196</v>
      </c>
      <c r="BF42" s="162">
        <v>1563</v>
      </c>
      <c r="BG42" s="162">
        <v>492</v>
      </c>
      <c r="BH42" s="162">
        <v>2966</v>
      </c>
      <c r="BI42" s="162">
        <v>1442</v>
      </c>
      <c r="BJ42" s="162">
        <v>710</v>
      </c>
      <c r="BK42" s="97"/>
      <c r="BL42" s="97"/>
      <c r="BM42" s="97"/>
      <c r="BN42" s="97"/>
    </row>
    <row r="43" spans="1:66" ht="12.75">
      <c r="A43" s="79" t="s">
        <v>547</v>
      </c>
      <c r="B43" s="79" t="s">
        <v>316</v>
      </c>
      <c r="C43" s="79" t="s">
        <v>251</v>
      </c>
      <c r="D43" s="99">
        <v>4683</v>
      </c>
      <c r="E43" s="99">
        <v>560</v>
      </c>
      <c r="F43" s="99" t="s">
        <v>354</v>
      </c>
      <c r="G43" s="99">
        <v>15</v>
      </c>
      <c r="H43" s="99">
        <v>10</v>
      </c>
      <c r="I43" s="99">
        <v>67</v>
      </c>
      <c r="J43" s="99">
        <v>491</v>
      </c>
      <c r="K43" s="99">
        <v>245</v>
      </c>
      <c r="L43" s="99">
        <v>895</v>
      </c>
      <c r="M43" s="99">
        <v>303</v>
      </c>
      <c r="N43" s="99">
        <v>160</v>
      </c>
      <c r="O43" s="99">
        <v>45</v>
      </c>
      <c r="P43" s="159">
        <v>45</v>
      </c>
      <c r="Q43" s="99" t="s">
        <v>569</v>
      </c>
      <c r="R43" s="99">
        <v>11</v>
      </c>
      <c r="S43" s="99">
        <v>9</v>
      </c>
      <c r="T43" s="99" t="s">
        <v>569</v>
      </c>
      <c r="U43" s="99" t="s">
        <v>569</v>
      </c>
      <c r="V43" s="99">
        <v>11</v>
      </c>
      <c r="W43" s="99">
        <v>21</v>
      </c>
      <c r="X43" s="99">
        <v>12</v>
      </c>
      <c r="Y43" s="99">
        <v>27</v>
      </c>
      <c r="Z43" s="99">
        <v>15</v>
      </c>
      <c r="AA43" s="99" t="s">
        <v>569</v>
      </c>
      <c r="AB43" s="99" t="s">
        <v>569</v>
      </c>
      <c r="AC43" s="99" t="s">
        <v>569</v>
      </c>
      <c r="AD43" s="98" t="s">
        <v>332</v>
      </c>
      <c r="AE43" s="100">
        <v>0.11958146487294469</v>
      </c>
      <c r="AF43" s="100">
        <v>0.06</v>
      </c>
      <c r="AG43" s="98">
        <v>320.30749519538756</v>
      </c>
      <c r="AH43" s="98">
        <v>213.53833013025837</v>
      </c>
      <c r="AI43" s="100">
        <v>0.013999999999999999</v>
      </c>
      <c r="AJ43" s="100">
        <v>0.791935</v>
      </c>
      <c r="AK43" s="100">
        <v>0.862676</v>
      </c>
      <c r="AL43" s="100">
        <v>0.759118</v>
      </c>
      <c r="AM43" s="100">
        <v>0.63522</v>
      </c>
      <c r="AN43" s="100">
        <v>0.627451</v>
      </c>
      <c r="AO43" s="98">
        <v>960.9224855861627</v>
      </c>
      <c r="AP43" s="158">
        <v>0.5511264038</v>
      </c>
      <c r="AQ43" s="100" t="s">
        <v>569</v>
      </c>
      <c r="AR43" s="100" t="s">
        <v>569</v>
      </c>
      <c r="AS43" s="98">
        <v>192.18449711723255</v>
      </c>
      <c r="AT43" s="98" t="s">
        <v>569</v>
      </c>
      <c r="AU43" s="98" t="s">
        <v>569</v>
      </c>
      <c r="AV43" s="98">
        <v>234.89216314328422</v>
      </c>
      <c r="AW43" s="98">
        <v>448.4304932735426</v>
      </c>
      <c r="AX43" s="98">
        <v>256.24599615631007</v>
      </c>
      <c r="AY43" s="98">
        <v>576.5534913516976</v>
      </c>
      <c r="AZ43" s="98">
        <v>320.30749519538756</v>
      </c>
      <c r="BA43" s="100" t="s">
        <v>569</v>
      </c>
      <c r="BB43" s="100" t="s">
        <v>569</v>
      </c>
      <c r="BC43" s="100" t="s">
        <v>569</v>
      </c>
      <c r="BD43" s="158">
        <v>0.4019953537</v>
      </c>
      <c r="BE43" s="158">
        <v>0.7374504852</v>
      </c>
      <c r="BF43" s="162">
        <v>620</v>
      </c>
      <c r="BG43" s="162">
        <v>284</v>
      </c>
      <c r="BH43" s="162">
        <v>1179</v>
      </c>
      <c r="BI43" s="162">
        <v>477</v>
      </c>
      <c r="BJ43" s="162">
        <v>255</v>
      </c>
      <c r="BK43" s="97"/>
      <c r="BL43" s="97"/>
      <c r="BM43" s="97"/>
      <c r="BN43" s="97"/>
    </row>
    <row r="44" spans="1:66" ht="12.75">
      <c r="A44" s="79" t="s">
        <v>534</v>
      </c>
      <c r="B44" s="79" t="s">
        <v>303</v>
      </c>
      <c r="C44" s="79" t="s">
        <v>251</v>
      </c>
      <c r="D44" s="99">
        <v>7779</v>
      </c>
      <c r="E44" s="99">
        <v>1538</v>
      </c>
      <c r="F44" s="99" t="s">
        <v>352</v>
      </c>
      <c r="G44" s="99">
        <v>33</v>
      </c>
      <c r="H44" s="99">
        <v>15</v>
      </c>
      <c r="I44" s="99">
        <v>138</v>
      </c>
      <c r="J44" s="99">
        <v>867</v>
      </c>
      <c r="K44" s="99">
        <v>97</v>
      </c>
      <c r="L44" s="99">
        <v>1624</v>
      </c>
      <c r="M44" s="99">
        <v>655</v>
      </c>
      <c r="N44" s="99">
        <v>353</v>
      </c>
      <c r="O44" s="99">
        <v>154</v>
      </c>
      <c r="P44" s="159">
        <v>154</v>
      </c>
      <c r="Q44" s="99">
        <v>19</v>
      </c>
      <c r="R44" s="99">
        <v>43</v>
      </c>
      <c r="S44" s="99">
        <v>40</v>
      </c>
      <c r="T44" s="99">
        <v>8</v>
      </c>
      <c r="U44" s="99" t="s">
        <v>569</v>
      </c>
      <c r="V44" s="99">
        <v>73</v>
      </c>
      <c r="W44" s="99">
        <v>32</v>
      </c>
      <c r="X44" s="99">
        <v>24</v>
      </c>
      <c r="Y44" s="99">
        <v>41</v>
      </c>
      <c r="Z44" s="99">
        <v>68</v>
      </c>
      <c r="AA44" s="99" t="s">
        <v>569</v>
      </c>
      <c r="AB44" s="99" t="s">
        <v>569</v>
      </c>
      <c r="AC44" s="99" t="s">
        <v>569</v>
      </c>
      <c r="AD44" s="98" t="s">
        <v>332</v>
      </c>
      <c r="AE44" s="100">
        <v>0.1977117881475768</v>
      </c>
      <c r="AF44" s="100">
        <v>0.09</v>
      </c>
      <c r="AG44" s="98">
        <v>424.2190512919398</v>
      </c>
      <c r="AH44" s="98">
        <v>192.8268414963363</v>
      </c>
      <c r="AI44" s="100">
        <v>0.018000000000000002</v>
      </c>
      <c r="AJ44" s="100">
        <v>0.776186</v>
      </c>
      <c r="AK44" s="100">
        <v>0.718519</v>
      </c>
      <c r="AL44" s="100">
        <v>0.842324</v>
      </c>
      <c r="AM44" s="100">
        <v>0.624404</v>
      </c>
      <c r="AN44" s="100">
        <v>0.680154</v>
      </c>
      <c r="AO44" s="98">
        <v>1979.6889060290525</v>
      </c>
      <c r="AP44" s="158">
        <v>0.9525834656000001</v>
      </c>
      <c r="AQ44" s="100">
        <v>0.12337662337662338</v>
      </c>
      <c r="AR44" s="100">
        <v>0.4418604651162791</v>
      </c>
      <c r="AS44" s="98">
        <v>514.2049106568968</v>
      </c>
      <c r="AT44" s="98">
        <v>102.84098213137935</v>
      </c>
      <c r="AU44" s="98" t="s">
        <v>569</v>
      </c>
      <c r="AV44" s="98">
        <v>938.4239619488366</v>
      </c>
      <c r="AW44" s="98">
        <v>411.3639285255174</v>
      </c>
      <c r="AX44" s="98">
        <v>308.52294639413805</v>
      </c>
      <c r="AY44" s="98">
        <v>527.0600334233192</v>
      </c>
      <c r="AZ44" s="98">
        <v>874.1483481167245</v>
      </c>
      <c r="BA44" s="100" t="s">
        <v>569</v>
      </c>
      <c r="BB44" s="100" t="s">
        <v>569</v>
      </c>
      <c r="BC44" s="100" t="s">
        <v>569</v>
      </c>
      <c r="BD44" s="158">
        <v>0.8080755614999999</v>
      </c>
      <c r="BE44" s="158">
        <v>1.115476913</v>
      </c>
      <c r="BF44" s="162">
        <v>1117</v>
      </c>
      <c r="BG44" s="162">
        <v>135</v>
      </c>
      <c r="BH44" s="162">
        <v>1928</v>
      </c>
      <c r="BI44" s="162">
        <v>1049</v>
      </c>
      <c r="BJ44" s="162">
        <v>519</v>
      </c>
      <c r="BK44" s="97"/>
      <c r="BL44" s="97"/>
      <c r="BM44" s="97"/>
      <c r="BN44" s="97"/>
    </row>
    <row r="45" spans="1:66" ht="12.75">
      <c r="A45" s="79" t="s">
        <v>526</v>
      </c>
      <c r="B45" s="79" t="s">
        <v>294</v>
      </c>
      <c r="C45" s="79" t="s">
        <v>251</v>
      </c>
      <c r="D45" s="99">
        <v>3949</v>
      </c>
      <c r="E45" s="99">
        <v>740</v>
      </c>
      <c r="F45" s="99" t="s">
        <v>354</v>
      </c>
      <c r="G45" s="99">
        <v>30</v>
      </c>
      <c r="H45" s="99">
        <v>10</v>
      </c>
      <c r="I45" s="99">
        <v>88</v>
      </c>
      <c r="J45" s="99">
        <v>476</v>
      </c>
      <c r="K45" s="99" t="s">
        <v>569</v>
      </c>
      <c r="L45" s="99">
        <v>754</v>
      </c>
      <c r="M45" s="99">
        <v>373</v>
      </c>
      <c r="N45" s="99">
        <v>205</v>
      </c>
      <c r="O45" s="99">
        <v>29</v>
      </c>
      <c r="P45" s="159">
        <v>29</v>
      </c>
      <c r="Q45" s="99">
        <v>8</v>
      </c>
      <c r="R45" s="99">
        <v>22</v>
      </c>
      <c r="S45" s="99">
        <v>10</v>
      </c>
      <c r="T45" s="99" t="s">
        <v>569</v>
      </c>
      <c r="U45" s="99" t="s">
        <v>569</v>
      </c>
      <c r="V45" s="99" t="s">
        <v>569</v>
      </c>
      <c r="W45" s="99">
        <v>26</v>
      </c>
      <c r="X45" s="99">
        <v>18</v>
      </c>
      <c r="Y45" s="99">
        <v>25</v>
      </c>
      <c r="Z45" s="99">
        <v>36</v>
      </c>
      <c r="AA45" s="99" t="s">
        <v>569</v>
      </c>
      <c r="AB45" s="99" t="s">
        <v>569</v>
      </c>
      <c r="AC45" s="99" t="s">
        <v>569</v>
      </c>
      <c r="AD45" s="98" t="s">
        <v>332</v>
      </c>
      <c r="AE45" s="100">
        <v>0.18738921245885035</v>
      </c>
      <c r="AF45" s="100">
        <v>0.08</v>
      </c>
      <c r="AG45" s="98">
        <v>759.6859964547987</v>
      </c>
      <c r="AH45" s="98">
        <v>253.2286654849329</v>
      </c>
      <c r="AI45" s="100">
        <v>0.022000000000000002</v>
      </c>
      <c r="AJ45" s="100">
        <v>0.775244</v>
      </c>
      <c r="AK45" s="100" t="s">
        <v>569</v>
      </c>
      <c r="AL45" s="100">
        <v>0.782158</v>
      </c>
      <c r="AM45" s="100">
        <v>0.631134</v>
      </c>
      <c r="AN45" s="100">
        <v>0.667752</v>
      </c>
      <c r="AO45" s="98">
        <v>734.3631299063054</v>
      </c>
      <c r="AP45" s="158">
        <v>0.35436832430000004</v>
      </c>
      <c r="AQ45" s="100">
        <v>0.27586206896551724</v>
      </c>
      <c r="AR45" s="100">
        <v>0.36363636363636365</v>
      </c>
      <c r="AS45" s="98">
        <v>253.2286654849329</v>
      </c>
      <c r="AT45" s="98" t="s">
        <v>569</v>
      </c>
      <c r="AU45" s="98" t="s">
        <v>569</v>
      </c>
      <c r="AV45" s="98" t="s">
        <v>569</v>
      </c>
      <c r="AW45" s="98">
        <v>658.3945302608255</v>
      </c>
      <c r="AX45" s="98">
        <v>455.8115978728792</v>
      </c>
      <c r="AY45" s="98">
        <v>633.0716637123322</v>
      </c>
      <c r="AZ45" s="98">
        <v>911.6231957457584</v>
      </c>
      <c r="BA45" s="100" t="s">
        <v>569</v>
      </c>
      <c r="BB45" s="100" t="s">
        <v>569</v>
      </c>
      <c r="BC45" s="100" t="s">
        <v>569</v>
      </c>
      <c r="BD45" s="158">
        <v>0.23732601169999998</v>
      </c>
      <c r="BE45" s="158">
        <v>0.5089319992</v>
      </c>
      <c r="BF45" s="162">
        <v>614</v>
      </c>
      <c r="BG45" s="162" t="s">
        <v>569</v>
      </c>
      <c r="BH45" s="162">
        <v>964</v>
      </c>
      <c r="BI45" s="162">
        <v>591</v>
      </c>
      <c r="BJ45" s="162">
        <v>307</v>
      </c>
      <c r="BK45" s="97"/>
      <c r="BL45" s="97"/>
      <c r="BM45" s="97"/>
      <c r="BN45" s="97"/>
    </row>
    <row r="46" spans="1:66" ht="12.75">
      <c r="A46" s="79" t="s">
        <v>559</v>
      </c>
      <c r="B46" s="79" t="s">
        <v>328</v>
      </c>
      <c r="C46" s="79" t="s">
        <v>251</v>
      </c>
      <c r="D46" s="99">
        <v>2192</v>
      </c>
      <c r="E46" s="99">
        <v>363</v>
      </c>
      <c r="F46" s="99" t="s">
        <v>354</v>
      </c>
      <c r="G46" s="99">
        <v>11</v>
      </c>
      <c r="H46" s="99">
        <v>9</v>
      </c>
      <c r="I46" s="99">
        <v>32</v>
      </c>
      <c r="J46" s="99">
        <v>242</v>
      </c>
      <c r="K46" s="99" t="s">
        <v>569</v>
      </c>
      <c r="L46" s="99">
        <v>381</v>
      </c>
      <c r="M46" s="99">
        <v>177</v>
      </c>
      <c r="N46" s="99">
        <v>101</v>
      </c>
      <c r="O46" s="99">
        <v>16</v>
      </c>
      <c r="P46" s="159">
        <v>16</v>
      </c>
      <c r="Q46" s="99" t="s">
        <v>569</v>
      </c>
      <c r="R46" s="99">
        <v>6</v>
      </c>
      <c r="S46" s="99">
        <v>6</v>
      </c>
      <c r="T46" s="99" t="s">
        <v>569</v>
      </c>
      <c r="U46" s="99" t="s">
        <v>569</v>
      </c>
      <c r="V46" s="99" t="s">
        <v>569</v>
      </c>
      <c r="W46" s="99">
        <v>9</v>
      </c>
      <c r="X46" s="99">
        <v>6</v>
      </c>
      <c r="Y46" s="99">
        <v>21</v>
      </c>
      <c r="Z46" s="99">
        <v>10</v>
      </c>
      <c r="AA46" s="99" t="s">
        <v>569</v>
      </c>
      <c r="AB46" s="99" t="s">
        <v>569</v>
      </c>
      <c r="AC46" s="99" t="s">
        <v>569</v>
      </c>
      <c r="AD46" s="98" t="s">
        <v>332</v>
      </c>
      <c r="AE46" s="100">
        <v>0.1656021897810219</v>
      </c>
      <c r="AF46" s="100">
        <v>0.08</v>
      </c>
      <c r="AG46" s="98">
        <v>501.82481751824815</v>
      </c>
      <c r="AH46" s="98">
        <v>410.5839416058394</v>
      </c>
      <c r="AI46" s="100">
        <v>0.015</v>
      </c>
      <c r="AJ46" s="100">
        <v>0.75625</v>
      </c>
      <c r="AK46" s="100" t="s">
        <v>569</v>
      </c>
      <c r="AL46" s="100">
        <v>0.762</v>
      </c>
      <c r="AM46" s="100">
        <v>0.52994</v>
      </c>
      <c r="AN46" s="100">
        <v>0.558011</v>
      </c>
      <c r="AO46" s="98">
        <v>729.92700729927</v>
      </c>
      <c r="AP46" s="158">
        <v>0.3798744583</v>
      </c>
      <c r="AQ46" s="100" t="s">
        <v>569</v>
      </c>
      <c r="AR46" s="100" t="s">
        <v>569</v>
      </c>
      <c r="AS46" s="98">
        <v>273.7226277372263</v>
      </c>
      <c r="AT46" s="98" t="s">
        <v>569</v>
      </c>
      <c r="AU46" s="98" t="s">
        <v>569</v>
      </c>
      <c r="AV46" s="98" t="s">
        <v>569</v>
      </c>
      <c r="AW46" s="98">
        <v>410.5839416058394</v>
      </c>
      <c r="AX46" s="98">
        <v>273.7226277372263</v>
      </c>
      <c r="AY46" s="98">
        <v>958.029197080292</v>
      </c>
      <c r="AZ46" s="98">
        <v>456.2043795620438</v>
      </c>
      <c r="BA46" s="100" t="s">
        <v>569</v>
      </c>
      <c r="BB46" s="100" t="s">
        <v>569</v>
      </c>
      <c r="BC46" s="100" t="s">
        <v>569</v>
      </c>
      <c r="BD46" s="158">
        <v>0.21713106159999998</v>
      </c>
      <c r="BE46" s="158">
        <v>0.6168923187</v>
      </c>
      <c r="BF46" s="162">
        <v>320</v>
      </c>
      <c r="BG46" s="162" t="s">
        <v>569</v>
      </c>
      <c r="BH46" s="162">
        <v>500</v>
      </c>
      <c r="BI46" s="162">
        <v>334</v>
      </c>
      <c r="BJ46" s="162">
        <v>181</v>
      </c>
      <c r="BK46" s="97"/>
      <c r="BL46" s="97"/>
      <c r="BM46" s="97"/>
      <c r="BN46" s="97"/>
    </row>
    <row r="47" spans="1:66" ht="12.75">
      <c r="A47" s="79" t="s">
        <v>529</v>
      </c>
      <c r="B47" s="79" t="s">
        <v>297</v>
      </c>
      <c r="C47" s="79" t="s">
        <v>251</v>
      </c>
      <c r="D47" s="99">
        <v>7664</v>
      </c>
      <c r="E47" s="99">
        <v>1604</v>
      </c>
      <c r="F47" s="99" t="s">
        <v>354</v>
      </c>
      <c r="G47" s="99">
        <v>42</v>
      </c>
      <c r="H47" s="99">
        <v>25</v>
      </c>
      <c r="I47" s="99">
        <v>139</v>
      </c>
      <c r="J47" s="99">
        <v>855</v>
      </c>
      <c r="K47" s="99">
        <v>762</v>
      </c>
      <c r="L47" s="99">
        <v>1352</v>
      </c>
      <c r="M47" s="99">
        <v>669</v>
      </c>
      <c r="N47" s="99">
        <v>367</v>
      </c>
      <c r="O47" s="99">
        <v>139</v>
      </c>
      <c r="P47" s="159">
        <v>139</v>
      </c>
      <c r="Q47" s="99">
        <v>18</v>
      </c>
      <c r="R47" s="99">
        <v>31</v>
      </c>
      <c r="S47" s="99">
        <v>23</v>
      </c>
      <c r="T47" s="99">
        <v>23</v>
      </c>
      <c r="U47" s="99" t="s">
        <v>569</v>
      </c>
      <c r="V47" s="99">
        <v>28</v>
      </c>
      <c r="W47" s="99">
        <v>58</v>
      </c>
      <c r="X47" s="99">
        <v>23</v>
      </c>
      <c r="Y47" s="99">
        <v>53</v>
      </c>
      <c r="Z47" s="99">
        <v>38</v>
      </c>
      <c r="AA47" s="99" t="s">
        <v>569</v>
      </c>
      <c r="AB47" s="99" t="s">
        <v>569</v>
      </c>
      <c r="AC47" s="99" t="s">
        <v>569</v>
      </c>
      <c r="AD47" s="98" t="s">
        <v>332</v>
      </c>
      <c r="AE47" s="100">
        <v>0.2092901878914405</v>
      </c>
      <c r="AF47" s="100">
        <v>0.08</v>
      </c>
      <c r="AG47" s="98">
        <v>548.0167014613779</v>
      </c>
      <c r="AH47" s="98">
        <v>326.2004175365345</v>
      </c>
      <c r="AI47" s="100">
        <v>0.018000000000000002</v>
      </c>
      <c r="AJ47" s="100">
        <v>0.821326</v>
      </c>
      <c r="AK47" s="100">
        <v>0.811502</v>
      </c>
      <c r="AL47" s="100">
        <v>0.783768</v>
      </c>
      <c r="AM47" s="100">
        <v>0.643888</v>
      </c>
      <c r="AN47" s="100">
        <v>0.678373</v>
      </c>
      <c r="AO47" s="98">
        <v>1813.6743215031315</v>
      </c>
      <c r="AP47" s="158">
        <v>0.8747845459</v>
      </c>
      <c r="AQ47" s="100">
        <v>0.12949640287769784</v>
      </c>
      <c r="AR47" s="100">
        <v>0.5806451612903226</v>
      </c>
      <c r="AS47" s="98">
        <v>300.1043841336117</v>
      </c>
      <c r="AT47" s="98">
        <v>300.1043841336117</v>
      </c>
      <c r="AU47" s="98" t="s">
        <v>569</v>
      </c>
      <c r="AV47" s="98">
        <v>365.3444676409186</v>
      </c>
      <c r="AW47" s="98">
        <v>756.7849686847599</v>
      </c>
      <c r="AX47" s="98">
        <v>300.1043841336117</v>
      </c>
      <c r="AY47" s="98">
        <v>691.544885177453</v>
      </c>
      <c r="AZ47" s="98">
        <v>495.82463465553235</v>
      </c>
      <c r="BA47" s="100" t="s">
        <v>569</v>
      </c>
      <c r="BB47" s="100" t="s">
        <v>569</v>
      </c>
      <c r="BC47" s="100" t="s">
        <v>569</v>
      </c>
      <c r="BD47" s="158">
        <v>0.7354080199999999</v>
      </c>
      <c r="BE47" s="158">
        <v>1.032892456</v>
      </c>
      <c r="BF47" s="162">
        <v>1041</v>
      </c>
      <c r="BG47" s="162">
        <v>939</v>
      </c>
      <c r="BH47" s="162">
        <v>1725</v>
      </c>
      <c r="BI47" s="162">
        <v>1039</v>
      </c>
      <c r="BJ47" s="162">
        <v>541</v>
      </c>
      <c r="BK47" s="97"/>
      <c r="BL47" s="97"/>
      <c r="BM47" s="97"/>
      <c r="BN47" s="97"/>
    </row>
    <row r="48" spans="1:66" ht="12.75">
      <c r="A48" s="79" t="s">
        <v>546</v>
      </c>
      <c r="B48" s="79" t="s">
        <v>315</v>
      </c>
      <c r="C48" s="79" t="s">
        <v>251</v>
      </c>
      <c r="D48" s="99">
        <v>2849</v>
      </c>
      <c r="E48" s="99">
        <v>615</v>
      </c>
      <c r="F48" s="99" t="s">
        <v>352</v>
      </c>
      <c r="G48" s="99">
        <v>20</v>
      </c>
      <c r="H48" s="99">
        <v>9</v>
      </c>
      <c r="I48" s="99">
        <v>35</v>
      </c>
      <c r="J48" s="99">
        <v>335</v>
      </c>
      <c r="K48" s="99" t="s">
        <v>569</v>
      </c>
      <c r="L48" s="99">
        <v>520</v>
      </c>
      <c r="M48" s="99">
        <v>238</v>
      </c>
      <c r="N48" s="99">
        <v>144</v>
      </c>
      <c r="O48" s="99">
        <v>28</v>
      </c>
      <c r="P48" s="159">
        <v>28</v>
      </c>
      <c r="Q48" s="99">
        <v>6</v>
      </c>
      <c r="R48" s="99">
        <v>11</v>
      </c>
      <c r="S48" s="99">
        <v>7</v>
      </c>
      <c r="T48" s="99" t="s">
        <v>569</v>
      </c>
      <c r="U48" s="99" t="s">
        <v>569</v>
      </c>
      <c r="V48" s="99">
        <v>11</v>
      </c>
      <c r="W48" s="99">
        <v>7</v>
      </c>
      <c r="X48" s="99">
        <v>10</v>
      </c>
      <c r="Y48" s="99">
        <v>19</v>
      </c>
      <c r="Z48" s="99">
        <v>11</v>
      </c>
      <c r="AA48" s="99" t="s">
        <v>569</v>
      </c>
      <c r="AB48" s="99" t="s">
        <v>569</v>
      </c>
      <c r="AC48" s="99" t="s">
        <v>569</v>
      </c>
      <c r="AD48" s="98" t="s">
        <v>332</v>
      </c>
      <c r="AE48" s="100">
        <v>0.21586521586521587</v>
      </c>
      <c r="AF48" s="100">
        <v>0.09</v>
      </c>
      <c r="AG48" s="98">
        <v>702.000702000702</v>
      </c>
      <c r="AH48" s="98">
        <v>315.9003159003159</v>
      </c>
      <c r="AI48" s="100">
        <v>0.012</v>
      </c>
      <c r="AJ48" s="100">
        <v>0.751121</v>
      </c>
      <c r="AK48" s="100" t="s">
        <v>569</v>
      </c>
      <c r="AL48" s="100">
        <v>0.793893</v>
      </c>
      <c r="AM48" s="100">
        <v>0.554779</v>
      </c>
      <c r="AN48" s="100">
        <v>0.657534</v>
      </c>
      <c r="AO48" s="98">
        <v>982.8009828009828</v>
      </c>
      <c r="AP48" s="158">
        <v>0.4417944717</v>
      </c>
      <c r="AQ48" s="100">
        <v>0.21428571428571427</v>
      </c>
      <c r="AR48" s="100">
        <v>0.5454545454545454</v>
      </c>
      <c r="AS48" s="98">
        <v>245.7002457002457</v>
      </c>
      <c r="AT48" s="98" t="s">
        <v>569</v>
      </c>
      <c r="AU48" s="98" t="s">
        <v>569</v>
      </c>
      <c r="AV48" s="98">
        <v>386.1003861003861</v>
      </c>
      <c r="AW48" s="98">
        <v>245.7002457002457</v>
      </c>
      <c r="AX48" s="98">
        <v>351.000351000351</v>
      </c>
      <c r="AY48" s="98">
        <v>666.9006669006669</v>
      </c>
      <c r="AZ48" s="98">
        <v>386.1003861003861</v>
      </c>
      <c r="BA48" s="100" t="s">
        <v>569</v>
      </c>
      <c r="BB48" s="100" t="s">
        <v>569</v>
      </c>
      <c r="BC48" s="100" t="s">
        <v>569</v>
      </c>
      <c r="BD48" s="158">
        <v>0.2935692215</v>
      </c>
      <c r="BE48" s="158">
        <v>0.6385160065000001</v>
      </c>
      <c r="BF48" s="162">
        <v>446</v>
      </c>
      <c r="BG48" s="162" t="s">
        <v>569</v>
      </c>
      <c r="BH48" s="162">
        <v>655</v>
      </c>
      <c r="BI48" s="162">
        <v>429</v>
      </c>
      <c r="BJ48" s="162">
        <v>219</v>
      </c>
      <c r="BK48" s="97"/>
      <c r="BL48" s="97"/>
      <c r="BM48" s="97"/>
      <c r="BN48" s="97"/>
    </row>
    <row r="49" spans="1:66" ht="12.75">
      <c r="A49" s="79" t="s">
        <v>522</v>
      </c>
      <c r="B49" s="79" t="s">
        <v>290</v>
      </c>
      <c r="C49" s="79" t="s">
        <v>251</v>
      </c>
      <c r="D49" s="99">
        <v>12134</v>
      </c>
      <c r="E49" s="99">
        <v>1734</v>
      </c>
      <c r="F49" s="99" t="s">
        <v>352</v>
      </c>
      <c r="G49" s="99">
        <v>55</v>
      </c>
      <c r="H49" s="99">
        <v>27</v>
      </c>
      <c r="I49" s="99">
        <v>187</v>
      </c>
      <c r="J49" s="99">
        <v>1001</v>
      </c>
      <c r="K49" s="99">
        <v>165</v>
      </c>
      <c r="L49" s="99">
        <v>2396</v>
      </c>
      <c r="M49" s="99">
        <v>603</v>
      </c>
      <c r="N49" s="99">
        <v>344</v>
      </c>
      <c r="O49" s="99">
        <v>192</v>
      </c>
      <c r="P49" s="159">
        <v>192</v>
      </c>
      <c r="Q49" s="99">
        <v>19</v>
      </c>
      <c r="R49" s="99">
        <v>35</v>
      </c>
      <c r="S49" s="99">
        <v>47</v>
      </c>
      <c r="T49" s="99">
        <v>13</v>
      </c>
      <c r="U49" s="99">
        <v>6</v>
      </c>
      <c r="V49" s="99">
        <v>47</v>
      </c>
      <c r="W49" s="99">
        <v>51</v>
      </c>
      <c r="X49" s="99">
        <v>33</v>
      </c>
      <c r="Y49" s="99">
        <v>94</v>
      </c>
      <c r="Z49" s="99">
        <v>52</v>
      </c>
      <c r="AA49" s="99" t="s">
        <v>569</v>
      </c>
      <c r="AB49" s="99" t="s">
        <v>569</v>
      </c>
      <c r="AC49" s="99" t="s">
        <v>569</v>
      </c>
      <c r="AD49" s="98" t="s">
        <v>332</v>
      </c>
      <c r="AE49" s="100">
        <v>0.1429042360309873</v>
      </c>
      <c r="AF49" s="100">
        <v>0.09</v>
      </c>
      <c r="AG49" s="98">
        <v>453.27179825284327</v>
      </c>
      <c r="AH49" s="98">
        <v>222.51524641503215</v>
      </c>
      <c r="AI49" s="100">
        <v>0.015</v>
      </c>
      <c r="AJ49" s="100">
        <v>0.809871</v>
      </c>
      <c r="AK49" s="100">
        <v>0.717391</v>
      </c>
      <c r="AL49" s="100">
        <v>0.761602</v>
      </c>
      <c r="AM49" s="100">
        <v>0.560409</v>
      </c>
      <c r="AN49" s="100">
        <v>0.602452</v>
      </c>
      <c r="AO49" s="98">
        <v>1582.3306411735618</v>
      </c>
      <c r="AP49" s="158">
        <v>0.9108250427</v>
      </c>
      <c r="AQ49" s="100">
        <v>0.09895833333333333</v>
      </c>
      <c r="AR49" s="100">
        <v>0.5428571428571428</v>
      </c>
      <c r="AS49" s="98">
        <v>387.3413548706115</v>
      </c>
      <c r="AT49" s="98">
        <v>107.13697049612658</v>
      </c>
      <c r="AU49" s="98">
        <v>49.44783253667381</v>
      </c>
      <c r="AV49" s="98">
        <v>387.3413548706115</v>
      </c>
      <c r="AW49" s="98">
        <v>420.30657656172735</v>
      </c>
      <c r="AX49" s="98">
        <v>271.96307895170594</v>
      </c>
      <c r="AY49" s="98">
        <v>774.682709741223</v>
      </c>
      <c r="AZ49" s="98">
        <v>428.5478819845063</v>
      </c>
      <c r="BA49" s="100" t="s">
        <v>569</v>
      </c>
      <c r="BB49" s="100" t="s">
        <v>569</v>
      </c>
      <c r="BC49" s="100" t="s">
        <v>569</v>
      </c>
      <c r="BD49" s="158">
        <v>0.7865407562</v>
      </c>
      <c r="BE49" s="158">
        <v>1.0491713710000001</v>
      </c>
      <c r="BF49" s="162">
        <v>1236</v>
      </c>
      <c r="BG49" s="162">
        <v>230</v>
      </c>
      <c r="BH49" s="162">
        <v>3146</v>
      </c>
      <c r="BI49" s="162">
        <v>1076</v>
      </c>
      <c r="BJ49" s="162">
        <v>571</v>
      </c>
      <c r="BK49" s="97"/>
      <c r="BL49" s="97"/>
      <c r="BM49" s="97"/>
      <c r="BN49" s="97"/>
    </row>
    <row r="50" spans="1:66" ht="12.75">
      <c r="A50" s="79" t="s">
        <v>538</v>
      </c>
      <c r="B50" s="79" t="s">
        <v>307</v>
      </c>
      <c r="C50" s="79" t="s">
        <v>251</v>
      </c>
      <c r="D50" s="99">
        <v>5846</v>
      </c>
      <c r="E50" s="99">
        <v>1062</v>
      </c>
      <c r="F50" s="99" t="s">
        <v>352</v>
      </c>
      <c r="G50" s="99">
        <v>26</v>
      </c>
      <c r="H50" s="99">
        <v>16</v>
      </c>
      <c r="I50" s="99">
        <v>78</v>
      </c>
      <c r="J50" s="99">
        <v>608</v>
      </c>
      <c r="K50" s="99">
        <v>15</v>
      </c>
      <c r="L50" s="99">
        <v>1082</v>
      </c>
      <c r="M50" s="99">
        <v>434</v>
      </c>
      <c r="N50" s="99">
        <v>260</v>
      </c>
      <c r="O50" s="99">
        <v>65</v>
      </c>
      <c r="P50" s="159">
        <v>65</v>
      </c>
      <c r="Q50" s="99">
        <v>12</v>
      </c>
      <c r="R50" s="99">
        <v>24</v>
      </c>
      <c r="S50" s="99">
        <v>24</v>
      </c>
      <c r="T50" s="99">
        <v>10</v>
      </c>
      <c r="U50" s="99" t="s">
        <v>569</v>
      </c>
      <c r="V50" s="99" t="s">
        <v>569</v>
      </c>
      <c r="W50" s="99">
        <v>29</v>
      </c>
      <c r="X50" s="99">
        <v>22</v>
      </c>
      <c r="Y50" s="99">
        <v>52</v>
      </c>
      <c r="Z50" s="99">
        <v>42</v>
      </c>
      <c r="AA50" s="99" t="s">
        <v>569</v>
      </c>
      <c r="AB50" s="99" t="s">
        <v>569</v>
      </c>
      <c r="AC50" s="99" t="s">
        <v>569</v>
      </c>
      <c r="AD50" s="98" t="s">
        <v>332</v>
      </c>
      <c r="AE50" s="100">
        <v>0.1816626753335614</v>
      </c>
      <c r="AF50" s="100">
        <v>0.11</v>
      </c>
      <c r="AG50" s="98">
        <v>444.7485460143688</v>
      </c>
      <c r="AH50" s="98">
        <v>273.6914129319193</v>
      </c>
      <c r="AI50" s="100">
        <v>0.013000000000000001</v>
      </c>
      <c r="AJ50" s="100">
        <v>0.73697</v>
      </c>
      <c r="AK50" s="100">
        <v>0.75</v>
      </c>
      <c r="AL50" s="100">
        <v>0.785196</v>
      </c>
      <c r="AM50" s="100">
        <v>0.537129</v>
      </c>
      <c r="AN50" s="100">
        <v>0.603248</v>
      </c>
      <c r="AO50" s="98">
        <v>1111.871365035922</v>
      </c>
      <c r="AP50" s="158">
        <v>0.563296051</v>
      </c>
      <c r="AQ50" s="100">
        <v>0.18461538461538463</v>
      </c>
      <c r="AR50" s="100">
        <v>0.5</v>
      </c>
      <c r="AS50" s="98">
        <v>410.5371193978789</v>
      </c>
      <c r="AT50" s="98">
        <v>171.05713308244952</v>
      </c>
      <c r="AU50" s="98" t="s">
        <v>569</v>
      </c>
      <c r="AV50" s="98" t="s">
        <v>569</v>
      </c>
      <c r="AW50" s="98">
        <v>496.0656859391037</v>
      </c>
      <c r="AX50" s="98">
        <v>376.32569278138897</v>
      </c>
      <c r="AY50" s="98">
        <v>889.4970920287376</v>
      </c>
      <c r="AZ50" s="98">
        <v>718.439958946288</v>
      </c>
      <c r="BA50" s="100" t="s">
        <v>569</v>
      </c>
      <c r="BB50" s="100" t="s">
        <v>569</v>
      </c>
      <c r="BC50" s="100" t="s">
        <v>569</v>
      </c>
      <c r="BD50" s="158">
        <v>0.4347399902</v>
      </c>
      <c r="BE50" s="158">
        <v>0.7179670715</v>
      </c>
      <c r="BF50" s="162">
        <v>825</v>
      </c>
      <c r="BG50" s="162">
        <v>20</v>
      </c>
      <c r="BH50" s="162">
        <v>1378</v>
      </c>
      <c r="BI50" s="162">
        <v>808</v>
      </c>
      <c r="BJ50" s="162">
        <v>431</v>
      </c>
      <c r="BK50" s="97"/>
      <c r="BL50" s="97"/>
      <c r="BM50" s="97"/>
      <c r="BN50" s="97"/>
    </row>
    <row r="51" spans="1:66" ht="12.75">
      <c r="A51" s="79" t="s">
        <v>548</v>
      </c>
      <c r="B51" s="79" t="s">
        <v>317</v>
      </c>
      <c r="C51" s="79" t="s">
        <v>251</v>
      </c>
      <c r="D51" s="99">
        <v>4919</v>
      </c>
      <c r="E51" s="99">
        <v>668</v>
      </c>
      <c r="F51" s="99" t="s">
        <v>353</v>
      </c>
      <c r="G51" s="99">
        <v>21</v>
      </c>
      <c r="H51" s="99">
        <v>14</v>
      </c>
      <c r="I51" s="99">
        <v>46</v>
      </c>
      <c r="J51" s="99">
        <v>410</v>
      </c>
      <c r="K51" s="99">
        <v>17</v>
      </c>
      <c r="L51" s="99">
        <v>959</v>
      </c>
      <c r="M51" s="99">
        <v>261</v>
      </c>
      <c r="N51" s="99">
        <v>129</v>
      </c>
      <c r="O51" s="99">
        <v>45</v>
      </c>
      <c r="P51" s="159">
        <v>45</v>
      </c>
      <c r="Q51" s="99">
        <v>6</v>
      </c>
      <c r="R51" s="99">
        <v>12</v>
      </c>
      <c r="S51" s="99">
        <v>8</v>
      </c>
      <c r="T51" s="99">
        <v>7</v>
      </c>
      <c r="U51" s="99" t="s">
        <v>569</v>
      </c>
      <c r="V51" s="99">
        <v>7</v>
      </c>
      <c r="W51" s="99">
        <v>11</v>
      </c>
      <c r="X51" s="99">
        <v>8</v>
      </c>
      <c r="Y51" s="99">
        <v>25</v>
      </c>
      <c r="Z51" s="99">
        <v>18</v>
      </c>
      <c r="AA51" s="99" t="s">
        <v>569</v>
      </c>
      <c r="AB51" s="99" t="s">
        <v>569</v>
      </c>
      <c r="AC51" s="99" t="s">
        <v>569</v>
      </c>
      <c r="AD51" s="98" t="s">
        <v>332</v>
      </c>
      <c r="AE51" s="100">
        <v>0.13579995934132955</v>
      </c>
      <c r="AF51" s="100">
        <v>0.14</v>
      </c>
      <c r="AG51" s="98">
        <v>426.91603984549704</v>
      </c>
      <c r="AH51" s="98">
        <v>284.6106932303314</v>
      </c>
      <c r="AI51" s="100">
        <v>0.009000000000000001</v>
      </c>
      <c r="AJ51" s="100">
        <v>0.702055</v>
      </c>
      <c r="AK51" s="100">
        <v>0.68</v>
      </c>
      <c r="AL51" s="100">
        <v>0.753931</v>
      </c>
      <c r="AM51" s="100">
        <v>0.478899</v>
      </c>
      <c r="AN51" s="100">
        <v>0.477778</v>
      </c>
      <c r="AO51" s="98">
        <v>914.8200853832079</v>
      </c>
      <c r="AP51" s="158">
        <v>0.5330993271</v>
      </c>
      <c r="AQ51" s="100">
        <v>0.13333333333333333</v>
      </c>
      <c r="AR51" s="100">
        <v>0.5</v>
      </c>
      <c r="AS51" s="98">
        <v>162.63468184590363</v>
      </c>
      <c r="AT51" s="98">
        <v>142.3053466151657</v>
      </c>
      <c r="AU51" s="98" t="s">
        <v>569</v>
      </c>
      <c r="AV51" s="98">
        <v>142.3053466151657</v>
      </c>
      <c r="AW51" s="98">
        <v>223.6226875381175</v>
      </c>
      <c r="AX51" s="98">
        <v>162.63468184590363</v>
      </c>
      <c r="AY51" s="98">
        <v>508.23338076844885</v>
      </c>
      <c r="AZ51" s="98">
        <v>365.9280341532832</v>
      </c>
      <c r="BA51" s="101" t="s">
        <v>569</v>
      </c>
      <c r="BB51" s="101" t="s">
        <v>569</v>
      </c>
      <c r="BC51" s="101" t="s">
        <v>569</v>
      </c>
      <c r="BD51" s="158">
        <v>0.3888463211</v>
      </c>
      <c r="BE51" s="158">
        <v>0.7133288574</v>
      </c>
      <c r="BF51" s="162">
        <v>584</v>
      </c>
      <c r="BG51" s="162">
        <v>25</v>
      </c>
      <c r="BH51" s="162">
        <v>1272</v>
      </c>
      <c r="BI51" s="162">
        <v>545</v>
      </c>
      <c r="BJ51" s="162">
        <v>270</v>
      </c>
      <c r="BK51" s="97"/>
      <c r="BL51" s="97"/>
      <c r="BM51" s="97"/>
      <c r="BN51" s="97"/>
    </row>
    <row r="52" spans="1:66" ht="12.75">
      <c r="A52" s="79" t="s">
        <v>551</v>
      </c>
      <c r="B52" s="79" t="s">
        <v>320</v>
      </c>
      <c r="C52" s="79" t="s">
        <v>251</v>
      </c>
      <c r="D52" s="99">
        <v>2113</v>
      </c>
      <c r="E52" s="99">
        <v>223</v>
      </c>
      <c r="F52" s="99" t="s">
        <v>354</v>
      </c>
      <c r="G52" s="99" t="s">
        <v>569</v>
      </c>
      <c r="H52" s="99" t="s">
        <v>569</v>
      </c>
      <c r="I52" s="99">
        <v>29</v>
      </c>
      <c r="J52" s="99">
        <v>199</v>
      </c>
      <c r="K52" s="99">
        <v>161</v>
      </c>
      <c r="L52" s="99">
        <v>413</v>
      </c>
      <c r="M52" s="99">
        <v>121</v>
      </c>
      <c r="N52" s="99">
        <v>57</v>
      </c>
      <c r="O52" s="99">
        <v>17</v>
      </c>
      <c r="P52" s="159">
        <v>17</v>
      </c>
      <c r="Q52" s="99" t="s">
        <v>569</v>
      </c>
      <c r="R52" s="99">
        <v>7</v>
      </c>
      <c r="S52" s="99">
        <v>8</v>
      </c>
      <c r="T52" s="99" t="s">
        <v>569</v>
      </c>
      <c r="U52" s="99" t="s">
        <v>569</v>
      </c>
      <c r="V52" s="99" t="s">
        <v>569</v>
      </c>
      <c r="W52" s="99" t="s">
        <v>569</v>
      </c>
      <c r="X52" s="99" t="s">
        <v>569</v>
      </c>
      <c r="Y52" s="99">
        <v>6</v>
      </c>
      <c r="Z52" s="99">
        <v>9</v>
      </c>
      <c r="AA52" s="99" t="s">
        <v>569</v>
      </c>
      <c r="AB52" s="99" t="s">
        <v>569</v>
      </c>
      <c r="AC52" s="99" t="s">
        <v>569</v>
      </c>
      <c r="AD52" s="98" t="s">
        <v>332</v>
      </c>
      <c r="AE52" s="100">
        <v>0.10553715097018457</v>
      </c>
      <c r="AF52" s="100">
        <v>0.07</v>
      </c>
      <c r="AG52" s="98" t="s">
        <v>569</v>
      </c>
      <c r="AH52" s="98" t="s">
        <v>569</v>
      </c>
      <c r="AI52" s="100">
        <v>0.013999999999999999</v>
      </c>
      <c r="AJ52" s="100">
        <v>0.774319</v>
      </c>
      <c r="AK52" s="100">
        <v>0.813131</v>
      </c>
      <c r="AL52" s="100">
        <v>0.744144</v>
      </c>
      <c r="AM52" s="100">
        <v>0.55</v>
      </c>
      <c r="AN52" s="100">
        <v>0.53271</v>
      </c>
      <c r="AO52" s="98">
        <v>804.5433033601514</v>
      </c>
      <c r="AP52" s="158">
        <v>0.4733731079</v>
      </c>
      <c r="AQ52" s="100" t="s">
        <v>569</v>
      </c>
      <c r="AR52" s="100" t="s">
        <v>569</v>
      </c>
      <c r="AS52" s="98">
        <v>378.60861334595364</v>
      </c>
      <c r="AT52" s="98" t="s">
        <v>569</v>
      </c>
      <c r="AU52" s="98" t="s">
        <v>569</v>
      </c>
      <c r="AV52" s="98" t="s">
        <v>569</v>
      </c>
      <c r="AW52" s="98" t="s">
        <v>569</v>
      </c>
      <c r="AX52" s="98" t="s">
        <v>569</v>
      </c>
      <c r="AY52" s="98">
        <v>283.9564600094652</v>
      </c>
      <c r="AZ52" s="98">
        <v>425.9346900141978</v>
      </c>
      <c r="BA52" s="100" t="s">
        <v>569</v>
      </c>
      <c r="BB52" s="100" t="s">
        <v>569</v>
      </c>
      <c r="BC52" s="100" t="s">
        <v>569</v>
      </c>
      <c r="BD52" s="158">
        <v>0.2757572746</v>
      </c>
      <c r="BE52" s="158">
        <v>0.7579161834999999</v>
      </c>
      <c r="BF52" s="162">
        <v>257</v>
      </c>
      <c r="BG52" s="162">
        <v>198</v>
      </c>
      <c r="BH52" s="162">
        <v>555</v>
      </c>
      <c r="BI52" s="162">
        <v>220</v>
      </c>
      <c r="BJ52" s="162">
        <v>107</v>
      </c>
      <c r="BK52" s="97"/>
      <c r="BL52" s="97"/>
      <c r="BM52" s="97"/>
      <c r="BN52" s="97"/>
    </row>
    <row r="53" spans="1:66" ht="12.75">
      <c r="A53" s="79" t="s">
        <v>252</v>
      </c>
      <c r="B53" s="94" t="s">
        <v>251</v>
      </c>
      <c r="C53" s="94" t="s">
        <v>7</v>
      </c>
      <c r="D53" s="99">
        <v>374861</v>
      </c>
      <c r="E53" s="99">
        <v>63322</v>
      </c>
      <c r="F53" s="99">
        <v>35528.00000000001</v>
      </c>
      <c r="G53" s="99">
        <v>1732</v>
      </c>
      <c r="H53" s="99">
        <v>850</v>
      </c>
      <c r="I53" s="99">
        <v>5683</v>
      </c>
      <c r="J53" s="99">
        <v>37293</v>
      </c>
      <c r="K53" s="99">
        <v>11045</v>
      </c>
      <c r="L53" s="99">
        <v>70424</v>
      </c>
      <c r="M53" s="99">
        <v>26324</v>
      </c>
      <c r="N53" s="99">
        <v>14367</v>
      </c>
      <c r="O53" s="99">
        <v>5329</v>
      </c>
      <c r="P53" s="99">
        <v>5329</v>
      </c>
      <c r="Q53" s="99">
        <v>721</v>
      </c>
      <c r="R53" s="99">
        <v>1450</v>
      </c>
      <c r="S53" s="99">
        <v>1200</v>
      </c>
      <c r="T53" s="99">
        <v>704</v>
      </c>
      <c r="U53" s="99">
        <v>151</v>
      </c>
      <c r="V53" s="99">
        <v>1168</v>
      </c>
      <c r="W53" s="99">
        <v>1819</v>
      </c>
      <c r="X53" s="99">
        <v>1057</v>
      </c>
      <c r="Y53" s="99">
        <v>2588</v>
      </c>
      <c r="Z53" s="99">
        <v>1987</v>
      </c>
      <c r="AA53" s="99">
        <v>0</v>
      </c>
      <c r="AB53" s="99">
        <v>0</v>
      </c>
      <c r="AC53" s="99">
        <v>0</v>
      </c>
      <c r="AD53" s="98">
        <v>0</v>
      </c>
      <c r="AE53" s="101">
        <v>0.1689212801545106</v>
      </c>
      <c r="AF53" s="101">
        <v>0.09477646380925198</v>
      </c>
      <c r="AG53" s="98">
        <v>462.03792872558097</v>
      </c>
      <c r="AH53" s="98">
        <v>226.75071559858188</v>
      </c>
      <c r="AI53" s="101">
        <v>0.015160286079373421</v>
      </c>
      <c r="AJ53" s="101">
        <v>0.7809071111483373</v>
      </c>
      <c r="AK53" s="101">
        <v>0.7761225493640643</v>
      </c>
      <c r="AL53" s="101">
        <v>0.7671710404479449</v>
      </c>
      <c r="AM53" s="101">
        <v>0.5877992140050018</v>
      </c>
      <c r="AN53" s="101">
        <v>0.6202028922944097</v>
      </c>
      <c r="AO53" s="98">
        <v>1421.5936040292268</v>
      </c>
      <c r="AP53" s="98">
        <v>0</v>
      </c>
      <c r="AQ53" s="101">
        <v>0.13529742916119347</v>
      </c>
      <c r="AR53" s="101">
        <v>0.49724137931034484</v>
      </c>
      <c r="AS53" s="98">
        <v>320.118657315645</v>
      </c>
      <c r="AT53" s="98">
        <v>187.8029456251784</v>
      </c>
      <c r="AU53" s="98">
        <v>40.28159771221866</v>
      </c>
      <c r="AV53" s="98">
        <v>311.5821597872278</v>
      </c>
      <c r="AW53" s="98">
        <v>485.2465313809652</v>
      </c>
      <c r="AX53" s="98">
        <v>281.9711839855306</v>
      </c>
      <c r="AY53" s="98">
        <v>690.389237610741</v>
      </c>
      <c r="AZ53" s="98">
        <v>530.0631434051555</v>
      </c>
      <c r="BA53" s="101">
        <v>0</v>
      </c>
      <c r="BB53" s="101">
        <v>0</v>
      </c>
      <c r="BC53" s="101">
        <v>0</v>
      </c>
      <c r="BD53" s="98">
        <v>0</v>
      </c>
      <c r="BE53" s="98">
        <v>0</v>
      </c>
      <c r="BF53" s="99">
        <v>47756</v>
      </c>
      <c r="BG53" s="99">
        <v>14231</v>
      </c>
      <c r="BH53" s="99">
        <v>91797</v>
      </c>
      <c r="BI53" s="99">
        <v>44784</v>
      </c>
      <c r="BJ53" s="99">
        <v>23165</v>
      </c>
      <c r="BK53" s="97"/>
      <c r="BL53" s="97"/>
      <c r="BM53" s="97"/>
      <c r="BN53" s="97"/>
    </row>
    <row r="54" spans="1:66" ht="12.75">
      <c r="A54" s="79" t="s">
        <v>24</v>
      </c>
      <c r="B54" s="94" t="s">
        <v>7</v>
      </c>
      <c r="C54" s="94" t="s">
        <v>7</v>
      </c>
      <c r="D54" s="99">
        <v>54615830</v>
      </c>
      <c r="E54" s="99">
        <v>8737890</v>
      </c>
      <c r="F54" s="99">
        <v>8198344.169999988</v>
      </c>
      <c r="G54" s="99">
        <v>243379</v>
      </c>
      <c r="H54" s="99">
        <v>127868</v>
      </c>
      <c r="I54" s="99">
        <v>870616</v>
      </c>
      <c r="J54" s="99">
        <v>4592627</v>
      </c>
      <c r="K54" s="99">
        <v>1679592</v>
      </c>
      <c r="L54" s="99">
        <v>10150944</v>
      </c>
      <c r="M54" s="99">
        <v>2959539</v>
      </c>
      <c r="N54" s="99">
        <v>1629320</v>
      </c>
      <c r="O54" s="99">
        <v>989730</v>
      </c>
      <c r="P54" s="99">
        <v>989730</v>
      </c>
      <c r="Q54" s="99">
        <v>108072</v>
      </c>
      <c r="R54" s="99">
        <v>238330</v>
      </c>
      <c r="S54" s="99">
        <v>206300</v>
      </c>
      <c r="T54" s="99">
        <v>154264</v>
      </c>
      <c r="U54" s="99">
        <v>38486</v>
      </c>
      <c r="V54" s="99">
        <v>176535</v>
      </c>
      <c r="W54" s="99">
        <v>307276</v>
      </c>
      <c r="X54" s="99">
        <v>221506</v>
      </c>
      <c r="Y54" s="99">
        <v>578574</v>
      </c>
      <c r="Z54" s="99">
        <v>318377</v>
      </c>
      <c r="AA54" s="99">
        <v>0</v>
      </c>
      <c r="AB54" s="99">
        <v>0</v>
      </c>
      <c r="AC54" s="99">
        <v>0</v>
      </c>
      <c r="AD54" s="98">
        <v>0</v>
      </c>
      <c r="AE54" s="101">
        <v>0.1599882305185145</v>
      </c>
      <c r="AF54" s="101">
        <v>0.15010930292554353</v>
      </c>
      <c r="AG54" s="98">
        <v>445.6198871279627</v>
      </c>
      <c r="AH54" s="98">
        <v>234.12259778895606</v>
      </c>
      <c r="AI54" s="101">
        <v>0.015940726342527432</v>
      </c>
      <c r="AJ54" s="101">
        <v>0.7248631360507991</v>
      </c>
      <c r="AK54" s="101">
        <v>0.7467412166569077</v>
      </c>
      <c r="AL54" s="101">
        <v>0.7559681673907895</v>
      </c>
      <c r="AM54" s="101">
        <v>0.5147293797466616</v>
      </c>
      <c r="AN54" s="101">
        <v>0.5752927626212945</v>
      </c>
      <c r="AO54" s="98">
        <v>1812.1669120472948</v>
      </c>
      <c r="AP54" s="98">
        <v>1</v>
      </c>
      <c r="AQ54" s="101">
        <v>0.10919341638628717</v>
      </c>
      <c r="AR54" s="101">
        <v>0.4534552930810221</v>
      </c>
      <c r="AS54" s="98">
        <v>377.7293140102421</v>
      </c>
      <c r="AT54" s="98">
        <v>282.45290788403287</v>
      </c>
      <c r="AU54" s="98">
        <v>70.46674929228394</v>
      </c>
      <c r="AV54" s="98">
        <v>323.23046266988894</v>
      </c>
      <c r="AW54" s="98">
        <v>562.6134400960308</v>
      </c>
      <c r="AX54" s="98">
        <v>405.57105879375996</v>
      </c>
      <c r="AY54" s="98">
        <v>1059.3522061277838</v>
      </c>
      <c r="AZ54" s="98">
        <v>582.9390489900089</v>
      </c>
      <c r="BA54" s="101">
        <v>0</v>
      </c>
      <c r="BB54" s="101">
        <v>0</v>
      </c>
      <c r="BC54" s="101">
        <v>0</v>
      </c>
      <c r="BD54" s="98">
        <v>0</v>
      </c>
      <c r="BE54" s="98">
        <v>0</v>
      </c>
      <c r="BF54" s="99">
        <v>6335854</v>
      </c>
      <c r="BG54" s="99">
        <v>2249229</v>
      </c>
      <c r="BH54" s="99">
        <v>13427740</v>
      </c>
      <c r="BI54" s="99">
        <v>5749699</v>
      </c>
      <c r="BJ54" s="99">
        <v>2832158</v>
      </c>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2"/>
      <c r="BB84" s="302"/>
      <c r="BC84" s="302"/>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337</v>
      </c>
      <c r="O4" s="75" t="s">
        <v>336</v>
      </c>
      <c r="P4" s="75" t="s">
        <v>462</v>
      </c>
      <c r="Q4" s="75" t="s">
        <v>463</v>
      </c>
      <c r="R4" s="75" t="s">
        <v>464</v>
      </c>
      <c r="S4" s="75" t="s">
        <v>465</v>
      </c>
      <c r="T4" s="39" t="s">
        <v>278</v>
      </c>
      <c r="U4" s="40" t="s">
        <v>279</v>
      </c>
      <c r="V4" s="41" t="s">
        <v>7</v>
      </c>
      <c r="W4" s="24" t="s">
        <v>2</v>
      </c>
      <c r="X4" s="24" t="s">
        <v>3</v>
      </c>
      <c r="Y4" s="75" t="s">
        <v>575</v>
      </c>
      <c r="Z4" s="75" t="s">
        <v>574</v>
      </c>
      <c r="AA4" s="26" t="s">
        <v>280</v>
      </c>
      <c r="AB4" s="24" t="s">
        <v>5</v>
      </c>
      <c r="AC4" s="75" t="s">
        <v>35</v>
      </c>
      <c r="AD4" s="24" t="s">
        <v>6</v>
      </c>
      <c r="AE4" s="24" t="s">
        <v>281</v>
      </c>
      <c r="AF4" s="24" t="s">
        <v>16</v>
      </c>
      <c r="AG4" s="24" t="s">
        <v>15</v>
      </c>
      <c r="AH4" s="24" t="s">
        <v>14</v>
      </c>
      <c r="AI4" s="25" t="s">
        <v>30</v>
      </c>
      <c r="AJ4" s="47" t="s">
        <v>10</v>
      </c>
      <c r="AK4" s="26" t="s">
        <v>21</v>
      </c>
      <c r="AL4" s="25" t="s">
        <v>22</v>
      </c>
      <c r="AQ4" s="102" t="s">
        <v>377</v>
      </c>
      <c r="AR4" s="102" t="s">
        <v>379</v>
      </c>
      <c r="AS4" s="102" t="s">
        <v>378</v>
      </c>
      <c r="AY4" s="102" t="s">
        <v>459</v>
      </c>
      <c r="AZ4" s="102" t="s">
        <v>460</v>
      </c>
      <c r="BA4" s="102" t="s">
        <v>461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400</v>
      </c>
      <c r="BA5" s="103" t="s">
        <v>332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385</v>
      </c>
      <c r="BA6" s="103" t="s">
        <v>332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2285</v>
      </c>
      <c r="E7" s="38">
        <f>IF(LEFT(VLOOKUP($B7,'Indicator chart'!$D$1:$J$36,5,FALSE),1)=" "," ",VLOOKUP($B7,'Indicator chart'!$D$1:$J$36,5,FALSE))</f>
        <v>0.19737410382655265</v>
      </c>
      <c r="F7" s="38">
        <f>IF(LEFT(VLOOKUP($B7,'Indicator chart'!$D$1:$J$36,6,FALSE),1)=" "," ",VLOOKUP($B7,'Indicator chart'!$D$1:$J$36,6,FALSE))</f>
        <v>0.1902246360089546</v>
      </c>
      <c r="G7" s="38">
        <f>IF(LEFT(VLOOKUP($B7,'Indicator chart'!$D$1:$J$36,7,FALSE),1)=" "," ",VLOOKUP($B7,'Indicator chart'!$D$1:$J$36,7,FALSE))</f>
        <v>0.20472434593722796</v>
      </c>
      <c r="H7" s="50">
        <f aca="true" t="shared" si="0" ref="H7:H31">IF(LEFT(F7,1)=" ",4,IF(AND(ABS(N7-E7)&gt;SQRT((E7-G7)^2+(N7-R7)^2),E7&lt;N7),1,IF(AND(ABS(N7-E7)&gt;SQRT((E7-F7)^2+(N7-S7)^2),E7&gt;N7),3,2)))</f>
        <v>3</v>
      </c>
      <c r="I7" s="38">
        <v>0.08179939538240433</v>
      </c>
      <c r="J7" s="38">
        <v>0.13578839600086212</v>
      </c>
      <c r="K7" s="38">
        <v>0.17293232679367065</v>
      </c>
      <c r="L7" s="38">
        <v>0.1920311003923416</v>
      </c>
      <c r="M7" s="38">
        <v>0.27587130665779114</v>
      </c>
      <c r="N7" s="80">
        <f>VLOOKUP('Hide - Control'!B$3,'All practice data'!A:CA,A7+29,FALSE)</f>
        <v>0.1689212801545106</v>
      </c>
      <c r="O7" s="80">
        <f>VLOOKUP('Hide - Control'!C$3,'All practice data'!A:CA,A7+29,FALSE)</f>
        <v>0.1599882305185145</v>
      </c>
      <c r="P7" s="38">
        <f>VLOOKUP('Hide - Control'!$B$4,'All practice data'!B:BC,A7+2,FALSE)</f>
        <v>63322</v>
      </c>
      <c r="Q7" s="38">
        <f>VLOOKUP('Hide - Control'!$B$4,'All practice data'!B:BC,3,FALSE)</f>
        <v>374861</v>
      </c>
      <c r="R7" s="38">
        <f>+((2*P7+1.96^2-1.96*SQRT(1.96^2+4*P7*(1-P7/Q7)))/(2*(Q7+1.96^2)))</f>
        <v>0.16772521870512538</v>
      </c>
      <c r="S7" s="38">
        <f>+((2*P7+1.96^2+1.96*SQRT(1.96^2+4*P7*(1-P7/Q7)))/(2*(Q7+1.96^2)))</f>
        <v>0.17012412736702437</v>
      </c>
      <c r="T7" s="53">
        <f>IF($C7=1,M7,I7)</f>
        <v>0.27587130665779114</v>
      </c>
      <c r="U7" s="51">
        <f aca="true" t="shared" si="1" ref="U7:U15">IF($C7=1,I7,M7)</f>
        <v>0.08179939538240433</v>
      </c>
      <c r="V7" s="7">
        <v>1</v>
      </c>
      <c r="W7" s="27">
        <f aca="true" t="shared" si="2" ref="W7:W31">IF((K7-I7)&gt;(M7-K7),I7,(K7-(M7-K7)))</f>
        <v>0.06999334692955017</v>
      </c>
      <c r="X7" s="27">
        <f aca="true" t="shared" si="3" ref="X7:X31">IF(W7=I7,K7+(K7-I7),M7)</f>
        <v>0.27587130665779114</v>
      </c>
      <c r="Y7" s="27">
        <f aca="true" t="shared" si="4" ref="Y7:Y31">IF(C7=1,W7,X7)</f>
        <v>0.06999334692955017</v>
      </c>
      <c r="Z7" s="27">
        <f aca="true" t="shared" si="5" ref="Z7:Z31">IF(C7=1,X7,W7)</f>
        <v>0.27587130665779114</v>
      </c>
      <c r="AA7" s="32">
        <f aca="true" t="shared" si="6" ref="AA7:AA31">IF(ISERROR(IF(C7=1,(I7-$Y7)/($Z7-$Y7),(U7-$Y7)/($Z7-$Y7))),"",IF(C7=1,(I7-$Y7)/($Z7-$Y7),(U7-$Y7)/($Z7-$Y7)))</f>
        <v>0.05734488756561483</v>
      </c>
      <c r="AB7" s="33">
        <f aca="true" t="shared" si="7" ref="AB7:AB31">IF(ISERROR(IF(C7=1,(J7-$Y7)/($Z7-$Y7),(L7-$Y7)/($Z7-$Y7))),"",IF(C7=1,(J7-$Y7)/($Z7-$Y7),(L7-$Y7)/($Z7-$Y7)))</f>
        <v>0.3195827720371887</v>
      </c>
      <c r="AC7" s="33">
        <v>0.5</v>
      </c>
      <c r="AD7" s="33">
        <f aca="true" t="shared" si="8" ref="AD7:AD31">IF(ISERROR(IF(C7=1,(L7-$Y7)/($Z7-$Y7),(J7-$Y7)/($Z7-$Y7))),"",IF(C7=1,(L7-$Y7)/($Z7-$Y7),(J7-$Y7)/($Z7-$Y7)))</f>
        <v>0.5927674512797841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0.6187197360278155</v>
      </c>
      <c r="AI7" s="34">
        <f aca="true" t="shared" si="13" ref="AI7:AI31">IF(ISERROR((O7-$Y7)/($Z7-$Y7)),-999,(O7-$Y7)/($Z7-$Y7))</f>
        <v>0.43712733362890144</v>
      </c>
      <c r="AJ7" s="4">
        <v>2.7020512924389086</v>
      </c>
      <c r="AK7" s="32">
        <f aca="true" t="shared" si="14" ref="AK7:AK31">IF(H7=1,(E7-$Y7)/($Z7-$Y7),-999)</f>
        <v>-999</v>
      </c>
      <c r="AL7" s="34">
        <f aca="true" t="shared" si="15" ref="AL7:AL31">IF(H7=3,(E7-$Y7)/($Z7-$Y7),-999)</f>
        <v>0.6187197360278155</v>
      </c>
      <c r="AQ7" s="103">
        <v>2</v>
      </c>
      <c r="AR7" s="103">
        <v>0.2422</v>
      </c>
      <c r="AS7" s="103">
        <v>7.2247</v>
      </c>
      <c r="AY7" s="103" t="s">
        <v>68</v>
      </c>
      <c r="AZ7" s="103" t="s">
        <v>384</v>
      </c>
      <c r="BA7" s="103" t="s">
        <v>332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0.0849219485203673</v>
      </c>
      <c r="G8" s="38">
        <f>IF(LEFT(VLOOKUP($B8,'Indicator chart'!$D$1:$J$36,7,FALSE),1)=" "," ",VLOOKUP($B8,'Indicator chart'!$D$1:$J$36,7,FALSE))</f>
        <v>0.09535006210794493</v>
      </c>
      <c r="H8" s="50">
        <f t="shared" si="0"/>
        <v>2</v>
      </c>
      <c r="I8" s="38">
        <v>0.05000000074505806</v>
      </c>
      <c r="J8" s="38">
        <v>0.07000000029802322</v>
      </c>
      <c r="K8" s="38">
        <v>0.09000000357627869</v>
      </c>
      <c r="L8" s="38">
        <v>0.10999999940395355</v>
      </c>
      <c r="M8" s="38">
        <v>0.15000000596046448</v>
      </c>
      <c r="N8" s="80">
        <f>VLOOKUP('Hide - Control'!B$3,'All practice data'!A:CA,A8+29,FALSE)</f>
        <v>0.09477646380925198</v>
      </c>
      <c r="O8" s="80">
        <f>VLOOKUP('Hide - Control'!C$3,'All practice data'!A:CA,A8+29,FALSE)</f>
        <v>0.15010930292554353</v>
      </c>
      <c r="P8" s="38">
        <f>VLOOKUP('Hide - Control'!$B$4,'All practice data'!B:BC,A8+2,FALSE)</f>
        <v>35528.00000000001</v>
      </c>
      <c r="Q8" s="38">
        <f>VLOOKUP('Hide - Control'!$B$4,'All practice data'!B:BC,3,FALSE)</f>
        <v>374861</v>
      </c>
      <c r="R8" s="38">
        <f>+((2*P8+1.96^2-1.96*SQRT(1.96^2+4*P8*(1-P8/Q8)))/(2*(Q8+1.96^2)))</f>
        <v>0.09384294409899693</v>
      </c>
      <c r="S8" s="38">
        <f>+((2*P8+1.96^2+1.96*SQRT(1.96^2+4*P8*(1-P8/Q8)))/(2*(Q8+1.96^2)))</f>
        <v>0.09571828894889853</v>
      </c>
      <c r="T8" s="53">
        <f aca="true" t="shared" si="16" ref="T8:T15">IF($C8=1,M8,I8)</f>
        <v>0.15000000596046448</v>
      </c>
      <c r="U8" s="51">
        <f t="shared" si="1"/>
        <v>0.05000000074505806</v>
      </c>
      <c r="V8" s="7"/>
      <c r="W8" s="27">
        <f t="shared" si="2"/>
        <v>0.030000001192092896</v>
      </c>
      <c r="X8" s="27">
        <f t="shared" si="3"/>
        <v>0.15000000596046448</v>
      </c>
      <c r="Y8" s="27">
        <f t="shared" si="4"/>
        <v>0.030000001192092896</v>
      </c>
      <c r="Z8" s="27">
        <f t="shared" si="5"/>
        <v>0.15000000596046448</v>
      </c>
      <c r="AA8" s="32">
        <f t="shared" si="6"/>
        <v>0.16666665631863847</v>
      </c>
      <c r="AB8" s="33">
        <f t="shared" si="7"/>
        <v>0.33333331263727695</v>
      </c>
      <c r="AC8" s="33">
        <v>0.5</v>
      </c>
      <c r="AD8" s="33">
        <f t="shared" si="8"/>
        <v>0.6666666252745539</v>
      </c>
      <c r="AE8" s="33">
        <f t="shared" si="9"/>
        <v>1</v>
      </c>
      <c r="AF8" s="33">
        <f t="shared" si="10"/>
        <v>-999</v>
      </c>
      <c r="AG8" s="33">
        <f t="shared" si="11"/>
        <v>0.4999999701976788</v>
      </c>
      <c r="AH8" s="33">
        <f t="shared" si="12"/>
        <v>-999</v>
      </c>
      <c r="AI8" s="34">
        <f t="shared" si="13"/>
        <v>1.000910808006133</v>
      </c>
      <c r="AJ8" s="4">
        <v>3.778046717820832</v>
      </c>
      <c r="AK8" s="32">
        <f t="shared" si="14"/>
        <v>-999</v>
      </c>
      <c r="AL8" s="34">
        <f t="shared" si="15"/>
        <v>-999</v>
      </c>
      <c r="AQ8" s="103">
        <v>3</v>
      </c>
      <c r="AR8" s="103">
        <v>0.6187</v>
      </c>
      <c r="AS8" s="103">
        <v>8.7673</v>
      </c>
      <c r="AY8" s="103" t="s">
        <v>118</v>
      </c>
      <c r="AZ8" s="103" t="s">
        <v>119</v>
      </c>
      <c r="BA8" s="103" t="s">
        <v>332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61</v>
      </c>
      <c r="E9" s="38">
        <f>IF(LEFT(VLOOKUP($B9,'Indicator chart'!$D$1:$J$36,5,FALSE),1)=" "," ",VLOOKUP($B9,'Indicator chart'!$D$1:$J$36,5,FALSE))</f>
        <v>526.9067979614754</v>
      </c>
      <c r="F9" s="38">
        <f>IF(LEFT(VLOOKUP($B9,'Indicator chart'!$D$1:$J$36,6,FALSE),1)=" "," ",VLOOKUP($B9,'Indicator chart'!$D$1:$J$36,6,FALSE))</f>
        <v>403.0180139031136</v>
      </c>
      <c r="G9" s="38">
        <f>IF(LEFT(VLOOKUP($B9,'Indicator chart'!$D$1:$J$36,7,FALSE),1)=" "," ",VLOOKUP($B9,'Indicator chart'!$D$1:$J$36,7,FALSE))</f>
        <v>676.8481323490234</v>
      </c>
      <c r="H9" s="50">
        <f t="shared" si="0"/>
        <v>2</v>
      </c>
      <c r="I9" s="38">
        <v>92.60600280761719</v>
      </c>
      <c r="J9" s="38">
        <v>381.27191162109375</v>
      </c>
      <c r="K9" s="38">
        <v>453.27178955078125</v>
      </c>
      <c r="L9" s="38">
        <v>526.9067993164062</v>
      </c>
      <c r="M9" s="38">
        <v>775.1937866210938</v>
      </c>
      <c r="N9" s="80">
        <f>VLOOKUP('Hide - Control'!B$3,'All practice data'!A:CA,A9+29,FALSE)</f>
        <v>462.03792872558097</v>
      </c>
      <c r="O9" s="80">
        <f>VLOOKUP('Hide - Control'!C$3,'All practice data'!A:CA,A9+29,FALSE)</f>
        <v>445.6198871279627</v>
      </c>
      <c r="P9" s="38">
        <f>VLOOKUP('Hide - Control'!$B$4,'All practice data'!B:BC,A9+2,FALSE)</f>
        <v>1732</v>
      </c>
      <c r="Q9" s="38">
        <f>VLOOKUP('Hide - Control'!$B$4,'All practice data'!B:BC,3,FALSE)</f>
        <v>374861</v>
      </c>
      <c r="R9" s="38">
        <f>100000*(P9*(1-1/(9*P9)-1.96/(3*SQRT(P9)))^3)/Q9</f>
        <v>440.5315537622866</v>
      </c>
      <c r="S9" s="38">
        <f>100000*((P9+1)*(1-1/(9*(P9+1))+1.96/(3*SQRT(P9+1)))^3)/Q9</f>
        <v>484.3226786305562</v>
      </c>
      <c r="T9" s="53">
        <f t="shared" si="16"/>
        <v>775.1937866210938</v>
      </c>
      <c r="U9" s="51">
        <f t="shared" si="1"/>
        <v>92.60600280761719</v>
      </c>
      <c r="V9" s="7"/>
      <c r="W9" s="27">
        <f t="shared" si="2"/>
        <v>92.60600280761719</v>
      </c>
      <c r="X9" s="27">
        <f t="shared" si="3"/>
        <v>813.9375762939453</v>
      </c>
      <c r="Y9" s="27">
        <f t="shared" si="4"/>
        <v>92.60600280761719</v>
      </c>
      <c r="Z9" s="27">
        <f t="shared" si="5"/>
        <v>813.9375762939453</v>
      </c>
      <c r="AA9" s="32">
        <f t="shared" si="6"/>
        <v>0</v>
      </c>
      <c r="AB9" s="33">
        <f t="shared" si="7"/>
        <v>0.4001847685916494</v>
      </c>
      <c r="AC9" s="33">
        <v>0.5</v>
      </c>
      <c r="AD9" s="33">
        <f t="shared" si="8"/>
        <v>0.6020820555652838</v>
      </c>
      <c r="AE9" s="33">
        <f t="shared" si="9"/>
        <v>0.9462885154387521</v>
      </c>
      <c r="AF9" s="33">
        <f t="shared" si="10"/>
        <v>-999</v>
      </c>
      <c r="AG9" s="33">
        <f t="shared" si="11"/>
        <v>0.6020820536869094</v>
      </c>
      <c r="AH9" s="33">
        <f t="shared" si="12"/>
        <v>-999</v>
      </c>
      <c r="AI9" s="34">
        <f t="shared" si="13"/>
        <v>0.4893919763059373</v>
      </c>
      <c r="AJ9" s="4">
        <v>4.854042143202755</v>
      </c>
      <c r="AK9" s="32">
        <f t="shared" si="14"/>
        <v>-999</v>
      </c>
      <c r="AL9" s="34">
        <f t="shared" si="15"/>
        <v>-999</v>
      </c>
      <c r="AQ9" s="103">
        <v>4</v>
      </c>
      <c r="AR9" s="103">
        <v>1.0899</v>
      </c>
      <c r="AS9" s="103">
        <v>10.2416</v>
      </c>
      <c r="AY9" s="103" t="s">
        <v>90</v>
      </c>
      <c r="AZ9" s="103" t="s">
        <v>394</v>
      </c>
      <c r="BA9" s="103" t="s">
        <v>332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198.66977628055628</v>
      </c>
      <c r="F10" s="38">
        <f>IF(LEFT(VLOOKUP($B10,'Indicator chart'!$D$1:$J$36,6,FALSE),1)=" "," ",VLOOKUP($B10,'Indicator chart'!$D$1:$J$36,6,FALSE))</f>
        <v>125.8982745644821</v>
      </c>
      <c r="G10" s="38">
        <f>IF(LEFT(VLOOKUP($B10,'Indicator chart'!$D$1:$J$36,7,FALSE),1)=" "," ",VLOOKUP($B10,'Indicator chart'!$D$1:$J$36,7,FALSE))</f>
        <v>298.1172589779442</v>
      </c>
      <c r="H10" s="50">
        <f t="shared" si="0"/>
        <v>2</v>
      </c>
      <c r="I10" s="38">
        <v>44.173431396484375</v>
      </c>
      <c r="J10" s="38">
        <v>172.5490264892578</v>
      </c>
      <c r="K10" s="38">
        <v>213.7998046875</v>
      </c>
      <c r="L10" s="38">
        <v>265.8457946777344</v>
      </c>
      <c r="M10" s="38">
        <v>410.5839538574219</v>
      </c>
      <c r="N10" s="80">
        <f>VLOOKUP('Hide - Control'!B$3,'All practice data'!A:CA,A10+29,FALSE)</f>
        <v>226.75071559858188</v>
      </c>
      <c r="O10" s="80">
        <f>VLOOKUP('Hide - Control'!C$3,'All practice data'!A:CA,A10+29,FALSE)</f>
        <v>234.12259778895606</v>
      </c>
      <c r="P10" s="38">
        <f>VLOOKUP('Hide - Control'!$B$4,'All practice data'!B:BC,A10+2,FALSE)</f>
        <v>850</v>
      </c>
      <c r="Q10" s="38">
        <f>VLOOKUP('Hide - Control'!$B$4,'All practice data'!B:BC,3,FALSE)</f>
        <v>374861</v>
      </c>
      <c r="R10" s="38">
        <f>100000*(P10*(1-1/(9*P10)-1.96/(3*SQRT(P10)))^3)/Q10</f>
        <v>211.76092494203772</v>
      </c>
      <c r="S10" s="38">
        <f>100000*((P10+1)*(1-1/(9*(P10+1))+1.96/(3*SQRT(P10+1)))^3)/Q10</f>
        <v>242.52153162362805</v>
      </c>
      <c r="T10" s="53">
        <f t="shared" si="16"/>
        <v>410.5839538574219</v>
      </c>
      <c r="U10" s="51">
        <f t="shared" si="1"/>
        <v>44.173431396484375</v>
      </c>
      <c r="V10" s="7"/>
      <c r="W10" s="27">
        <f t="shared" si="2"/>
        <v>17.015655517578125</v>
      </c>
      <c r="X10" s="27">
        <f t="shared" si="3"/>
        <v>410.5839538574219</v>
      </c>
      <c r="Y10" s="27">
        <f t="shared" si="4"/>
        <v>17.015655517578125</v>
      </c>
      <c r="Z10" s="27">
        <f t="shared" si="5"/>
        <v>410.5839538574219</v>
      </c>
      <c r="AA10" s="32">
        <f t="shared" si="6"/>
        <v>0.06900397210208145</v>
      </c>
      <c r="AB10" s="33">
        <f t="shared" si="7"/>
        <v>0.3951877517263283</v>
      </c>
      <c r="AC10" s="33">
        <v>0.5</v>
      </c>
      <c r="AD10" s="33">
        <f t="shared" si="8"/>
        <v>0.6322413167162488</v>
      </c>
      <c r="AE10" s="33">
        <f t="shared" si="9"/>
        <v>1</v>
      </c>
      <c r="AF10" s="33">
        <f t="shared" si="10"/>
        <v>-999</v>
      </c>
      <c r="AG10" s="33">
        <f t="shared" si="11"/>
        <v>0.4615567908523998</v>
      </c>
      <c r="AH10" s="33">
        <f t="shared" si="12"/>
        <v>-999</v>
      </c>
      <c r="AI10" s="34">
        <f t="shared" si="13"/>
        <v>0.5516372715667954</v>
      </c>
      <c r="AJ10" s="4">
        <v>5.930037568584676</v>
      </c>
      <c r="AK10" s="32">
        <f t="shared" si="14"/>
        <v>-999</v>
      </c>
      <c r="AL10" s="34">
        <f t="shared" si="15"/>
        <v>-999</v>
      </c>
      <c r="AY10" s="103" t="s">
        <v>96</v>
      </c>
      <c r="AZ10" s="103" t="s">
        <v>97</v>
      </c>
      <c r="BA10" s="103" t="s">
        <v>511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114</v>
      </c>
      <c r="E11" s="38">
        <f>IF(LEFT(VLOOKUP($B11,'Indicator chart'!$D$1:$J$36,5,FALSE),1)=" "," ",VLOOKUP($B11,'Indicator chart'!$D$1:$J$36,5,FALSE))</f>
        <v>0.01</v>
      </c>
      <c r="F11" s="38">
        <f>IF(LEFT(VLOOKUP($B11,'Indicator chart'!$D$1:$J$36,6,FALSE),1)=" "," ",VLOOKUP($B11,'Indicator chart'!$D$1:$J$36,6,FALSE))</f>
        <v>0.008203947528273409</v>
      </c>
      <c r="G11" s="38">
        <f>IF(LEFT(VLOOKUP($B11,'Indicator chart'!$D$1:$J$36,7,FALSE),1)=" "," ",VLOOKUP($B11,'Indicator chart'!$D$1:$J$36,7,FALSE))</f>
        <v>0.011815461078437868</v>
      </c>
      <c r="H11" s="50">
        <f t="shared" si="0"/>
        <v>1</v>
      </c>
      <c r="I11" s="38">
        <v>0.008999999612569809</v>
      </c>
      <c r="J11" s="38">
        <v>0.013000000268220901</v>
      </c>
      <c r="K11" s="38">
        <v>0.014999999664723873</v>
      </c>
      <c r="L11" s="38">
        <v>0.017000000923871994</v>
      </c>
      <c r="M11" s="38">
        <v>0.024000000208616257</v>
      </c>
      <c r="N11" s="80">
        <f>VLOOKUP('Hide - Control'!B$3,'All practice data'!A:CA,A11+29,FALSE)</f>
        <v>0.015160286079373421</v>
      </c>
      <c r="O11" s="80">
        <f>VLOOKUP('Hide - Control'!C$3,'All practice data'!A:CA,A11+29,FALSE)</f>
        <v>0.015940726342527432</v>
      </c>
      <c r="P11" s="38">
        <f>VLOOKUP('Hide - Control'!$B$4,'All practice data'!B:BC,A11+2,FALSE)</f>
        <v>5683</v>
      </c>
      <c r="Q11" s="38">
        <f>VLOOKUP('Hide - Control'!$B$4,'All practice data'!B:BC,3,FALSE)</f>
        <v>374861</v>
      </c>
      <c r="R11" s="80">
        <f aca="true" t="shared" si="17" ref="R11:R16">+((2*P11+1.96^2-1.96*SQRT(1.96^2+4*P11*(1-P11/Q11)))/(2*(Q11+1.96^2)))</f>
        <v>0.014774062463487322</v>
      </c>
      <c r="S11" s="80">
        <f aca="true" t="shared" si="18" ref="S11:S16">+((2*P11+1.96^2+1.96*SQRT(1.96^2+4*P11*(1-P11/Q11)))/(2*(Q11+1.96^2)))</f>
        <v>0.015556446931502044</v>
      </c>
      <c r="T11" s="53">
        <f t="shared" si="16"/>
        <v>0.024000000208616257</v>
      </c>
      <c r="U11" s="51">
        <f t="shared" si="1"/>
        <v>0.008999999612569809</v>
      </c>
      <c r="V11" s="7"/>
      <c r="W11" s="27">
        <f t="shared" si="2"/>
        <v>0.0059999991208314896</v>
      </c>
      <c r="X11" s="27">
        <f t="shared" si="3"/>
        <v>0.024000000208616257</v>
      </c>
      <c r="Y11" s="27">
        <f t="shared" si="4"/>
        <v>0.0059999991208314896</v>
      </c>
      <c r="Z11" s="27">
        <f t="shared" si="5"/>
        <v>0.024000000208616257</v>
      </c>
      <c r="AA11" s="32">
        <f t="shared" si="6"/>
        <v>0.16666668391337996</v>
      </c>
      <c r="AB11" s="33">
        <f t="shared" si="7"/>
        <v>0.3888889291312199</v>
      </c>
      <c r="AC11" s="33">
        <v>0.5</v>
      </c>
      <c r="AD11" s="33">
        <f t="shared" si="8"/>
        <v>0.6111111743490599</v>
      </c>
      <c r="AE11" s="33">
        <f t="shared" si="9"/>
        <v>1</v>
      </c>
      <c r="AF11" s="33">
        <f t="shared" si="10"/>
        <v>-999</v>
      </c>
      <c r="AG11" s="33">
        <f t="shared" si="11"/>
        <v>-999</v>
      </c>
      <c r="AH11" s="33">
        <f t="shared" si="12"/>
        <v>0.22222225763547354</v>
      </c>
      <c r="AI11" s="34">
        <f t="shared" si="13"/>
        <v>0.5522625900529505</v>
      </c>
      <c r="AJ11" s="4">
        <v>7.0060329939666</v>
      </c>
      <c r="AK11" s="32">
        <f t="shared" si="14"/>
        <v>0.22222225763547354</v>
      </c>
      <c r="AL11" s="34">
        <f t="shared" si="15"/>
        <v>-999</v>
      </c>
      <c r="AY11" s="103" t="s">
        <v>214</v>
      </c>
      <c r="AZ11" s="103" t="s">
        <v>215</v>
      </c>
      <c r="BA11" s="103" t="s">
        <v>511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1099</v>
      </c>
      <c r="E12" s="38">
        <f>IF(LEFT(VLOOKUP($B12,'Indicator chart'!$D$1:$J$36,5,FALSE),1)=" "," ",VLOOKUP($B12,'Indicator chart'!$D$1:$J$36,5,FALSE))</f>
        <v>0.727815</v>
      </c>
      <c r="F12" s="38">
        <f>IF(LEFT(VLOOKUP($B12,'Indicator chart'!$D$1:$J$36,6,FALSE),1)=" "," ",VLOOKUP($B12,'Indicator chart'!$D$1:$J$36,6,FALSE))</f>
        <v>0.7048078138034238</v>
      </c>
      <c r="G12" s="38">
        <f>IF(LEFT(VLOOKUP($B12,'Indicator chart'!$D$1:$J$36,7,FALSE),1)=" "," ",VLOOKUP($B12,'Indicator chart'!$D$1:$J$36,7,FALSE))</f>
        <v>0.7496650980256607</v>
      </c>
      <c r="H12" s="50">
        <f t="shared" si="0"/>
        <v>1</v>
      </c>
      <c r="I12" s="38">
        <v>0.6935480237007141</v>
      </c>
      <c r="J12" s="38">
        <v>0.7524889707565308</v>
      </c>
      <c r="K12" s="38">
        <v>0.7770180106163025</v>
      </c>
      <c r="L12" s="38">
        <v>0.7957959771156311</v>
      </c>
      <c r="M12" s="38">
        <v>0.84101402759552</v>
      </c>
      <c r="N12" s="80">
        <f>VLOOKUP('Hide - Control'!B$3,'All practice data'!A:CA,A12+29,FALSE)</f>
        <v>0.7809071111483373</v>
      </c>
      <c r="O12" s="80">
        <f>VLOOKUP('Hide - Control'!C$3,'All practice data'!A:CA,A12+29,FALSE)</f>
        <v>0.7248631360507991</v>
      </c>
      <c r="P12" s="38">
        <f>VLOOKUP('Hide - Control'!$B$4,'All practice data'!B:BC,A12+2,FALSE)</f>
        <v>37293</v>
      </c>
      <c r="Q12" s="38">
        <f>VLOOKUP('Hide - Control'!$B$4,'All practice data'!B:BJ,57,FALSE)</f>
        <v>47756</v>
      </c>
      <c r="R12" s="38">
        <f t="shared" si="17"/>
        <v>0.7771747501567696</v>
      </c>
      <c r="S12" s="38">
        <f t="shared" si="18"/>
        <v>0.7845942821760343</v>
      </c>
      <c r="T12" s="53">
        <f t="shared" si="16"/>
        <v>0.84101402759552</v>
      </c>
      <c r="U12" s="51">
        <f t="shared" si="1"/>
        <v>0.6935480237007141</v>
      </c>
      <c r="V12" s="7"/>
      <c r="W12" s="27">
        <f t="shared" si="2"/>
        <v>0.6935480237007141</v>
      </c>
      <c r="X12" s="27">
        <f t="shared" si="3"/>
        <v>0.8604879975318909</v>
      </c>
      <c r="Y12" s="27">
        <f t="shared" si="4"/>
        <v>0.6935480237007141</v>
      </c>
      <c r="Z12" s="27">
        <f t="shared" si="5"/>
        <v>0.8604879975318909</v>
      </c>
      <c r="AA12" s="32">
        <f t="shared" si="6"/>
        <v>0</v>
      </c>
      <c r="AB12" s="33">
        <f t="shared" si="7"/>
        <v>0.3530667083692161</v>
      </c>
      <c r="AC12" s="33">
        <v>0.5</v>
      </c>
      <c r="AD12" s="33">
        <f t="shared" si="8"/>
        <v>0.6124833439731961</v>
      </c>
      <c r="AE12" s="33">
        <f t="shared" si="9"/>
        <v>0.883347472211392</v>
      </c>
      <c r="AF12" s="33">
        <f t="shared" si="10"/>
        <v>-999</v>
      </c>
      <c r="AG12" s="33">
        <f t="shared" si="11"/>
        <v>-999</v>
      </c>
      <c r="AH12" s="33">
        <f t="shared" si="12"/>
        <v>0.20526525500680518</v>
      </c>
      <c r="AI12" s="34">
        <f t="shared" si="13"/>
        <v>0.18758306732306892</v>
      </c>
      <c r="AJ12" s="4">
        <v>8.082028419348523</v>
      </c>
      <c r="AK12" s="32">
        <f t="shared" si="14"/>
        <v>0.20526525500680518</v>
      </c>
      <c r="AL12" s="34">
        <f t="shared" si="15"/>
        <v>-999</v>
      </c>
      <c r="AY12" s="103" t="s">
        <v>261</v>
      </c>
      <c r="AZ12" s="103" t="s">
        <v>447</v>
      </c>
      <c r="BA12" s="103" t="s">
        <v>332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182</v>
      </c>
      <c r="E13" s="38">
        <f>IF(LEFT(VLOOKUP($B13,'Indicator chart'!$D$1:$J$36,5,FALSE),1)=" "," ",VLOOKUP($B13,'Indicator chart'!$D$1:$J$36,5,FALSE))</f>
        <v>0.774468</v>
      </c>
      <c r="F13" s="38">
        <f>IF(LEFT(VLOOKUP($B13,'Indicator chart'!$D$1:$J$36,6,FALSE),1)=" "," ",VLOOKUP($B13,'Indicator chart'!$D$1:$J$36,6,FALSE))</f>
        <v>0.7168661498938851</v>
      </c>
      <c r="G13" s="38">
        <f>IF(LEFT(VLOOKUP($B13,'Indicator chart'!$D$1:$J$36,7,FALSE),1)=" "," ",VLOOKUP($B13,'Indicator chart'!$D$1:$J$36,7,FALSE))</f>
        <v>0.8232407661542404</v>
      </c>
      <c r="H13" s="50">
        <f t="shared" si="0"/>
        <v>2</v>
      </c>
      <c r="I13" s="38">
        <v>0.25</v>
      </c>
      <c r="J13" s="38">
        <v>0.6800000071525574</v>
      </c>
      <c r="K13" s="38">
        <v>0.7496870160102844</v>
      </c>
      <c r="L13" s="38">
        <v>0.7971230149269104</v>
      </c>
      <c r="M13" s="38">
        <v>0.880952000617981</v>
      </c>
      <c r="N13" s="80">
        <f>VLOOKUP('Hide - Control'!B$3,'All practice data'!A:CA,A13+29,FALSE)</f>
        <v>0.7761225493640643</v>
      </c>
      <c r="O13" s="80">
        <f>VLOOKUP('Hide - Control'!C$3,'All practice data'!A:CA,A13+29,FALSE)</f>
        <v>0.7467412166569077</v>
      </c>
      <c r="P13" s="38">
        <f>VLOOKUP('Hide - Control'!$B$4,'All practice data'!B:BC,A13+2,FALSE)</f>
        <v>11045</v>
      </c>
      <c r="Q13" s="38">
        <f>VLOOKUP('Hide - Control'!$B$4,'All practice data'!B:BJ,58,FALSE)</f>
        <v>14231</v>
      </c>
      <c r="R13" s="38">
        <f t="shared" si="17"/>
        <v>0.7691998414755641</v>
      </c>
      <c r="S13" s="38">
        <f t="shared" si="18"/>
        <v>0.7828962211880346</v>
      </c>
      <c r="T13" s="53">
        <f t="shared" si="16"/>
        <v>0.880952000617981</v>
      </c>
      <c r="U13" s="51">
        <f t="shared" si="1"/>
        <v>0.25</v>
      </c>
      <c r="V13" s="7"/>
      <c r="W13" s="27">
        <f t="shared" si="2"/>
        <v>0.25</v>
      </c>
      <c r="X13" s="27">
        <f t="shared" si="3"/>
        <v>1.2493740320205688</v>
      </c>
      <c r="Y13" s="27">
        <f t="shared" si="4"/>
        <v>0.25</v>
      </c>
      <c r="Z13" s="27">
        <f t="shared" si="5"/>
        <v>1.2493740320205688</v>
      </c>
      <c r="AA13" s="32">
        <f t="shared" si="6"/>
        <v>0</v>
      </c>
      <c r="AB13" s="33">
        <f t="shared" si="7"/>
        <v>0.43026934198316974</v>
      </c>
      <c r="AC13" s="33">
        <v>0.5</v>
      </c>
      <c r="AD13" s="33">
        <f t="shared" si="8"/>
        <v>0.5474657109317902</v>
      </c>
      <c r="AE13" s="33">
        <f t="shared" si="9"/>
        <v>0.6313472037514327</v>
      </c>
      <c r="AF13" s="33">
        <f t="shared" si="10"/>
        <v>-999</v>
      </c>
      <c r="AG13" s="33">
        <f t="shared" si="11"/>
        <v>0.5247965058083535</v>
      </c>
      <c r="AH13" s="33">
        <f t="shared" si="12"/>
        <v>-999</v>
      </c>
      <c r="AI13" s="34">
        <f t="shared" si="13"/>
        <v>0.4970523555155613</v>
      </c>
      <c r="AJ13" s="4">
        <v>9.158023844730446</v>
      </c>
      <c r="AK13" s="32">
        <f t="shared" si="14"/>
        <v>-999</v>
      </c>
      <c r="AL13" s="34">
        <f t="shared" si="15"/>
        <v>-999</v>
      </c>
      <c r="AY13" s="103" t="s">
        <v>260</v>
      </c>
      <c r="AZ13" s="103" t="s">
        <v>446</v>
      </c>
      <c r="BA13" s="103" t="s">
        <v>332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2078</v>
      </c>
      <c r="E14" s="38">
        <f>IF(LEFT(VLOOKUP($B14,'Indicator chart'!$D$1:$J$36,5,FALSE),1)=" "," ",VLOOKUP($B14,'Indicator chart'!$D$1:$J$36,5,FALSE))</f>
        <v>0.753445</v>
      </c>
      <c r="F14" s="38">
        <f>IF(LEFT(VLOOKUP($B14,'Indicator chart'!$D$1:$J$36,6,FALSE),1)=" "," ",VLOOKUP($B14,'Indicator chart'!$D$1:$J$36,6,FALSE))</f>
        <v>0.737013548932552</v>
      </c>
      <c r="G14" s="38">
        <f>IF(LEFT(VLOOKUP($B14,'Indicator chart'!$D$1:$J$36,7,FALSE),1)=" "," ",VLOOKUP($B14,'Indicator chart'!$D$1:$J$36,7,FALSE))</f>
        <v>0.7691704407647569</v>
      </c>
      <c r="H14" s="50">
        <f t="shared" si="0"/>
        <v>2</v>
      </c>
      <c r="I14" s="38">
        <v>0.7008990049362183</v>
      </c>
      <c r="J14" s="38">
        <v>0.7539309859275818</v>
      </c>
      <c r="K14" s="38">
        <v>0.7747089862823486</v>
      </c>
      <c r="L14" s="38">
        <v>0.7939800024032593</v>
      </c>
      <c r="M14" s="38">
        <v>0.8549780249595642</v>
      </c>
      <c r="N14" s="80">
        <f>VLOOKUP('Hide - Control'!B$3,'All practice data'!A:CA,A14+29,FALSE)</f>
        <v>0.7671710404479449</v>
      </c>
      <c r="O14" s="80">
        <f>VLOOKUP('Hide - Control'!C$3,'All practice data'!A:CA,A14+29,FALSE)</f>
        <v>0.7559681673907895</v>
      </c>
      <c r="P14" s="38">
        <f>VLOOKUP('Hide - Control'!$B$4,'All practice data'!B:BC,A14+2,FALSE)</f>
        <v>70424</v>
      </c>
      <c r="Q14" s="38">
        <f>VLOOKUP('Hide - Control'!$B$4,'All practice data'!B:BJ,59,FALSE)</f>
        <v>91797</v>
      </c>
      <c r="R14" s="38">
        <f t="shared" si="17"/>
        <v>0.7644258446249139</v>
      </c>
      <c r="S14" s="38">
        <f t="shared" si="18"/>
        <v>0.7698938755986534</v>
      </c>
      <c r="T14" s="53">
        <f t="shared" si="16"/>
        <v>0.8549780249595642</v>
      </c>
      <c r="U14" s="51">
        <f t="shared" si="1"/>
        <v>0.7008990049362183</v>
      </c>
      <c r="V14" s="7"/>
      <c r="W14" s="27">
        <f t="shared" si="2"/>
        <v>0.6944399476051331</v>
      </c>
      <c r="X14" s="27">
        <f t="shared" si="3"/>
        <v>0.8549780249595642</v>
      </c>
      <c r="Y14" s="27">
        <f t="shared" si="4"/>
        <v>0.6944399476051331</v>
      </c>
      <c r="Z14" s="27">
        <f t="shared" si="5"/>
        <v>0.8549780249595642</v>
      </c>
      <c r="AA14" s="32">
        <f t="shared" si="6"/>
        <v>0.04023380270604021</v>
      </c>
      <c r="AB14" s="33">
        <f t="shared" si="7"/>
        <v>0.37057275945261386</v>
      </c>
      <c r="AC14" s="33">
        <v>0.5</v>
      </c>
      <c r="AD14" s="33">
        <f t="shared" si="8"/>
        <v>0.6200401576902199</v>
      </c>
      <c r="AE14" s="33">
        <f t="shared" si="9"/>
        <v>1</v>
      </c>
      <c r="AF14" s="33">
        <f t="shared" si="10"/>
        <v>-999</v>
      </c>
      <c r="AG14" s="33">
        <f t="shared" si="11"/>
        <v>0.3675455279347677</v>
      </c>
      <c r="AH14" s="33">
        <f t="shared" si="12"/>
        <v>-999</v>
      </c>
      <c r="AI14" s="34">
        <f t="shared" si="13"/>
        <v>0.3832624683165746</v>
      </c>
      <c r="AJ14" s="4">
        <v>10.234019270112368</v>
      </c>
      <c r="AK14" s="32">
        <f t="shared" si="14"/>
        <v>-999</v>
      </c>
      <c r="AL14" s="34">
        <f t="shared" si="15"/>
        <v>-999</v>
      </c>
      <c r="AY14" s="103" t="s">
        <v>53</v>
      </c>
      <c r="AZ14" s="103" t="s">
        <v>454</v>
      </c>
      <c r="BA14" s="103" t="s">
        <v>511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891</v>
      </c>
      <c r="E15" s="38">
        <f>IF(LEFT(VLOOKUP($B15,'Indicator chart'!$D$1:$J$36,5,FALSE),1)=" "," ",VLOOKUP($B15,'Indicator chart'!$D$1:$J$36,5,FALSE))</f>
        <v>0.602434</v>
      </c>
      <c r="F15" s="38">
        <f>IF(LEFT(VLOOKUP($B15,'Indicator chart'!$D$1:$J$36,6,FALSE),1)=" "," ",VLOOKUP($B15,'Indicator chart'!$D$1:$J$36,6,FALSE))</f>
        <v>0.5772576140953277</v>
      </c>
      <c r="G15" s="38">
        <f>IF(LEFT(VLOOKUP($B15,'Indicator chart'!$D$1:$J$36,7,FALSE),1)=" "," ",VLOOKUP($B15,'Indicator chart'!$D$1:$J$36,7,FALSE))</f>
        <v>0.6270797878227193</v>
      </c>
      <c r="H15" s="50">
        <f t="shared" si="0"/>
        <v>2</v>
      </c>
      <c r="I15" s="38">
        <v>0.4699999988079071</v>
      </c>
      <c r="J15" s="38">
        <v>0.5547789931297302</v>
      </c>
      <c r="K15" s="38">
        <v>0.5887569785118103</v>
      </c>
      <c r="L15" s="38">
        <v>0.6036670207977295</v>
      </c>
      <c r="M15" s="38">
        <v>0.6680579781532288</v>
      </c>
      <c r="N15" s="80">
        <f>VLOOKUP('Hide - Control'!B$3,'All practice data'!A:CA,A15+29,FALSE)</f>
        <v>0.5877992140050018</v>
      </c>
      <c r="O15" s="80">
        <f>VLOOKUP('Hide - Control'!C$3,'All practice data'!A:CA,A15+29,FALSE)</f>
        <v>0.5147293797466616</v>
      </c>
      <c r="P15" s="38">
        <f>VLOOKUP('Hide - Control'!$B$4,'All practice data'!B:BC,A15+2,FALSE)</f>
        <v>26324</v>
      </c>
      <c r="Q15" s="38">
        <f>VLOOKUP('Hide - Control'!$B$4,'All practice data'!B:BJ,60,FALSE)</f>
        <v>44784</v>
      </c>
      <c r="R15" s="38">
        <f t="shared" si="17"/>
        <v>0.5832329360220548</v>
      </c>
      <c r="S15" s="38">
        <f t="shared" si="18"/>
        <v>0.5923504303351219</v>
      </c>
      <c r="T15" s="53">
        <f t="shared" si="16"/>
        <v>0.6680579781532288</v>
      </c>
      <c r="U15" s="51">
        <f t="shared" si="1"/>
        <v>0.4699999988079071</v>
      </c>
      <c r="V15" s="7"/>
      <c r="W15" s="27">
        <f t="shared" si="2"/>
        <v>0.4699999988079071</v>
      </c>
      <c r="X15" s="27">
        <f t="shared" si="3"/>
        <v>0.7075139582157135</v>
      </c>
      <c r="Y15" s="27">
        <f t="shared" si="4"/>
        <v>0.4699999988079071</v>
      </c>
      <c r="Z15" s="27">
        <f t="shared" si="5"/>
        <v>0.7075139582157135</v>
      </c>
      <c r="AA15" s="32">
        <f t="shared" si="6"/>
        <v>0</v>
      </c>
      <c r="AB15" s="33">
        <f t="shared" si="7"/>
        <v>0.3569432067622577</v>
      </c>
      <c r="AC15" s="33">
        <v>0.5</v>
      </c>
      <c r="AD15" s="33">
        <f t="shared" si="8"/>
        <v>0.5627754356968929</v>
      </c>
      <c r="AE15" s="33">
        <f t="shared" si="9"/>
        <v>0.8338793216160416</v>
      </c>
      <c r="AF15" s="33">
        <f t="shared" si="10"/>
        <v>-999</v>
      </c>
      <c r="AG15" s="33">
        <f t="shared" si="11"/>
        <v>0.5575840743099506</v>
      </c>
      <c r="AH15" s="33">
        <f t="shared" si="12"/>
        <v>-999</v>
      </c>
      <c r="AI15" s="34">
        <f t="shared" si="13"/>
        <v>0.18832316656367576</v>
      </c>
      <c r="AJ15" s="4">
        <v>11.310014695494289</v>
      </c>
      <c r="AK15" s="32">
        <f t="shared" si="14"/>
        <v>-999</v>
      </c>
      <c r="AL15" s="34">
        <f t="shared" si="15"/>
        <v>-999</v>
      </c>
      <c r="AY15" s="103" t="s">
        <v>229</v>
      </c>
      <c r="AZ15" s="103" t="s">
        <v>230</v>
      </c>
      <c r="BA15" s="103" t="s">
        <v>332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491</v>
      </c>
      <c r="E16" s="38">
        <f>IF(LEFT(VLOOKUP($B16,'Indicator chart'!$D$1:$J$36,5,FALSE),1)=" "," ",VLOOKUP($B16,'Indicator chart'!$D$1:$J$36,5,FALSE))</f>
        <v>0.624682</v>
      </c>
      <c r="F16" s="38">
        <f>IF(LEFT(VLOOKUP($B16,'Indicator chart'!$D$1:$J$36,6,FALSE),1)=" "," ",VLOOKUP($B16,'Indicator chart'!$D$1:$J$36,6,FALSE))</f>
        <v>0.5903012934216674</v>
      </c>
      <c r="G16" s="38">
        <f>IF(LEFT(VLOOKUP($B16,'Indicator chart'!$D$1:$J$36,7,FALSE),1)=" "," ",VLOOKUP($B16,'Indicator chart'!$D$1:$J$36,7,FALSE))</f>
        <v>0.6578497282515391</v>
      </c>
      <c r="H16" s="50">
        <f t="shared" si="0"/>
        <v>2</v>
      </c>
      <c r="I16" s="38">
        <v>0.47777798771858215</v>
      </c>
      <c r="J16" s="38">
        <v>0.5856350064277649</v>
      </c>
      <c r="K16" s="38">
        <v>0.6216220259666443</v>
      </c>
      <c r="L16" s="38">
        <v>0.6436619758605957</v>
      </c>
      <c r="M16" s="38">
        <v>0.6820809841156006</v>
      </c>
      <c r="N16" s="80">
        <f>VLOOKUP('Hide - Control'!B$3,'All practice data'!A:CA,A16+29,FALSE)</f>
        <v>0.6202028922944097</v>
      </c>
      <c r="O16" s="80">
        <f>VLOOKUP('Hide - Control'!C$3,'All practice data'!A:CA,A16+29,FALSE)</f>
        <v>0.5752927626212945</v>
      </c>
      <c r="P16" s="38">
        <f>VLOOKUP('Hide - Control'!$B$4,'All practice data'!B:BC,A16+2,FALSE)</f>
        <v>14367</v>
      </c>
      <c r="Q16" s="38">
        <f>VLOOKUP('Hide - Control'!$B$4,'All practice data'!B:BJ,61,FALSE)</f>
        <v>23165</v>
      </c>
      <c r="R16" s="38">
        <f t="shared" si="17"/>
        <v>0.6139334102498133</v>
      </c>
      <c r="S16" s="38">
        <f t="shared" si="18"/>
        <v>0.626432512921762</v>
      </c>
      <c r="T16" s="53">
        <f aca="true" t="shared" si="19" ref="T16:T31">IF($C16=1,M16,I16)</f>
        <v>0.6820809841156006</v>
      </c>
      <c r="U16" s="51">
        <f aca="true" t="shared" si="20" ref="U16:U31">IF($C16=1,I16,M16)</f>
        <v>0.47777798771858215</v>
      </c>
      <c r="V16" s="7"/>
      <c r="W16" s="27">
        <f t="shared" si="2"/>
        <v>0.47777798771858215</v>
      </c>
      <c r="X16" s="27">
        <f t="shared" si="3"/>
        <v>0.7654660642147064</v>
      </c>
      <c r="Y16" s="27">
        <f t="shared" si="4"/>
        <v>0.47777798771858215</v>
      </c>
      <c r="Z16" s="27">
        <f t="shared" si="5"/>
        <v>0.7654660642147064</v>
      </c>
      <c r="AA16" s="32">
        <f t="shared" si="6"/>
        <v>0</v>
      </c>
      <c r="AB16" s="33">
        <f t="shared" si="7"/>
        <v>0.37490958965981264</v>
      </c>
      <c r="AC16" s="33">
        <v>0.5</v>
      </c>
      <c r="AD16" s="33">
        <f t="shared" si="8"/>
        <v>0.576610578242885</v>
      </c>
      <c r="AE16" s="33">
        <f t="shared" si="9"/>
        <v>0.7101545496264973</v>
      </c>
      <c r="AF16" s="33">
        <f t="shared" si="10"/>
        <v>-999</v>
      </c>
      <c r="AG16" s="33">
        <f t="shared" si="11"/>
        <v>0.5106364298118449</v>
      </c>
      <c r="AH16" s="33">
        <f t="shared" si="12"/>
        <v>-999</v>
      </c>
      <c r="AI16" s="34">
        <f t="shared" si="13"/>
        <v>0.33896008513938547</v>
      </c>
      <c r="AJ16" s="4">
        <v>12.386010120876215</v>
      </c>
      <c r="AK16" s="32">
        <f t="shared" si="14"/>
        <v>-999</v>
      </c>
      <c r="AL16" s="34">
        <f t="shared" si="15"/>
        <v>-999</v>
      </c>
      <c r="AY16" s="103" t="s">
        <v>329</v>
      </c>
      <c r="AZ16" s="103" t="s">
        <v>351</v>
      </c>
      <c r="BA16" s="103" t="s">
        <v>511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206</v>
      </c>
      <c r="E17" s="38">
        <f>IF(LEFT(VLOOKUP($B17,'Indicator chart'!$D$1:$J$36,5,FALSE),1)=" "," ",VLOOKUP($B17,'Indicator chart'!$D$1:$J$36,5,FALSE))</f>
        <v>1779.3901701649822</v>
      </c>
      <c r="F17" s="38">
        <f>IF(LEFT(VLOOKUP($B17,'Indicator chart'!$D$1:$J$36,6,FALSE),1)=" "," ",VLOOKUP($B17,'Indicator chart'!$D$1:$J$36,6,FALSE))</f>
        <v>1544.6687862522908</v>
      </c>
      <c r="G17" s="38">
        <f>IF(LEFT(VLOOKUP($B17,'Indicator chart'!$D$1:$J$36,7,FALSE),1)=" "," ",VLOOKUP($B17,'Indicator chart'!$D$1:$J$36,7,FALSE))</f>
        <v>2039.6933466539745</v>
      </c>
      <c r="H17" s="50">
        <f t="shared" si="0"/>
        <v>3</v>
      </c>
      <c r="I17" s="38">
        <v>652.1365966796875</v>
      </c>
      <c r="J17" s="38">
        <v>982.8009643554688</v>
      </c>
      <c r="K17" s="38">
        <v>1232.13916015625</v>
      </c>
      <c r="L17" s="38">
        <v>1610.2530517578125</v>
      </c>
      <c r="M17" s="38">
        <v>5093.833984375</v>
      </c>
      <c r="N17" s="80">
        <f>VLOOKUP('Hide - Control'!B$3,'All practice data'!A:CA,A17+29,FALSE)</f>
        <v>1421.5936040292268</v>
      </c>
      <c r="O17" s="80">
        <f>VLOOKUP('Hide - Control'!C$3,'All practice data'!A:CA,A17+29,FALSE)</f>
        <v>1812.1669120472948</v>
      </c>
      <c r="P17" s="38">
        <f>VLOOKUP('Hide - Control'!$B$4,'All practice data'!B:BC,A17+2,FALSE)</f>
        <v>5329</v>
      </c>
      <c r="Q17" s="38">
        <f>VLOOKUP('Hide - Control'!$B$4,'All practice data'!B:BC,3,FALSE)</f>
        <v>374861</v>
      </c>
      <c r="R17" s="38">
        <f>100000*(P17*(1-1/(9*P17)-1.96/(3*SQRT(P17)))^3)/Q17</f>
        <v>1383.6780370704087</v>
      </c>
      <c r="S17" s="38">
        <f>100000*((P17+1)*(1-1/(9*(P17+1))+1.96/(3*SQRT(P17+1)))^3)/Q17</f>
        <v>1460.2848677753846</v>
      </c>
      <c r="T17" s="53">
        <f t="shared" si="19"/>
        <v>5093.833984375</v>
      </c>
      <c r="U17" s="51">
        <f t="shared" si="20"/>
        <v>652.1365966796875</v>
      </c>
      <c r="V17" s="7"/>
      <c r="W17" s="27">
        <f t="shared" si="2"/>
        <v>-2629.5556640625</v>
      </c>
      <c r="X17" s="27">
        <f t="shared" si="3"/>
        <v>5093.833984375</v>
      </c>
      <c r="Y17" s="27">
        <f t="shared" si="4"/>
        <v>-2629.5556640625</v>
      </c>
      <c r="Z17" s="27">
        <f t="shared" si="5"/>
        <v>5093.833984375</v>
      </c>
      <c r="AA17" s="32">
        <f t="shared" si="6"/>
        <v>0.4249031073300955</v>
      </c>
      <c r="AB17" s="33">
        <f t="shared" si="7"/>
        <v>0.46771648108531927</v>
      </c>
      <c r="AC17" s="33">
        <v>0.5</v>
      </c>
      <c r="AD17" s="33">
        <f t="shared" si="8"/>
        <v>0.5489569876457104</v>
      </c>
      <c r="AE17" s="33">
        <f t="shared" si="9"/>
        <v>1</v>
      </c>
      <c r="AF17" s="33">
        <f t="shared" si="10"/>
        <v>-999</v>
      </c>
      <c r="AG17" s="33">
        <f t="shared" si="11"/>
        <v>-999</v>
      </c>
      <c r="AH17" s="33">
        <f t="shared" si="12"/>
        <v>0.5708563253855055</v>
      </c>
      <c r="AI17" s="34">
        <f t="shared" si="13"/>
        <v>0.5751001539859365</v>
      </c>
      <c r="AJ17" s="4">
        <v>13.462005546258133</v>
      </c>
      <c r="AK17" s="32">
        <f t="shared" si="14"/>
        <v>-999</v>
      </c>
      <c r="AL17" s="34">
        <f t="shared" si="15"/>
        <v>0.5708563253855055</v>
      </c>
      <c r="AY17" s="103" t="s">
        <v>103</v>
      </c>
      <c r="AZ17" s="103" t="s">
        <v>104</v>
      </c>
      <c r="BA17" s="103" t="s">
        <v>332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206</v>
      </c>
      <c r="E18" s="80">
        <f>IF(LEFT(VLOOKUP($B18,'Indicator chart'!$D$1:$J$36,5,FALSE),1)=" "," ",VLOOKUP($B18,'Indicator chart'!$D$1:$J$36,5,FALSE))</f>
        <v>0.8852306366</v>
      </c>
      <c r="F18" s="81">
        <f>IF(LEFT(VLOOKUP($B18,'Indicator chart'!$D$1:$J$36,6,FALSE),1)=" "," ",VLOOKUP($B18,'Indicator chart'!$D$1:$J$36,6,FALSE))</f>
        <v>0.7684662628</v>
      </c>
      <c r="G18" s="38">
        <f>IF(LEFT(VLOOKUP($B18,'Indicator chart'!$D$1:$J$36,7,FALSE),1)=" "," ",VLOOKUP($B18,'Indicator chart'!$D$1:$J$36,7,FALSE))</f>
        <v>1.014722977</v>
      </c>
      <c r="H18" s="50">
        <f>IF(LEFT(F18,1)=" ",4,IF(AND(ABS(N18-E18)&gt;SQRT((E18-G18)^2+(N18-R18)^2),E18&lt;N18),1,IF(AND(ABS(N18-E18)&gt;SQRT((E18-F18)^2+(N18-S18)^2),E18&gt;N18),3,2)))</f>
        <v>2</v>
      </c>
      <c r="I18" s="38">
        <v>0.35436832904815674</v>
      </c>
      <c r="J18" s="38"/>
      <c r="K18" s="38">
        <v>1</v>
      </c>
      <c r="L18" s="38"/>
      <c r="M18" s="38">
        <v>2.136090040206909</v>
      </c>
      <c r="N18" s="80">
        <v>1</v>
      </c>
      <c r="O18" s="80">
        <f>VLOOKUP('Hide - Control'!C$3,'All practice data'!A:CA,A18+29,FALSE)</f>
        <v>1</v>
      </c>
      <c r="P18" s="38">
        <f>VLOOKUP('Hide - Control'!$B$4,'All practice data'!B:BC,A18+2,FALSE)</f>
        <v>5329</v>
      </c>
      <c r="Q18" s="38">
        <f>VLOOKUP('Hide - Control'!$B$4,'All practice data'!B:BC,14,FALSE)</f>
        <v>5329</v>
      </c>
      <c r="R18" s="81">
        <v>1</v>
      </c>
      <c r="S18" s="38">
        <v>1</v>
      </c>
      <c r="T18" s="53">
        <f t="shared" si="19"/>
        <v>2.136090040206909</v>
      </c>
      <c r="U18" s="51">
        <f t="shared" si="20"/>
        <v>0.35436832904815674</v>
      </c>
      <c r="V18" s="7"/>
      <c r="W18" s="27">
        <f>IF((K18-I18)&gt;(M18-K18),I18,(K18-(M18-K18)))</f>
        <v>-0.13609004020690918</v>
      </c>
      <c r="X18" s="27">
        <f t="shared" si="3"/>
        <v>2.136090040206909</v>
      </c>
      <c r="Y18" s="27">
        <f t="shared" si="4"/>
        <v>-0.13609004020690918</v>
      </c>
      <c r="Z18" s="27">
        <f t="shared" si="5"/>
        <v>2.136090040206909</v>
      </c>
      <c r="AA18" s="32" t="s">
        <v>332</v>
      </c>
      <c r="AB18" s="33" t="s">
        <v>332</v>
      </c>
      <c r="AC18" s="33">
        <v>0.5</v>
      </c>
      <c r="AD18" s="33" t="s">
        <v>332</v>
      </c>
      <c r="AE18" s="33" t="s">
        <v>332</v>
      </c>
      <c r="AF18" s="33">
        <f t="shared" si="10"/>
        <v>-999</v>
      </c>
      <c r="AG18" s="33">
        <f t="shared" si="11"/>
        <v>0.4494893189191687</v>
      </c>
      <c r="AH18" s="33">
        <f t="shared" si="12"/>
        <v>-999</v>
      </c>
      <c r="AI18" s="34">
        <v>0.5</v>
      </c>
      <c r="AJ18" s="4">
        <v>14.538000971640056</v>
      </c>
      <c r="AK18" s="32">
        <f t="shared" si="14"/>
        <v>-999</v>
      </c>
      <c r="AL18" s="34">
        <f t="shared" si="15"/>
        <v>-999</v>
      </c>
      <c r="AY18" s="103" t="s">
        <v>105</v>
      </c>
      <c r="AZ18" s="103" t="s">
        <v>106</v>
      </c>
      <c r="BA18" s="103" t="s">
        <v>332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31</v>
      </c>
      <c r="E19" s="38">
        <f>IF(LEFT(VLOOKUP($B19,'Indicator chart'!$D$1:$J$36,5,FALSE),1)=" "," ",VLOOKUP($B19,'Indicator chart'!$D$1:$J$36,5,FALSE))</f>
        <v>0.15048543689320387</v>
      </c>
      <c r="F19" s="38">
        <f>IF(LEFT(VLOOKUP($B19,'Indicator chart'!$D$1:$J$36,6,FALSE),1)=" "," ",VLOOKUP($B19,'Indicator chart'!$D$1:$J$36,6,FALSE))</f>
        <v>0.10808528505603736</v>
      </c>
      <c r="G19" s="38">
        <f>IF(LEFT(VLOOKUP($B19,'Indicator chart'!$D$1:$J$36,7,FALSE),1)=" "," ",VLOOKUP($B19,'Indicator chart'!$D$1:$J$36,7,FALSE))</f>
        <v>0.20568281431034185</v>
      </c>
      <c r="H19" s="50">
        <f t="shared" si="0"/>
        <v>2</v>
      </c>
      <c r="I19" s="38">
        <v>0.02070442959666252</v>
      </c>
      <c r="J19" s="38">
        <v>0.10671936720609665</v>
      </c>
      <c r="K19" s="38">
        <v>0.1355140209197998</v>
      </c>
      <c r="L19" s="38">
        <v>0.1782178282737732</v>
      </c>
      <c r="M19" s="38">
        <v>0.34210526943206787</v>
      </c>
      <c r="N19" s="80">
        <f>VLOOKUP('Hide - Control'!B$3,'All practice data'!A:CA,A19+29,FALSE)</f>
        <v>0.13529742916119347</v>
      </c>
      <c r="O19" s="80">
        <f>VLOOKUP('Hide - Control'!C$3,'All practice data'!A:CA,A19+29,FALSE)</f>
        <v>0.10919341638628717</v>
      </c>
      <c r="P19" s="38">
        <f>VLOOKUP('Hide - Control'!$B$4,'All practice data'!B:BC,A19+2,FALSE)</f>
        <v>721</v>
      </c>
      <c r="Q19" s="38">
        <f>VLOOKUP('Hide - Control'!$B$4,'All practice data'!B:BC,15,FALSE)</f>
        <v>5329</v>
      </c>
      <c r="R19" s="38">
        <f>+((2*P19+1.96^2-1.96*SQRT(1.96^2+4*P19*(1-P19/Q19)))/(2*(Q19+1.96^2)))</f>
        <v>0.12637613239122136</v>
      </c>
      <c r="S19" s="38">
        <f>+((2*P19+1.96^2+1.96*SQRT(1.96^2+4*P19*(1-P19/Q19)))/(2*(Q19+1.96^2)))</f>
        <v>0.1447441649001889</v>
      </c>
      <c r="T19" s="53">
        <f t="shared" si="19"/>
        <v>0.34210526943206787</v>
      </c>
      <c r="U19" s="51">
        <f t="shared" si="20"/>
        <v>0.02070442959666252</v>
      </c>
      <c r="V19" s="7"/>
      <c r="W19" s="27">
        <f t="shared" si="2"/>
        <v>-0.07107722759246826</v>
      </c>
      <c r="X19" s="27">
        <f t="shared" si="3"/>
        <v>0.34210526943206787</v>
      </c>
      <c r="Y19" s="27">
        <f t="shared" si="4"/>
        <v>-0.07107722759246826</v>
      </c>
      <c r="Z19" s="27">
        <f t="shared" si="5"/>
        <v>0.34210526943206787</v>
      </c>
      <c r="AA19" s="32">
        <f t="shared" si="6"/>
        <v>0.22213345882287092</v>
      </c>
      <c r="AB19" s="33">
        <f t="shared" si="7"/>
        <v>0.4303100835077406</v>
      </c>
      <c r="AC19" s="33">
        <v>0.5</v>
      </c>
      <c r="AD19" s="33">
        <f t="shared" si="8"/>
        <v>0.6033533793456829</v>
      </c>
      <c r="AE19" s="33">
        <f t="shared" si="9"/>
        <v>1</v>
      </c>
      <c r="AF19" s="33">
        <f t="shared" si="10"/>
        <v>-999</v>
      </c>
      <c r="AG19" s="33">
        <f t="shared" si="11"/>
        <v>0.5362343905688605</v>
      </c>
      <c r="AH19" s="33">
        <f t="shared" si="12"/>
        <v>-999</v>
      </c>
      <c r="AI19" s="34">
        <f t="shared" si="13"/>
        <v>0.4362978714658631</v>
      </c>
      <c r="AJ19" s="4">
        <v>15.61399639702198</v>
      </c>
      <c r="AK19" s="32">
        <f t="shared" si="14"/>
        <v>-999</v>
      </c>
      <c r="AL19" s="34">
        <f t="shared" si="15"/>
        <v>-999</v>
      </c>
      <c r="AY19" s="103" t="s">
        <v>270</v>
      </c>
      <c r="AZ19" s="103" t="s">
        <v>450</v>
      </c>
      <c r="BA19" s="103" t="s">
        <v>332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51</v>
      </c>
      <c r="E20" s="38">
        <f>IF(LEFT(VLOOKUP($B20,'Indicator chart'!$D$1:$J$36,5,FALSE),1)=" "," ",VLOOKUP($B20,'Indicator chart'!$D$1:$J$36,5,FALSE))</f>
        <v>0.6078431372549019</v>
      </c>
      <c r="F20" s="38">
        <f>IF(LEFT(VLOOKUP($B20,'Indicator chart'!$D$1:$J$36,6,FALSE),1)=" "," ",VLOOKUP($B20,'Indicator chart'!$D$1:$J$36,6,FALSE))</f>
        <v>0.4708491122516506</v>
      </c>
      <c r="G20" s="38">
        <f>IF(LEFT(VLOOKUP($B20,'Indicator chart'!$D$1:$J$36,7,FALSE),1)=" "," ",VLOOKUP($B20,'Indicator chart'!$D$1:$J$36,7,FALSE))</f>
        <v>0.7297285514197229</v>
      </c>
      <c r="H20" s="50">
        <f t="shared" si="0"/>
        <v>2</v>
      </c>
      <c r="I20" s="38">
        <v>0.09238772839307785</v>
      </c>
      <c r="J20" s="38">
        <v>0.453125</v>
      </c>
      <c r="K20" s="38">
        <v>0.5</v>
      </c>
      <c r="L20" s="38">
        <v>0.5666666626930237</v>
      </c>
      <c r="M20" s="38">
        <v>0.7777777910232544</v>
      </c>
      <c r="N20" s="80">
        <f>VLOOKUP('Hide - Control'!B$3,'All practice data'!A:CA,A20+29,FALSE)</f>
        <v>0.49724137931034484</v>
      </c>
      <c r="O20" s="80">
        <f>VLOOKUP('Hide - Control'!C$3,'All practice data'!A:CA,A20+29,FALSE)</f>
        <v>0.4534552930810221</v>
      </c>
      <c r="P20" s="38">
        <f>VLOOKUP('Hide - Control'!$B$4,'All practice data'!B:BC,A20+1,FALSE)</f>
        <v>721</v>
      </c>
      <c r="Q20" s="38">
        <f>VLOOKUP('Hide - Control'!$B$4,'All practice data'!B:BC,A20+2,FALSE)</f>
        <v>1450</v>
      </c>
      <c r="R20" s="38">
        <f>+((2*P20+1.96^2-1.96*SQRT(1.96^2+4*P20*(1-P20/Q20)))/(2*(Q20+1.96^2)))</f>
        <v>0.4715470226441423</v>
      </c>
      <c r="S20" s="38">
        <f>+((2*P20+1.96^2+1.96*SQRT(1.96^2+4*P20*(1-P20/Q20)))/(2*(Q20+1.96^2)))</f>
        <v>0.5229503146173585</v>
      </c>
      <c r="T20" s="53">
        <f t="shared" si="19"/>
        <v>0.7777777910232544</v>
      </c>
      <c r="U20" s="51">
        <f t="shared" si="20"/>
        <v>0.09238772839307785</v>
      </c>
      <c r="V20" s="7"/>
      <c r="W20" s="27">
        <f t="shared" si="2"/>
        <v>0.09238772839307785</v>
      </c>
      <c r="X20" s="27">
        <f t="shared" si="3"/>
        <v>0.9076122716069221</v>
      </c>
      <c r="Y20" s="27">
        <f t="shared" si="4"/>
        <v>0.09238772839307785</v>
      </c>
      <c r="Z20" s="27">
        <f t="shared" si="5"/>
        <v>0.9076122716069221</v>
      </c>
      <c r="AA20" s="32">
        <f t="shared" si="6"/>
        <v>0</v>
      </c>
      <c r="AB20" s="33">
        <f t="shared" si="7"/>
        <v>0.442500504443591</v>
      </c>
      <c r="AC20" s="33">
        <v>0.5</v>
      </c>
      <c r="AD20" s="33">
        <f t="shared" si="8"/>
        <v>0.5817770554726002</v>
      </c>
      <c r="AE20" s="33">
        <f t="shared" si="9"/>
        <v>0.8407377676930288</v>
      </c>
      <c r="AF20" s="33">
        <f t="shared" si="10"/>
        <v>-999</v>
      </c>
      <c r="AG20" s="33">
        <f t="shared" si="11"/>
        <v>0.6322864211493854</v>
      </c>
      <c r="AH20" s="33">
        <f t="shared" si="12"/>
        <v>-999</v>
      </c>
      <c r="AI20" s="34">
        <f t="shared" si="13"/>
        <v>0.4429056604018746</v>
      </c>
      <c r="AJ20" s="4">
        <v>16.689991822403904</v>
      </c>
      <c r="AK20" s="32">
        <f t="shared" si="14"/>
        <v>-999</v>
      </c>
      <c r="AL20" s="34">
        <f t="shared" si="15"/>
        <v>-999</v>
      </c>
      <c r="AY20" s="103" t="s">
        <v>211</v>
      </c>
      <c r="AZ20" s="103" t="s">
        <v>431</v>
      </c>
      <c r="BA20" s="103" t="s">
        <v>332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40</v>
      </c>
      <c r="E21" s="38">
        <f>IF(LEFT(VLOOKUP($B21,'Indicator chart'!$D$1:$J$36,5,FALSE),1)=" "," ",VLOOKUP($B21,'Indicator chart'!$D$1:$J$36,5,FALSE))</f>
        <v>345.51265440096745</v>
      </c>
      <c r="F21" s="38">
        <f>IF(LEFT(VLOOKUP($B21,'Indicator chart'!$D$1:$J$36,6,FALSE),1)=" "," ",VLOOKUP($B21,'Indicator chart'!$D$1:$J$36,6,FALSE))</f>
        <v>246.80934479374562</v>
      </c>
      <c r="G21" s="38">
        <f>IF(LEFT(VLOOKUP($B21,'Indicator chart'!$D$1:$J$36,7,FALSE),1)=" "," ",VLOOKUP($B21,'Indicator chart'!$D$1:$J$36,7,FALSE))</f>
        <v>470.5051223659508</v>
      </c>
      <c r="H21" s="50">
        <f t="shared" si="0"/>
        <v>2</v>
      </c>
      <c r="I21" s="38">
        <v>61.46357345581055</v>
      </c>
      <c r="J21" s="38">
        <v>253.22866821289062</v>
      </c>
      <c r="K21" s="38">
        <v>303.7974548339844</v>
      </c>
      <c r="L21" s="38">
        <v>378.6086120605469</v>
      </c>
      <c r="M21" s="38">
        <v>653.8197021484375</v>
      </c>
      <c r="N21" s="80">
        <f>VLOOKUP('Hide - Control'!B$3,'All practice data'!A:CA,A21+29,FALSE)</f>
        <v>320.118657315645</v>
      </c>
      <c r="O21" s="80">
        <f>VLOOKUP('Hide - Control'!C$3,'All practice data'!A:CA,A21+29,FALSE)</f>
        <v>377.7293140102421</v>
      </c>
      <c r="P21" s="38">
        <f>VLOOKUP('Hide - Control'!$B$4,'All practice data'!B:BC,A21+2,FALSE)</f>
        <v>1200</v>
      </c>
      <c r="Q21" s="38">
        <f>VLOOKUP('Hide - Control'!$B$4,'All practice data'!B:BC,3,FALSE)</f>
        <v>374861</v>
      </c>
      <c r="R21" s="38">
        <f aca="true" t="shared" si="21" ref="R21:R27">100000*(P21*(1-1/(9*P21)-1.96/(3*SQRT(P21)))^3)/Q21</f>
        <v>302.2601025792877</v>
      </c>
      <c r="S21" s="38">
        <f aca="true" t="shared" si="22" ref="S21:S27">100000*((P21+1)*(1-1/(9*(P21+1))+1.96/(3*SQRT(P21+1)))^3)/Q21</f>
        <v>338.7568372512856</v>
      </c>
      <c r="T21" s="53">
        <f t="shared" si="19"/>
        <v>653.8197021484375</v>
      </c>
      <c r="U21" s="51">
        <f t="shared" si="20"/>
        <v>61.46357345581055</v>
      </c>
      <c r="V21" s="7"/>
      <c r="W21" s="27">
        <f t="shared" si="2"/>
        <v>-46.22479248046875</v>
      </c>
      <c r="X21" s="27">
        <f t="shared" si="3"/>
        <v>653.8197021484375</v>
      </c>
      <c r="Y21" s="27">
        <f t="shared" si="4"/>
        <v>-46.22479248046875</v>
      </c>
      <c r="Z21" s="27">
        <f t="shared" si="5"/>
        <v>653.8197021484375</v>
      </c>
      <c r="AA21" s="32">
        <f t="shared" si="6"/>
        <v>0.15383074470625602</v>
      </c>
      <c r="AB21" s="33">
        <f t="shared" si="7"/>
        <v>0.42776346788085196</v>
      </c>
      <c r="AC21" s="33">
        <v>0.5</v>
      </c>
      <c r="AD21" s="33">
        <f t="shared" si="8"/>
        <v>0.6068662889295628</v>
      </c>
      <c r="AE21" s="33">
        <f t="shared" si="9"/>
        <v>1</v>
      </c>
      <c r="AF21" s="33">
        <f t="shared" si="10"/>
        <v>-999</v>
      </c>
      <c r="AG21" s="33">
        <f t="shared" si="11"/>
        <v>0.5595893545153816</v>
      </c>
      <c r="AH21" s="33">
        <f t="shared" si="12"/>
        <v>-999</v>
      </c>
      <c r="AI21" s="34">
        <f t="shared" si="13"/>
        <v>0.6056102286976045</v>
      </c>
      <c r="AJ21" s="4">
        <v>17.765987247785823</v>
      </c>
      <c r="AK21" s="32">
        <f t="shared" si="14"/>
        <v>-999</v>
      </c>
      <c r="AL21" s="34">
        <f t="shared" si="15"/>
        <v>-999</v>
      </c>
      <c r="AY21" s="103" t="s">
        <v>123</v>
      </c>
      <c r="AZ21" s="103" t="s">
        <v>405</v>
      </c>
      <c r="BA21" s="103" t="s">
        <v>332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20</v>
      </c>
      <c r="E22" s="38">
        <f>IF(LEFT(VLOOKUP($B22,'Indicator chart'!$D$1:$J$36,5,FALSE),1)=" "," ",VLOOKUP($B22,'Indicator chart'!$D$1:$J$36,5,FALSE))</f>
        <v>172.75632720048372</v>
      </c>
      <c r="F22" s="38">
        <f>IF(LEFT(VLOOKUP($B22,'Indicator chart'!$D$1:$J$36,6,FALSE),1)=" "," ",VLOOKUP($B22,'Indicator chart'!$D$1:$J$36,6,FALSE))</f>
        <v>105.47907846916772</v>
      </c>
      <c r="G22" s="38">
        <f>IF(LEFT(VLOOKUP($B22,'Indicator chart'!$D$1:$J$36,7,FALSE),1)=" "," ",VLOOKUP($B22,'Indicator chart'!$D$1:$J$36,7,FALSE))</f>
        <v>266.8229579016402</v>
      </c>
      <c r="H22" s="50">
        <f t="shared" si="0"/>
        <v>2</v>
      </c>
      <c r="I22" s="38">
        <v>18.07059669494629</v>
      </c>
      <c r="J22" s="38">
        <v>97.18173217773438</v>
      </c>
      <c r="K22" s="38">
        <v>169.81532287597656</v>
      </c>
      <c r="L22" s="38">
        <v>219.29824829101562</v>
      </c>
      <c r="M22" s="38">
        <v>697.0509643554688</v>
      </c>
      <c r="N22" s="80">
        <f>VLOOKUP('Hide - Control'!B$3,'All practice data'!A:CA,A22+29,FALSE)</f>
        <v>187.8029456251784</v>
      </c>
      <c r="O22" s="80">
        <f>VLOOKUP('Hide - Control'!C$3,'All practice data'!A:CA,A22+29,FALSE)</f>
        <v>282.45290788403287</v>
      </c>
      <c r="P22" s="38">
        <f>VLOOKUP('Hide - Control'!$B$4,'All practice data'!B:BC,A22+2,FALSE)</f>
        <v>704</v>
      </c>
      <c r="Q22" s="38">
        <f>VLOOKUP('Hide - Control'!$B$4,'All practice data'!B:BC,3,FALSE)</f>
        <v>374861</v>
      </c>
      <c r="R22" s="38">
        <f t="shared" si="21"/>
        <v>174.18410497196064</v>
      </c>
      <c r="S22" s="38">
        <f t="shared" si="22"/>
        <v>202.20368341795378</v>
      </c>
      <c r="T22" s="53">
        <f t="shared" si="19"/>
        <v>697.0509643554688</v>
      </c>
      <c r="U22" s="51">
        <f t="shared" si="20"/>
        <v>18.07059669494629</v>
      </c>
      <c r="V22" s="7"/>
      <c r="W22" s="27">
        <f t="shared" si="2"/>
        <v>-357.4203186035156</v>
      </c>
      <c r="X22" s="27">
        <f t="shared" si="3"/>
        <v>697.0509643554688</v>
      </c>
      <c r="Y22" s="27">
        <f t="shared" si="4"/>
        <v>-357.4203186035156</v>
      </c>
      <c r="Z22" s="27">
        <f t="shared" si="5"/>
        <v>697.0509643554688</v>
      </c>
      <c r="AA22" s="32">
        <f t="shared" si="6"/>
        <v>0.3560940173209699</v>
      </c>
      <c r="AB22" s="33">
        <f t="shared" si="7"/>
        <v>0.431118474374738</v>
      </c>
      <c r="AC22" s="33">
        <v>0.5</v>
      </c>
      <c r="AD22" s="33">
        <f t="shared" si="8"/>
        <v>0.546926764355482</v>
      </c>
      <c r="AE22" s="33">
        <f t="shared" si="9"/>
        <v>1</v>
      </c>
      <c r="AF22" s="33">
        <f t="shared" si="10"/>
        <v>-999</v>
      </c>
      <c r="AG22" s="33">
        <f t="shared" si="11"/>
        <v>0.5027890795814318</v>
      </c>
      <c r="AH22" s="33">
        <f t="shared" si="12"/>
        <v>-999</v>
      </c>
      <c r="AI22" s="34">
        <f t="shared" si="13"/>
        <v>0.6068190161537452</v>
      </c>
      <c r="AJ22" s="4">
        <v>18.841982673167745</v>
      </c>
      <c r="AK22" s="32">
        <f t="shared" si="14"/>
        <v>-999</v>
      </c>
      <c r="AL22" s="34">
        <f t="shared" si="15"/>
        <v>-999</v>
      </c>
      <c r="AY22" s="103" t="s">
        <v>149</v>
      </c>
      <c r="AZ22" s="103" t="s">
        <v>415</v>
      </c>
      <c r="BA22" s="103" t="s">
        <v>332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51.82689816014511</v>
      </c>
      <c r="F23" s="38">
        <f>IF(LEFT(VLOOKUP($B23,'Indicator chart'!$D$1:$J$36,6,FALSE),1)=" "," ",VLOOKUP($B23,'Indicator chart'!$D$1:$J$36,6,FALSE))</f>
        <v>18.924943773720994</v>
      </c>
      <c r="G23" s="38">
        <f>IF(LEFT(VLOOKUP($B23,'Indicator chart'!$D$1:$J$36,7,FALSE),1)=" "," ",VLOOKUP($B23,'Indicator chart'!$D$1:$J$36,7,FALSE))</f>
        <v>112.80897701198721</v>
      </c>
      <c r="H23" s="50">
        <f t="shared" si="0"/>
        <v>2</v>
      </c>
      <c r="I23" s="38">
        <v>3.248678207397461</v>
      </c>
      <c r="J23" s="38">
        <v>17.161489486694336</v>
      </c>
      <c r="K23" s="38">
        <v>39.14405059814453</v>
      </c>
      <c r="L23" s="38">
        <v>58.02146911621094</v>
      </c>
      <c r="M23" s="38">
        <v>187.6675567626953</v>
      </c>
      <c r="N23" s="80">
        <f>VLOOKUP('Hide - Control'!B$3,'All practice data'!A:CA,A23+29,FALSE)</f>
        <v>40.28159771221866</v>
      </c>
      <c r="O23" s="80">
        <f>VLOOKUP('Hide - Control'!C$3,'All practice data'!A:CA,A23+29,FALSE)</f>
        <v>70.46674929228394</v>
      </c>
      <c r="P23" s="38">
        <f>VLOOKUP('Hide - Control'!$B$4,'All practice data'!B:BC,A23+2,FALSE)</f>
        <v>151</v>
      </c>
      <c r="Q23" s="38">
        <f>VLOOKUP('Hide - Control'!$B$4,'All practice data'!B:BC,3,FALSE)</f>
        <v>374861</v>
      </c>
      <c r="R23" s="38">
        <f t="shared" si="21"/>
        <v>34.11247300763771</v>
      </c>
      <c r="S23" s="38">
        <f t="shared" si="22"/>
        <v>47.24372890442286</v>
      </c>
      <c r="T23" s="53">
        <f t="shared" si="19"/>
        <v>187.6675567626953</v>
      </c>
      <c r="U23" s="51">
        <f t="shared" si="20"/>
        <v>3.248678207397461</v>
      </c>
      <c r="V23" s="7"/>
      <c r="W23" s="27">
        <f t="shared" si="2"/>
        <v>-109.37945556640625</v>
      </c>
      <c r="X23" s="27">
        <f t="shared" si="3"/>
        <v>187.6675567626953</v>
      </c>
      <c r="Y23" s="27">
        <f t="shared" si="4"/>
        <v>-109.37945556640625</v>
      </c>
      <c r="Z23" s="27">
        <f t="shared" si="5"/>
        <v>187.6675567626953</v>
      </c>
      <c r="AA23" s="32">
        <f t="shared" si="6"/>
        <v>0.3791592882577853</v>
      </c>
      <c r="AB23" s="33">
        <f t="shared" si="7"/>
        <v>0.4259963568086809</v>
      </c>
      <c r="AC23" s="33">
        <v>0.5</v>
      </c>
      <c r="AD23" s="33">
        <f t="shared" si="8"/>
        <v>0.5635502722954571</v>
      </c>
      <c r="AE23" s="33">
        <f t="shared" si="9"/>
        <v>1</v>
      </c>
      <c r="AF23" s="33">
        <f t="shared" si="10"/>
        <v>-999</v>
      </c>
      <c r="AG23" s="33">
        <f t="shared" si="11"/>
        <v>0.5426964319976029</v>
      </c>
      <c r="AH23" s="33">
        <f t="shared" si="12"/>
        <v>-999</v>
      </c>
      <c r="AI23" s="34">
        <f t="shared" si="13"/>
        <v>0.6054469406998669</v>
      </c>
      <c r="AJ23" s="4">
        <v>19.917978098549675</v>
      </c>
      <c r="AK23" s="32">
        <f t="shared" si="14"/>
        <v>-999</v>
      </c>
      <c r="AL23" s="34">
        <f t="shared" si="15"/>
        <v>-999</v>
      </c>
      <c r="AY23" s="103" t="s">
        <v>264</v>
      </c>
      <c r="AZ23" s="103" t="s">
        <v>265</v>
      </c>
      <c r="BA23" s="103" t="s">
        <v>332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55</v>
      </c>
      <c r="E24" s="38">
        <f>IF(LEFT(VLOOKUP($B24,'Indicator chart'!$D$1:$J$36,5,FALSE),1)=" "," ",VLOOKUP($B24,'Indicator chart'!$D$1:$J$36,5,FALSE))</f>
        <v>475.0798998013302</v>
      </c>
      <c r="F24" s="38">
        <f>IF(LEFT(VLOOKUP($B24,'Indicator chart'!$D$1:$J$36,6,FALSE),1)=" "," ",VLOOKUP($B24,'Indicator chart'!$D$1:$J$36,6,FALSE))</f>
        <v>357.8699568040924</v>
      </c>
      <c r="G24" s="38">
        <f>IF(LEFT(VLOOKUP($B24,'Indicator chart'!$D$1:$J$36,7,FALSE),1)=" "," ",VLOOKUP($B24,'Indicator chart'!$D$1:$J$36,7,FALSE))</f>
        <v>618.3962782660992</v>
      </c>
      <c r="H24" s="50">
        <f t="shared" si="0"/>
        <v>3</v>
      </c>
      <c r="I24" s="38">
        <v>27.3076171875</v>
      </c>
      <c r="J24" s="38">
        <v>166.26486206054688</v>
      </c>
      <c r="K24" s="38">
        <v>234.74179077148438</v>
      </c>
      <c r="L24" s="38">
        <v>386.1003723144531</v>
      </c>
      <c r="M24" s="38">
        <v>1474.5308837890625</v>
      </c>
      <c r="N24" s="80">
        <f>VLOOKUP('Hide - Control'!B$3,'All practice data'!A:CA,A24+29,FALSE)</f>
        <v>311.5821597872278</v>
      </c>
      <c r="O24" s="80">
        <f>VLOOKUP('Hide - Control'!C$3,'All practice data'!A:CA,A24+29,FALSE)</f>
        <v>323.23046266988894</v>
      </c>
      <c r="P24" s="38">
        <f>VLOOKUP('Hide - Control'!$B$4,'All practice data'!B:BC,A24+2,FALSE)</f>
        <v>1168</v>
      </c>
      <c r="Q24" s="38">
        <f>VLOOKUP('Hide - Control'!$B$4,'All practice data'!B:BC,3,FALSE)</f>
        <v>374861</v>
      </c>
      <c r="R24" s="38">
        <f t="shared" si="21"/>
        <v>293.9667515525528</v>
      </c>
      <c r="S24" s="38">
        <f t="shared" si="22"/>
        <v>329.97729457883423</v>
      </c>
      <c r="T24" s="53">
        <f t="shared" si="19"/>
        <v>1474.5308837890625</v>
      </c>
      <c r="U24" s="51">
        <f t="shared" si="20"/>
        <v>27.3076171875</v>
      </c>
      <c r="V24" s="7"/>
      <c r="W24" s="27">
        <f t="shared" si="2"/>
        <v>-1005.0473022460938</v>
      </c>
      <c r="X24" s="27">
        <f t="shared" si="3"/>
        <v>1474.5308837890625</v>
      </c>
      <c r="Y24" s="27">
        <f t="shared" si="4"/>
        <v>-1005.0473022460938</v>
      </c>
      <c r="Z24" s="27">
        <f t="shared" si="5"/>
        <v>1474.5308837890625</v>
      </c>
      <c r="AA24" s="32">
        <f t="shared" si="6"/>
        <v>0.4163429591564235</v>
      </c>
      <c r="AB24" s="33">
        <f t="shared" si="7"/>
        <v>0.47238363803303496</v>
      </c>
      <c r="AC24" s="33">
        <v>0.5</v>
      </c>
      <c r="AD24" s="33">
        <f t="shared" si="8"/>
        <v>0.5610420685241594</v>
      </c>
      <c r="AE24" s="33">
        <f t="shared" si="9"/>
        <v>1</v>
      </c>
      <c r="AF24" s="33">
        <f t="shared" si="10"/>
        <v>-999</v>
      </c>
      <c r="AG24" s="33">
        <f t="shared" si="11"/>
        <v>-999</v>
      </c>
      <c r="AH24" s="33">
        <f t="shared" si="12"/>
        <v>0.5969270137894487</v>
      </c>
      <c r="AI24" s="34">
        <f t="shared" si="13"/>
        <v>0.5356869859546143</v>
      </c>
      <c r="AJ24" s="4">
        <v>20.99397352393159</v>
      </c>
      <c r="AK24" s="32">
        <f t="shared" si="14"/>
        <v>-999</v>
      </c>
      <c r="AL24" s="34">
        <f t="shared" si="15"/>
        <v>0.5969270137894487</v>
      </c>
      <c r="AY24" s="103" t="s">
        <v>65</v>
      </c>
      <c r="AZ24" s="103" t="s">
        <v>66</v>
      </c>
      <c r="BA24" s="103" t="s">
        <v>511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483.7177161613544</v>
      </c>
      <c r="F25" s="38">
        <f>IF(LEFT(VLOOKUP($B25,'Indicator chart'!$D$1:$J$36,6,FALSE),1)=" "," ",VLOOKUP($B25,'Indicator chart'!$D$1:$J$36,6,FALSE))</f>
        <v>365.370158591513</v>
      </c>
      <c r="G25" s="38">
        <f>IF(LEFT(VLOOKUP($B25,'Indicator chart'!$D$1:$J$36,7,FALSE),1)=" "," ",VLOOKUP($B25,'Indicator chart'!$D$1:$J$36,7,FALSE))</f>
        <v>628.162145830503</v>
      </c>
      <c r="H25" s="50">
        <f t="shared" si="0"/>
        <v>2</v>
      </c>
      <c r="I25" s="38">
        <v>185.5142822265625</v>
      </c>
      <c r="J25" s="38">
        <v>393.4562072753906</v>
      </c>
      <c r="K25" s="38">
        <v>469.48358154296875</v>
      </c>
      <c r="L25" s="38">
        <v>531.2193603515625</v>
      </c>
      <c r="M25" s="38">
        <v>811.2179565429688</v>
      </c>
      <c r="N25" s="80">
        <f>VLOOKUP('Hide - Control'!B$3,'All practice data'!A:CA,A25+29,FALSE)</f>
        <v>485.2465313809652</v>
      </c>
      <c r="O25" s="80">
        <f>VLOOKUP('Hide - Control'!C$3,'All practice data'!A:CA,A25+29,FALSE)</f>
        <v>562.6134400960308</v>
      </c>
      <c r="P25" s="38">
        <f>VLOOKUP('Hide - Control'!$B$4,'All practice data'!B:BC,A25+2,FALSE)</f>
        <v>1819</v>
      </c>
      <c r="Q25" s="38">
        <f>VLOOKUP('Hide - Control'!$B$4,'All practice data'!B:BC,3,FALSE)</f>
        <v>374861</v>
      </c>
      <c r="R25" s="38">
        <f t="shared" si="21"/>
        <v>463.2003149341333</v>
      </c>
      <c r="S25" s="38">
        <f t="shared" si="22"/>
        <v>508.0709722987105</v>
      </c>
      <c r="T25" s="53">
        <f t="shared" si="19"/>
        <v>811.2179565429688</v>
      </c>
      <c r="U25" s="51">
        <f t="shared" si="20"/>
        <v>185.5142822265625</v>
      </c>
      <c r="V25" s="7"/>
      <c r="W25" s="27">
        <f t="shared" si="2"/>
        <v>127.74920654296875</v>
      </c>
      <c r="X25" s="27">
        <f t="shared" si="3"/>
        <v>811.2179565429688</v>
      </c>
      <c r="Y25" s="27">
        <f t="shared" si="4"/>
        <v>127.74920654296875</v>
      </c>
      <c r="Z25" s="27">
        <f t="shared" si="5"/>
        <v>811.2179565429688</v>
      </c>
      <c r="AA25" s="32">
        <f t="shared" si="6"/>
        <v>0.0845175082014997</v>
      </c>
      <c r="AB25" s="33">
        <f t="shared" si="7"/>
        <v>0.38876247192343744</v>
      </c>
      <c r="AC25" s="33">
        <v>0.5</v>
      </c>
      <c r="AD25" s="33">
        <f t="shared" si="8"/>
        <v>0.5903271419631019</v>
      </c>
      <c r="AE25" s="33">
        <f t="shared" si="9"/>
        <v>1</v>
      </c>
      <c r="AF25" s="33">
        <f t="shared" si="10"/>
        <v>-999</v>
      </c>
      <c r="AG25" s="33">
        <f t="shared" si="11"/>
        <v>0.5208263137391221</v>
      </c>
      <c r="AH25" s="33">
        <f t="shared" si="12"/>
        <v>-999</v>
      </c>
      <c r="AI25" s="34">
        <f t="shared" si="13"/>
        <v>0.6362605950207116</v>
      </c>
      <c r="AJ25" s="4">
        <v>22.06996894931352</v>
      </c>
      <c r="AK25" s="32">
        <f t="shared" si="14"/>
        <v>-999</v>
      </c>
      <c r="AL25" s="34">
        <f t="shared" si="15"/>
        <v>-999</v>
      </c>
      <c r="AY25" s="103" t="s">
        <v>257</v>
      </c>
      <c r="AZ25" s="103" t="s">
        <v>258</v>
      </c>
      <c r="BA25" s="103" t="s">
        <v>511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17</v>
      </c>
      <c r="E26" s="38">
        <f>IF(LEFT(VLOOKUP($B26,'Indicator chart'!$D$1:$J$36,5,FALSE),1)=" "," ",VLOOKUP($B26,'Indicator chart'!$D$1:$J$36,5,FALSE))</f>
        <v>146.84287812041117</v>
      </c>
      <c r="F26" s="38">
        <f>IF(LEFT(VLOOKUP($B26,'Indicator chart'!$D$1:$J$36,6,FALSE),1)=" "," ",VLOOKUP($B26,'Indicator chart'!$D$1:$J$36,6,FALSE))</f>
        <v>85.49169536301895</v>
      </c>
      <c r="G26" s="38">
        <f>IF(LEFT(VLOOKUP($B26,'Indicator chart'!$D$1:$J$36,7,FALSE),1)=" "," ",VLOOKUP($B26,'Indicator chart'!$D$1:$J$36,7,FALSE))</f>
        <v>235.1240452415557</v>
      </c>
      <c r="H26" s="50">
        <f t="shared" si="0"/>
        <v>1</v>
      </c>
      <c r="I26" s="38">
        <v>112.1823501586914</v>
      </c>
      <c r="J26" s="38">
        <v>204.4989776611328</v>
      </c>
      <c r="K26" s="38">
        <v>256.7394104003906</v>
      </c>
      <c r="L26" s="38">
        <v>311.0209655761719</v>
      </c>
      <c r="M26" s="38">
        <v>558.4476928710938</v>
      </c>
      <c r="N26" s="80">
        <f>VLOOKUP('Hide - Control'!B$3,'All practice data'!A:CA,A26+29,FALSE)</f>
        <v>281.9711839855306</v>
      </c>
      <c r="O26" s="80">
        <f>VLOOKUP('Hide - Control'!C$3,'All practice data'!A:CA,A26+29,FALSE)</f>
        <v>405.57105879375996</v>
      </c>
      <c r="P26" s="38">
        <f>VLOOKUP('Hide - Control'!$B$4,'All practice data'!B:BC,A26+2,FALSE)</f>
        <v>1057</v>
      </c>
      <c r="Q26" s="38">
        <f>VLOOKUP('Hide - Control'!$B$4,'All practice data'!B:BC,3,FALSE)</f>
        <v>374861</v>
      </c>
      <c r="R26" s="38">
        <f t="shared" si="21"/>
        <v>265.2261258666656</v>
      </c>
      <c r="S26" s="38">
        <f t="shared" si="22"/>
        <v>299.4963550665462</v>
      </c>
      <c r="T26" s="53">
        <f t="shared" si="19"/>
        <v>558.4476928710938</v>
      </c>
      <c r="U26" s="51">
        <f t="shared" si="20"/>
        <v>112.1823501586914</v>
      </c>
      <c r="V26" s="7"/>
      <c r="W26" s="27">
        <f t="shared" si="2"/>
        <v>-44.9688720703125</v>
      </c>
      <c r="X26" s="27">
        <f t="shared" si="3"/>
        <v>558.4476928710938</v>
      </c>
      <c r="Y26" s="27">
        <f t="shared" si="4"/>
        <v>-44.9688720703125</v>
      </c>
      <c r="Z26" s="27">
        <f t="shared" si="5"/>
        <v>558.4476928710938</v>
      </c>
      <c r="AA26" s="32">
        <f t="shared" si="6"/>
        <v>0.2604357111811536</v>
      </c>
      <c r="AB26" s="33">
        <f t="shared" si="7"/>
        <v>0.4134255905879373</v>
      </c>
      <c r="AC26" s="33">
        <v>0.5</v>
      </c>
      <c r="AD26" s="33">
        <f t="shared" si="8"/>
        <v>0.5899570186328116</v>
      </c>
      <c r="AE26" s="33">
        <f t="shared" si="9"/>
        <v>1</v>
      </c>
      <c r="AF26" s="33">
        <f t="shared" si="10"/>
        <v>-999</v>
      </c>
      <c r="AG26" s="33">
        <f t="shared" si="11"/>
        <v>-999</v>
      </c>
      <c r="AH26" s="33">
        <f t="shared" si="12"/>
        <v>0.3178761759868976</v>
      </c>
      <c r="AI26" s="34">
        <f t="shared" si="13"/>
        <v>0.7466482643011655</v>
      </c>
      <c r="AJ26" s="4">
        <v>23.145964374695435</v>
      </c>
      <c r="AK26" s="32">
        <f t="shared" si="14"/>
        <v>0.3178761759868976</v>
      </c>
      <c r="AL26" s="34">
        <f t="shared" si="15"/>
        <v>-999</v>
      </c>
      <c r="AY26" s="103" t="s">
        <v>120</v>
      </c>
      <c r="AZ26" s="103" t="s">
        <v>404</v>
      </c>
      <c r="BA26" s="103" t="s">
        <v>332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93</v>
      </c>
      <c r="E27" s="38">
        <f>IF(LEFT(VLOOKUP($B27,'Indicator chart'!$D$1:$J$36,5,FALSE),1)=" "," ",VLOOKUP($B27,'Indicator chart'!$D$1:$J$36,5,FALSE))</f>
        <v>803.3169214822493</v>
      </c>
      <c r="F27" s="38">
        <f>IF(LEFT(VLOOKUP($B27,'Indicator chart'!$D$1:$J$36,6,FALSE),1)=" "," ",VLOOKUP($B27,'Indicator chart'!$D$1:$J$36,6,FALSE))</f>
        <v>648.3608280853421</v>
      </c>
      <c r="G27" s="38">
        <f>IF(LEFT(VLOOKUP($B27,'Indicator chart'!$D$1:$J$36,7,FALSE),1)=" "," ",VLOOKUP($B27,'Indicator chart'!$D$1:$J$36,7,FALSE))</f>
        <v>984.1310452587448</v>
      </c>
      <c r="H27" s="50">
        <f t="shared" si="0"/>
        <v>2</v>
      </c>
      <c r="I27" s="38">
        <v>283.9564514160156</v>
      </c>
      <c r="J27" s="38">
        <v>508.2333679199219</v>
      </c>
      <c r="K27" s="38">
        <v>647.63525390625</v>
      </c>
      <c r="L27" s="38">
        <v>778.6814575195312</v>
      </c>
      <c r="M27" s="38">
        <v>1292.116455078125</v>
      </c>
      <c r="N27" s="80">
        <f>VLOOKUP('Hide - Control'!B$3,'All practice data'!A:CA,A27+29,FALSE)</f>
        <v>690.389237610741</v>
      </c>
      <c r="O27" s="80">
        <f>VLOOKUP('Hide - Control'!C$3,'All practice data'!A:CA,A27+29,FALSE)</f>
        <v>1059.3522061277838</v>
      </c>
      <c r="P27" s="38">
        <f>VLOOKUP('Hide - Control'!$B$4,'All practice data'!B:BC,A27+2,FALSE)</f>
        <v>2588</v>
      </c>
      <c r="Q27" s="38">
        <f>VLOOKUP('Hide - Control'!$B$4,'All practice data'!B:BC,3,FALSE)</f>
        <v>374861</v>
      </c>
      <c r="R27" s="38">
        <f t="shared" si="21"/>
        <v>664.043567062858</v>
      </c>
      <c r="S27" s="38">
        <f t="shared" si="22"/>
        <v>717.5121512713172</v>
      </c>
      <c r="T27" s="53">
        <f t="shared" si="19"/>
        <v>1292.116455078125</v>
      </c>
      <c r="U27" s="51">
        <f t="shared" si="20"/>
        <v>283.9564514160156</v>
      </c>
      <c r="V27" s="7"/>
      <c r="W27" s="27">
        <f t="shared" si="2"/>
        <v>3.154052734375</v>
      </c>
      <c r="X27" s="27">
        <f t="shared" si="3"/>
        <v>1292.116455078125</v>
      </c>
      <c r="Y27" s="27">
        <f t="shared" si="4"/>
        <v>3.154052734375</v>
      </c>
      <c r="Z27" s="27">
        <f t="shared" si="5"/>
        <v>1292.116455078125</v>
      </c>
      <c r="AA27" s="32">
        <f t="shared" si="6"/>
        <v>0.21785150456758953</v>
      </c>
      <c r="AB27" s="33">
        <f t="shared" si="7"/>
        <v>0.39184953282357154</v>
      </c>
      <c r="AC27" s="33">
        <v>0.5</v>
      </c>
      <c r="AD27" s="33">
        <f t="shared" si="8"/>
        <v>0.6016679798999544</v>
      </c>
      <c r="AE27" s="33">
        <f t="shared" si="9"/>
        <v>1</v>
      </c>
      <c r="AF27" s="33">
        <f t="shared" si="10"/>
        <v>-999</v>
      </c>
      <c r="AG27" s="33">
        <f t="shared" si="11"/>
        <v>0.6207806118261633</v>
      </c>
      <c r="AH27" s="33">
        <f t="shared" si="12"/>
        <v>-999</v>
      </c>
      <c r="AI27" s="34">
        <f t="shared" si="13"/>
        <v>0.8194173479947122</v>
      </c>
      <c r="AJ27" s="4">
        <v>24.221959800077364</v>
      </c>
      <c r="AK27" s="32">
        <f t="shared" si="14"/>
        <v>-999</v>
      </c>
      <c r="AL27" s="34">
        <f t="shared" si="15"/>
        <v>-999</v>
      </c>
      <c r="AY27" s="103" t="s">
        <v>115</v>
      </c>
      <c r="AZ27" s="103" t="s">
        <v>403</v>
      </c>
      <c r="BA27" s="103" t="s">
        <v>511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79</v>
      </c>
      <c r="E28" s="38">
        <f>IF(LEFT(VLOOKUP($B28,'Indicator chart'!$D$1:$J$36,5,FALSE),1)=" "," ",VLOOKUP($B28,'Indicator chart'!$D$1:$J$36,5,FALSE))</f>
        <v>682.3874924419107</v>
      </c>
      <c r="F28" s="38">
        <f>IF(LEFT(VLOOKUP($B28,'Indicator chart'!$D$1:$J$36,6,FALSE),1)=" "," ",VLOOKUP($B28,'Indicator chart'!$D$1:$J$36,6,FALSE))</f>
        <v>540.2314966183471</v>
      </c>
      <c r="G28" s="38">
        <f>IF(LEFT(VLOOKUP($B28,'Indicator chart'!$D$1:$J$36,7,FALSE),1)=" "," ",VLOOKUP($B28,'Indicator chart'!$D$1:$J$36,7,FALSE))</f>
        <v>850.472257092508</v>
      </c>
      <c r="H28" s="50">
        <f t="shared" si="0"/>
        <v>3</v>
      </c>
      <c r="I28" s="38">
        <v>237.20773315429688</v>
      </c>
      <c r="J28" s="38">
        <v>382.79510498046875</v>
      </c>
      <c r="K28" s="38">
        <v>479.8176574707031</v>
      </c>
      <c r="L28" s="38">
        <v>637.3855590820312</v>
      </c>
      <c r="M28" s="38">
        <v>911.6231689453125</v>
      </c>
      <c r="N28" s="80">
        <f>VLOOKUP('Hide - Control'!B$3,'All practice data'!A:CA,A28+29,FALSE)</f>
        <v>530.0631434051555</v>
      </c>
      <c r="O28" s="80">
        <f>VLOOKUP('Hide - Control'!C$3,'All practice data'!A:CA,A28+29,FALSE)</f>
        <v>582.9390489900089</v>
      </c>
      <c r="P28" s="38">
        <f>VLOOKUP('Hide - Control'!$B$4,'All practice data'!B:BC,A28+2,FALSE)</f>
        <v>1987</v>
      </c>
      <c r="Q28" s="38">
        <f>VLOOKUP('Hide - Control'!$B$4,'All practice data'!B:BC,3,FALSE)</f>
        <v>374861</v>
      </c>
      <c r="R28" s="38">
        <f>100000*(P28*(1-1/(9*P28)-1.96/(3*SQRT(P28)))^3)/Q28</f>
        <v>507.0098347213272</v>
      </c>
      <c r="S28" s="38">
        <f>100000*((P28+1)*(1-1/(9*(P28+1))+1.96/(3*SQRT(P28+1)))^3)/Q28</f>
        <v>553.8944143858121</v>
      </c>
      <c r="T28" s="53">
        <f t="shared" si="19"/>
        <v>911.6231689453125</v>
      </c>
      <c r="U28" s="51">
        <f t="shared" si="20"/>
        <v>237.20773315429688</v>
      </c>
      <c r="V28" s="7"/>
      <c r="W28" s="27">
        <f t="shared" si="2"/>
        <v>48.01214599609375</v>
      </c>
      <c r="X28" s="27">
        <f t="shared" si="3"/>
        <v>911.6231689453125</v>
      </c>
      <c r="Y28" s="27">
        <f t="shared" si="4"/>
        <v>48.01214599609375</v>
      </c>
      <c r="Z28" s="27">
        <f t="shared" si="5"/>
        <v>911.6231689453125</v>
      </c>
      <c r="AA28" s="32">
        <f t="shared" si="6"/>
        <v>0.21907500266972393</v>
      </c>
      <c r="AB28" s="33">
        <f t="shared" si="7"/>
        <v>0.3876548007007787</v>
      </c>
      <c r="AC28" s="33">
        <v>0.5</v>
      </c>
      <c r="AD28" s="33">
        <f t="shared" si="8"/>
        <v>0.6824523974615749</v>
      </c>
      <c r="AE28" s="33">
        <f t="shared" si="9"/>
        <v>1</v>
      </c>
      <c r="AF28" s="33">
        <f t="shared" si="10"/>
        <v>-999</v>
      </c>
      <c r="AG28" s="33">
        <f t="shared" si="11"/>
        <v>-999</v>
      </c>
      <c r="AH28" s="33">
        <f t="shared" si="12"/>
        <v>0.7345614282219727</v>
      </c>
      <c r="AI28" s="34">
        <f t="shared" si="13"/>
        <v>0.6194072201245739</v>
      </c>
      <c r="AJ28" s="4">
        <v>25.297955225459287</v>
      </c>
      <c r="AK28" s="32">
        <f t="shared" si="14"/>
        <v>-999</v>
      </c>
      <c r="AL28" s="34">
        <f t="shared" si="15"/>
        <v>0.7345614282219727</v>
      </c>
      <c r="AY28" s="103" t="s">
        <v>241</v>
      </c>
      <c r="AZ28" s="103" t="s">
        <v>242</v>
      </c>
      <c r="BA28" s="103" t="s">
        <v>511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406</v>
      </c>
      <c r="BA29" s="103" t="s">
        <v>332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427</v>
      </c>
      <c r="BA31" s="103" t="s">
        <v>332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386</v>
      </c>
      <c r="BA32" s="103" t="s">
        <v>332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451</v>
      </c>
      <c r="BA33" s="103" t="s">
        <v>511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332</v>
      </c>
      <c r="BB34" s="10">
        <v>532801</v>
      </c>
      <c r="BE34" s="77"/>
      <c r="BF34" s="253"/>
    </row>
    <row r="35" spans="2:58" ht="12.75">
      <c r="B35" s="17" t="s">
        <v>41</v>
      </c>
      <c r="C35" s="18"/>
      <c r="H35" s="290" t="s">
        <v>571</v>
      </c>
      <c r="I35" s="291"/>
      <c r="Y35" s="43"/>
      <c r="Z35" s="44"/>
      <c r="AA35" s="44"/>
      <c r="AB35" s="43"/>
      <c r="AC35" s="43"/>
      <c r="AY35" s="103" t="s">
        <v>159</v>
      </c>
      <c r="AZ35" s="103" t="s">
        <v>419</v>
      </c>
      <c r="BA35" s="103" t="s">
        <v>332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408</v>
      </c>
      <c r="BA36" s="103" t="s">
        <v>332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425</v>
      </c>
      <c r="BA37" s="103" t="s">
        <v>332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332</v>
      </c>
      <c r="BB40" s="10">
        <v>714731</v>
      </c>
      <c r="BF40" s="252"/>
    </row>
    <row r="41" spans="1:58" ht="12.75">
      <c r="A41" s="3"/>
      <c r="B41" s="71"/>
      <c r="C41" s="3"/>
      <c r="T41" s="13"/>
      <c r="U41" s="2"/>
      <c r="W41" s="2"/>
      <c r="X41" s="10"/>
      <c r="Y41" s="44"/>
      <c r="Z41" s="44"/>
      <c r="AA41" s="44"/>
      <c r="AB41" s="44"/>
      <c r="AC41" s="44"/>
      <c r="AD41" s="2"/>
      <c r="AE41" s="2"/>
      <c r="AY41" s="103" t="s">
        <v>272</v>
      </c>
      <c r="AZ41" s="103" t="s">
        <v>452</v>
      </c>
      <c r="BA41" s="103" t="s">
        <v>511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449</v>
      </c>
      <c r="BA43" s="103" t="s">
        <v>332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437</v>
      </c>
      <c r="BA44" s="103" t="s">
        <v>332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428</v>
      </c>
      <c r="BA46" s="103" t="s">
        <v>511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432</v>
      </c>
      <c r="BA48" s="103" t="s">
        <v>511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443</v>
      </c>
      <c r="BA49" s="103" t="s">
        <v>511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409</v>
      </c>
      <c r="BA51" s="103" t="s">
        <v>332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332</v>
      </c>
      <c r="BB52" s="10">
        <v>611636</v>
      </c>
      <c r="BF52" s="252"/>
    </row>
    <row r="53" spans="1:58" ht="12.75">
      <c r="A53" s="3"/>
      <c r="B53" s="12"/>
      <c r="C53" s="3"/>
      <c r="I53" s="11"/>
      <c r="J53" s="11"/>
      <c r="K53" s="11"/>
      <c r="L53" s="11"/>
      <c r="S53" s="11"/>
      <c r="U53" s="2"/>
      <c r="X53" s="2"/>
      <c r="Y53" s="2"/>
      <c r="Z53" s="2"/>
      <c r="AA53" s="2"/>
      <c r="AB53" s="2"/>
      <c r="AY53" s="103" t="s">
        <v>244</v>
      </c>
      <c r="AZ53" s="103" t="s">
        <v>442</v>
      </c>
      <c r="BA53" s="103" t="s">
        <v>332</v>
      </c>
      <c r="BB53" s="10">
        <v>230998</v>
      </c>
      <c r="BF53" s="252"/>
    </row>
    <row r="54" spans="1:58" ht="12.75">
      <c r="A54" s="3"/>
      <c r="B54" s="12"/>
      <c r="C54" s="3"/>
      <c r="I54" s="11"/>
      <c r="J54" s="11"/>
      <c r="K54" s="11"/>
      <c r="L54" s="11"/>
      <c r="S54" s="11"/>
      <c r="U54" s="2"/>
      <c r="X54" s="2"/>
      <c r="Y54" s="2"/>
      <c r="Z54" s="2"/>
      <c r="AA54" s="2"/>
      <c r="AB54" s="2"/>
      <c r="AY54" s="103" t="s">
        <v>67</v>
      </c>
      <c r="AZ54" s="103" t="s">
        <v>383</v>
      </c>
      <c r="BA54" s="103" t="s">
        <v>332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429</v>
      </c>
      <c r="BA55" s="103" t="s">
        <v>332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399</v>
      </c>
      <c r="BA56" s="103" t="s">
        <v>332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444</v>
      </c>
      <c r="BA57" s="103" t="s">
        <v>332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389</v>
      </c>
      <c r="BA58" s="103" t="s">
        <v>332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433</v>
      </c>
      <c r="BA61" s="103" t="s">
        <v>511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422</v>
      </c>
      <c r="BA63" s="103" t="s">
        <v>332</v>
      </c>
      <c r="BB63" s="10">
        <v>318405</v>
      </c>
      <c r="BE63" s="70"/>
      <c r="BF63" s="239"/>
    </row>
    <row r="64" spans="1:58" ht="12.75">
      <c r="A64" s="3"/>
      <c r="B64" s="12"/>
      <c r="C64" s="3"/>
      <c r="I64" s="11"/>
      <c r="V64" s="3"/>
      <c r="AY64" s="103" t="s">
        <v>78</v>
      </c>
      <c r="AZ64" s="103" t="s">
        <v>390</v>
      </c>
      <c r="BA64" s="103" t="s">
        <v>511</v>
      </c>
      <c r="BB64" s="10">
        <v>181285</v>
      </c>
      <c r="BE64" s="70"/>
      <c r="BF64" s="241"/>
    </row>
    <row r="65" spans="1:58" ht="12.75">
      <c r="A65" s="3"/>
      <c r="B65" s="12"/>
      <c r="C65" s="3"/>
      <c r="AY65" s="103" t="s">
        <v>500</v>
      </c>
      <c r="AZ65" s="103" t="s">
        <v>501</v>
      </c>
      <c r="BA65" s="103" t="s">
        <v>332</v>
      </c>
      <c r="BB65" s="10">
        <v>1169302</v>
      </c>
      <c r="BE65" s="70"/>
      <c r="BF65" s="241"/>
    </row>
    <row r="66" spans="1:58" ht="12.75">
      <c r="A66" s="3"/>
      <c r="B66" s="12"/>
      <c r="C66" s="3"/>
      <c r="E66" s="2"/>
      <c r="F66" s="2"/>
      <c r="G66" s="2"/>
      <c r="V66" s="2"/>
      <c r="AY66" s="103" t="s">
        <v>200</v>
      </c>
      <c r="AZ66" s="103" t="s">
        <v>430</v>
      </c>
      <c r="BA66" s="103" t="s">
        <v>332</v>
      </c>
      <c r="BB66" s="10">
        <v>217916</v>
      </c>
      <c r="BE66" s="70"/>
      <c r="BF66" s="239"/>
    </row>
    <row r="67" spans="1:58" ht="12.75">
      <c r="A67" s="3"/>
      <c r="B67" s="12"/>
      <c r="C67" s="3"/>
      <c r="AY67" s="103" t="s">
        <v>69</v>
      </c>
      <c r="AZ67" s="103" t="s">
        <v>70</v>
      </c>
      <c r="BA67" s="103" t="s">
        <v>332</v>
      </c>
      <c r="BB67" s="10">
        <v>270842</v>
      </c>
      <c r="BE67" s="70"/>
      <c r="BF67" s="239"/>
    </row>
    <row r="68" spans="1:58" ht="12.75">
      <c r="A68" s="3"/>
      <c r="B68" s="12"/>
      <c r="C68" s="3"/>
      <c r="AY68" s="103" t="s">
        <v>109</v>
      </c>
      <c r="AZ68" s="103" t="s">
        <v>110</v>
      </c>
      <c r="BA68" s="103" t="s">
        <v>332</v>
      </c>
      <c r="BB68" s="10">
        <v>251613</v>
      </c>
      <c r="BF68" s="252"/>
    </row>
    <row r="69" spans="1:58" ht="12.75">
      <c r="A69" s="3"/>
      <c r="B69" s="12"/>
      <c r="C69" s="3"/>
      <c r="AY69" s="103" t="s">
        <v>209</v>
      </c>
      <c r="AZ69" s="103" t="s">
        <v>210</v>
      </c>
      <c r="BA69" s="103" t="s">
        <v>332</v>
      </c>
      <c r="BB69" s="10">
        <v>283547</v>
      </c>
      <c r="BE69" s="70"/>
      <c r="BF69" s="241"/>
    </row>
    <row r="70" spans="1:58" ht="12.75">
      <c r="A70" s="3"/>
      <c r="B70" s="12"/>
      <c r="C70" s="3"/>
      <c r="AY70" s="103" t="s">
        <v>275</v>
      </c>
      <c r="AZ70" s="103" t="s">
        <v>453</v>
      </c>
      <c r="BA70" s="103" t="s">
        <v>510</v>
      </c>
      <c r="BB70" s="10">
        <v>141474</v>
      </c>
      <c r="BE70" s="70"/>
      <c r="BF70" s="239"/>
    </row>
    <row r="71" spans="1:58" ht="12.75">
      <c r="A71" s="3"/>
      <c r="B71" s="12"/>
      <c r="C71" s="3"/>
      <c r="AY71" s="103" t="s">
        <v>127</v>
      </c>
      <c r="AZ71" s="103" t="s">
        <v>407</v>
      </c>
      <c r="BA71" s="103" t="s">
        <v>332</v>
      </c>
      <c r="BB71" s="10">
        <v>213326</v>
      </c>
      <c r="BE71" s="70"/>
      <c r="BF71" s="239"/>
    </row>
    <row r="72" spans="1:58" ht="12.75">
      <c r="A72" s="3"/>
      <c r="B72" s="12"/>
      <c r="C72" s="3"/>
      <c r="AY72" s="103" t="s">
        <v>136</v>
      </c>
      <c r="AZ72" s="103" t="s">
        <v>137</v>
      </c>
      <c r="BA72" s="103" t="s">
        <v>332</v>
      </c>
      <c r="BB72" s="10">
        <v>183220</v>
      </c>
      <c r="BE72" s="250"/>
      <c r="BF72" s="239"/>
    </row>
    <row r="73" spans="1:58" ht="12.75">
      <c r="A73" s="3"/>
      <c r="B73" s="12"/>
      <c r="C73" s="3"/>
      <c r="AY73" s="103" t="s">
        <v>64</v>
      </c>
      <c r="AZ73" s="103" t="s">
        <v>382</v>
      </c>
      <c r="BA73" s="103" t="s">
        <v>332</v>
      </c>
      <c r="BB73" s="10">
        <v>190143</v>
      </c>
      <c r="BE73" s="70"/>
      <c r="BF73" s="239"/>
    </row>
    <row r="74" spans="1:58" ht="12.75">
      <c r="A74" s="3"/>
      <c r="B74" s="12"/>
      <c r="C74" s="3"/>
      <c r="AY74" s="103" t="s">
        <v>165</v>
      </c>
      <c r="AZ74" s="103" t="s">
        <v>166</v>
      </c>
      <c r="BA74" s="103" t="s">
        <v>511</v>
      </c>
      <c r="BB74" s="10">
        <v>419928</v>
      </c>
      <c r="BE74" s="70"/>
      <c r="BF74" s="241"/>
    </row>
    <row r="75" spans="1:58" ht="12.75">
      <c r="A75" s="3"/>
      <c r="B75" s="12"/>
      <c r="C75" s="3"/>
      <c r="AY75" s="103" t="s">
        <v>113</v>
      </c>
      <c r="AZ75" s="103" t="s">
        <v>401</v>
      </c>
      <c r="BA75" s="103" t="s">
        <v>332</v>
      </c>
      <c r="BB75" s="10">
        <v>158106</v>
      </c>
      <c r="BE75" s="70"/>
      <c r="BF75" s="241"/>
    </row>
    <row r="76" spans="1:58" ht="12.75">
      <c r="A76" s="3"/>
      <c r="B76" s="12"/>
      <c r="C76" s="3"/>
      <c r="AY76" s="103" t="s">
        <v>140</v>
      </c>
      <c r="AZ76" s="103" t="s">
        <v>141</v>
      </c>
      <c r="BA76" s="103" t="s">
        <v>332</v>
      </c>
      <c r="BB76" s="10">
        <v>377807</v>
      </c>
      <c r="BE76" s="70"/>
      <c r="BF76" s="241"/>
    </row>
    <row r="77" spans="1:58" ht="12.75">
      <c r="A77" s="3"/>
      <c r="B77" s="12"/>
      <c r="C77" s="3"/>
      <c r="AY77" s="103" t="s">
        <v>163</v>
      </c>
      <c r="AZ77" s="103" t="s">
        <v>164</v>
      </c>
      <c r="BA77" s="103" t="s">
        <v>511</v>
      </c>
      <c r="BB77" s="10">
        <v>799634</v>
      </c>
      <c r="BE77" s="70"/>
      <c r="BF77" s="249"/>
    </row>
    <row r="78" spans="1:58" ht="12.75">
      <c r="A78" s="3"/>
      <c r="B78" s="12"/>
      <c r="C78" s="3"/>
      <c r="AY78" s="103" t="s">
        <v>224</v>
      </c>
      <c r="AZ78" s="103" t="s">
        <v>225</v>
      </c>
      <c r="BA78" s="103" t="s">
        <v>332</v>
      </c>
      <c r="BB78" s="10">
        <v>362638</v>
      </c>
      <c r="BE78" s="70"/>
      <c r="BF78" s="239"/>
    </row>
    <row r="79" spans="1:58" ht="12.75">
      <c r="A79" s="3"/>
      <c r="B79" s="12"/>
      <c r="C79" s="3"/>
      <c r="AY79" s="103" t="s">
        <v>223</v>
      </c>
      <c r="AZ79" s="103" t="s">
        <v>435</v>
      </c>
      <c r="BA79" s="103" t="s">
        <v>332</v>
      </c>
      <c r="BB79" s="10">
        <v>678998</v>
      </c>
      <c r="BF79" s="239"/>
    </row>
    <row r="80" spans="1:58" ht="12.75">
      <c r="A80" s="3"/>
      <c r="B80" s="12"/>
      <c r="C80" s="3"/>
      <c r="AY80" s="103" t="s">
        <v>144</v>
      </c>
      <c r="AZ80" s="103" t="s">
        <v>145</v>
      </c>
      <c r="BA80" s="103" t="s">
        <v>332</v>
      </c>
      <c r="BB80" s="10">
        <v>290986</v>
      </c>
      <c r="BF80" s="252"/>
    </row>
    <row r="81" spans="1:58" ht="12.75">
      <c r="A81" s="3"/>
      <c r="B81" s="12"/>
      <c r="C81" s="3"/>
      <c r="AY81" s="103" t="s">
        <v>178</v>
      </c>
      <c r="AZ81" s="103" t="s">
        <v>424</v>
      </c>
      <c r="BA81" s="103" t="s">
        <v>511</v>
      </c>
      <c r="BB81" s="10">
        <v>747976</v>
      </c>
      <c r="BF81" s="252"/>
    </row>
    <row r="82" spans="1:58" ht="12.75">
      <c r="A82" s="3"/>
      <c r="B82" s="12"/>
      <c r="C82" s="3"/>
      <c r="AY82" s="103" t="s">
        <v>193</v>
      </c>
      <c r="AZ82" s="103" t="s">
        <v>194</v>
      </c>
      <c r="BA82" s="103" t="s">
        <v>332</v>
      </c>
      <c r="BB82" s="10">
        <v>489140</v>
      </c>
      <c r="BF82" s="252"/>
    </row>
    <row r="83" spans="1:58" ht="12.75">
      <c r="A83" s="3"/>
      <c r="B83" s="12"/>
      <c r="C83" s="3"/>
      <c r="AY83" s="103" t="s">
        <v>98</v>
      </c>
      <c r="AZ83" s="103" t="s">
        <v>398</v>
      </c>
      <c r="BA83" s="103" t="s">
        <v>511</v>
      </c>
      <c r="BB83" s="10">
        <v>208442</v>
      </c>
      <c r="BE83" s="70"/>
      <c r="BF83" s="241"/>
    </row>
    <row r="84" spans="1:58" ht="12.75">
      <c r="A84" s="3"/>
      <c r="B84" s="12"/>
      <c r="C84" s="3"/>
      <c r="AY84" s="103" t="s">
        <v>203</v>
      </c>
      <c r="AZ84" s="103" t="s">
        <v>204</v>
      </c>
      <c r="BA84" s="103" t="s">
        <v>511</v>
      </c>
      <c r="BB84" s="10">
        <v>545543</v>
      </c>
      <c r="BE84" s="70"/>
      <c r="BF84" s="241"/>
    </row>
    <row r="85" spans="1:58" ht="12.75">
      <c r="A85" s="3"/>
      <c r="B85" s="12"/>
      <c r="C85" s="3"/>
      <c r="AY85" s="103" t="s">
        <v>135</v>
      </c>
      <c r="AZ85" s="103" t="s">
        <v>413</v>
      </c>
      <c r="BA85" s="103" t="s">
        <v>511</v>
      </c>
      <c r="BB85" s="10">
        <v>274067</v>
      </c>
      <c r="BE85" s="70"/>
      <c r="BF85" s="241"/>
    </row>
    <row r="86" spans="1:58" ht="12.75">
      <c r="A86" s="3"/>
      <c r="B86" s="12"/>
      <c r="C86" s="3"/>
      <c r="AY86" s="103" t="s">
        <v>251</v>
      </c>
      <c r="AZ86" s="103" t="s">
        <v>252</v>
      </c>
      <c r="BA86" s="103" t="s">
        <v>511</v>
      </c>
      <c r="BB86" s="10">
        <v>374861</v>
      </c>
      <c r="BE86" s="70"/>
      <c r="BF86" s="249"/>
    </row>
    <row r="87" spans="1:58" ht="12.75">
      <c r="A87" s="3"/>
      <c r="B87" s="12"/>
      <c r="C87" s="3"/>
      <c r="AY87" s="103" t="s">
        <v>132</v>
      </c>
      <c r="AZ87" s="103" t="s">
        <v>133</v>
      </c>
      <c r="BA87" s="103" t="s">
        <v>332</v>
      </c>
      <c r="BB87" s="10">
        <v>153833</v>
      </c>
      <c r="BE87" s="70"/>
      <c r="BF87" s="249"/>
    </row>
    <row r="88" spans="1:58" ht="12.75">
      <c r="A88" s="3"/>
      <c r="B88" s="12"/>
      <c r="C88" s="3"/>
      <c r="AY88" s="103" t="s">
        <v>79</v>
      </c>
      <c r="AZ88" s="103" t="s">
        <v>80</v>
      </c>
      <c r="BA88" s="103" t="s">
        <v>511</v>
      </c>
      <c r="BB88" s="10">
        <v>258492</v>
      </c>
      <c r="BE88" s="70"/>
      <c r="BF88" s="241"/>
    </row>
    <row r="89" spans="1:58" ht="12.75">
      <c r="A89" s="3"/>
      <c r="B89" s="12"/>
      <c r="C89" s="3"/>
      <c r="AY89" s="103" t="s">
        <v>81</v>
      </c>
      <c r="AZ89" s="103" t="s">
        <v>391</v>
      </c>
      <c r="BA89" s="103" t="s">
        <v>332</v>
      </c>
      <c r="BB89" s="10">
        <v>283085</v>
      </c>
      <c r="BE89" s="70"/>
      <c r="BF89" s="241"/>
    </row>
    <row r="90" spans="1:58" ht="12.75">
      <c r="A90" s="3"/>
      <c r="B90" s="12"/>
      <c r="C90" s="3"/>
      <c r="AY90" s="103" t="s">
        <v>76</v>
      </c>
      <c r="AZ90" s="103" t="s">
        <v>388</v>
      </c>
      <c r="BA90" s="103" t="s">
        <v>332</v>
      </c>
      <c r="BB90" s="10">
        <v>357346</v>
      </c>
      <c r="BE90" s="70"/>
      <c r="BF90" s="241"/>
    </row>
    <row r="91" spans="1:58" ht="12.75">
      <c r="A91" s="3"/>
      <c r="B91" s="12"/>
      <c r="C91" s="3"/>
      <c r="AY91" s="103" t="s">
        <v>243</v>
      </c>
      <c r="AZ91" s="103" t="s">
        <v>441</v>
      </c>
      <c r="BA91" s="103" t="s">
        <v>511</v>
      </c>
      <c r="BB91" s="10">
        <v>748575</v>
      </c>
      <c r="BE91" s="247"/>
      <c r="BF91" s="249"/>
    </row>
    <row r="92" spans="1:58" ht="12.75">
      <c r="A92" s="3"/>
      <c r="B92" s="12"/>
      <c r="C92" s="3"/>
      <c r="AY92" s="103" t="s">
        <v>249</v>
      </c>
      <c r="AZ92" s="103" t="s">
        <v>250</v>
      </c>
      <c r="BA92" s="103" t="s">
        <v>511</v>
      </c>
      <c r="BB92" s="10">
        <v>322673</v>
      </c>
      <c r="BE92" s="247"/>
      <c r="BF92" s="249"/>
    </row>
    <row r="93" spans="1:58" ht="12.75">
      <c r="A93" s="3"/>
      <c r="B93" s="12"/>
      <c r="C93" s="3"/>
      <c r="AY93" s="103" t="s">
        <v>58</v>
      </c>
      <c r="AZ93" s="103" t="s">
        <v>59</v>
      </c>
      <c r="BA93" s="103" t="s">
        <v>332</v>
      </c>
      <c r="BB93" s="10">
        <v>165284</v>
      </c>
      <c r="BF93" s="252"/>
    </row>
    <row r="94" spans="1:58" ht="12.75">
      <c r="A94" s="3"/>
      <c r="B94" s="12"/>
      <c r="C94" s="3"/>
      <c r="AY94" s="103" t="s">
        <v>186</v>
      </c>
      <c r="AZ94" s="103" t="s">
        <v>426</v>
      </c>
      <c r="BA94" s="103" t="s">
        <v>332</v>
      </c>
      <c r="BB94" s="10">
        <v>339272</v>
      </c>
      <c r="BE94" s="70"/>
      <c r="BF94" s="241"/>
    </row>
    <row r="95" spans="1:58" ht="12.75">
      <c r="A95" s="3"/>
      <c r="B95" s="12"/>
      <c r="C95" s="3"/>
      <c r="AY95" s="103" t="s">
        <v>86</v>
      </c>
      <c r="AZ95" s="103" t="s">
        <v>87</v>
      </c>
      <c r="BA95" s="103" t="s">
        <v>332</v>
      </c>
      <c r="BB95" s="10">
        <v>165642</v>
      </c>
      <c r="BE95" s="247"/>
      <c r="BF95" s="249"/>
    </row>
    <row r="96" spans="1:58" ht="12.75">
      <c r="A96" s="3"/>
      <c r="B96" s="12"/>
      <c r="C96" s="3"/>
      <c r="AY96" s="103" t="s">
        <v>157</v>
      </c>
      <c r="AZ96" s="103" t="s">
        <v>158</v>
      </c>
      <c r="BA96" s="103" t="s">
        <v>332</v>
      </c>
      <c r="BB96" s="10">
        <v>208351</v>
      </c>
      <c r="BE96" s="243"/>
      <c r="BF96" s="238"/>
    </row>
    <row r="97" spans="1:58" ht="12.75">
      <c r="A97" s="3"/>
      <c r="B97" s="12"/>
      <c r="C97" s="3"/>
      <c r="AY97" s="103" t="s">
        <v>231</v>
      </c>
      <c r="AZ97" s="103" t="s">
        <v>232</v>
      </c>
      <c r="BA97" s="103" t="s">
        <v>332</v>
      </c>
      <c r="BB97" s="10">
        <v>203178</v>
      </c>
      <c r="BE97" s="243"/>
      <c r="BF97" s="238"/>
    </row>
    <row r="98" spans="1:58" ht="12.75">
      <c r="A98" s="3"/>
      <c r="B98" s="12"/>
      <c r="C98" s="3"/>
      <c r="AY98" s="103" t="s">
        <v>82</v>
      </c>
      <c r="AZ98" s="103" t="s">
        <v>392</v>
      </c>
      <c r="BA98" s="103" t="s">
        <v>332</v>
      </c>
      <c r="BB98" s="10">
        <v>214052</v>
      </c>
      <c r="BE98" s="248"/>
      <c r="BF98" s="241"/>
    </row>
    <row r="99" spans="1:58" ht="12.75">
      <c r="A99" s="3"/>
      <c r="B99" s="12"/>
      <c r="C99" s="3"/>
      <c r="AY99" s="103" t="s">
        <v>205</v>
      </c>
      <c r="AZ99" s="103" t="s">
        <v>206</v>
      </c>
      <c r="BA99" s="103" t="s">
        <v>511</v>
      </c>
      <c r="BB99" s="10">
        <v>795503</v>
      </c>
      <c r="BE99" s="70"/>
      <c r="BF99" s="249"/>
    </row>
    <row r="100" spans="1:58" ht="12.75">
      <c r="A100" s="3"/>
      <c r="B100" s="12"/>
      <c r="C100" s="3"/>
      <c r="AY100" s="103" t="s">
        <v>226</v>
      </c>
      <c r="AZ100" s="103" t="s">
        <v>436</v>
      </c>
      <c r="BA100" s="103" t="s">
        <v>332</v>
      </c>
      <c r="BB100" s="10">
        <v>648340</v>
      </c>
      <c r="BE100" s="70"/>
      <c r="BF100" s="249"/>
    </row>
    <row r="101" spans="51:58" ht="12.75">
      <c r="AY101" s="103" t="s">
        <v>51</v>
      </c>
      <c r="AZ101" s="103" t="s">
        <v>52</v>
      </c>
      <c r="BA101" s="103" t="s">
        <v>332</v>
      </c>
      <c r="BB101" s="10">
        <v>320818</v>
      </c>
      <c r="BE101" s="237"/>
      <c r="BF101" s="238"/>
    </row>
    <row r="102" spans="51:58" ht="12.75">
      <c r="AY102" s="103" t="s">
        <v>88</v>
      </c>
      <c r="AZ102" s="103" t="s">
        <v>89</v>
      </c>
      <c r="BA102" s="103" t="s">
        <v>332</v>
      </c>
      <c r="BB102" s="10">
        <v>339920</v>
      </c>
      <c r="BE102" s="237"/>
      <c r="BF102" s="238"/>
    </row>
    <row r="103" spans="51:58" ht="12.75">
      <c r="AY103" s="103" t="s">
        <v>177</v>
      </c>
      <c r="AZ103" s="103" t="s">
        <v>423</v>
      </c>
      <c r="BA103" s="103" t="s">
        <v>332</v>
      </c>
      <c r="BB103" s="10">
        <v>656875</v>
      </c>
      <c r="BE103" s="70"/>
      <c r="BF103" s="239"/>
    </row>
    <row r="104" spans="51:58" ht="12.75">
      <c r="AY104" s="103" t="s">
        <v>114</v>
      </c>
      <c r="AZ104" s="103" t="s">
        <v>402</v>
      </c>
      <c r="BA104" s="103" t="s">
        <v>332</v>
      </c>
      <c r="BB104" s="10">
        <v>236592</v>
      </c>
      <c r="BF104" s="252"/>
    </row>
    <row r="105" spans="51:58" ht="12.75">
      <c r="AY105" s="103" t="s">
        <v>259</v>
      </c>
      <c r="AZ105" s="103" t="s">
        <v>445</v>
      </c>
      <c r="BA105" s="103" t="s">
        <v>511</v>
      </c>
      <c r="BB105" s="10">
        <v>671572</v>
      </c>
      <c r="BE105" s="237"/>
      <c r="BF105" s="238"/>
    </row>
    <row r="106" spans="51:58" ht="12.75">
      <c r="AY106" s="103" t="s">
        <v>239</v>
      </c>
      <c r="AZ106" s="103" t="s">
        <v>240</v>
      </c>
      <c r="BA106" s="103" t="s">
        <v>511</v>
      </c>
      <c r="BB106" s="10">
        <v>177882</v>
      </c>
      <c r="BF106" s="252"/>
    </row>
    <row r="107" spans="51:58" ht="12.75">
      <c r="AY107" s="103" t="s">
        <v>91</v>
      </c>
      <c r="AZ107" s="103" t="s">
        <v>395</v>
      </c>
      <c r="BA107" s="103" t="s">
        <v>332</v>
      </c>
      <c r="BB107" s="10">
        <v>274443</v>
      </c>
      <c r="BF107" s="252"/>
    </row>
    <row r="108" spans="51:58" ht="12.75">
      <c r="AY108" s="103" t="s">
        <v>95</v>
      </c>
      <c r="AZ108" s="103" t="s">
        <v>397</v>
      </c>
      <c r="BA108" s="103" t="s">
        <v>332</v>
      </c>
      <c r="BB108" s="10">
        <v>213174</v>
      </c>
      <c r="BE108" s="70"/>
      <c r="BF108" s="239"/>
    </row>
    <row r="109" spans="51:58" ht="12.75">
      <c r="AY109" s="103" t="s">
        <v>179</v>
      </c>
      <c r="AZ109" s="103" t="s">
        <v>180</v>
      </c>
      <c r="BA109" s="103" t="s">
        <v>332</v>
      </c>
      <c r="BB109" s="10">
        <v>278950</v>
      </c>
      <c r="BE109" s="237"/>
      <c r="BF109" s="238"/>
    </row>
    <row r="110" spans="51:58" ht="12.75">
      <c r="AY110" s="103" t="s">
        <v>273</v>
      </c>
      <c r="AZ110" s="103" t="s">
        <v>274</v>
      </c>
      <c r="BA110" s="103" t="s">
        <v>332</v>
      </c>
      <c r="BB110" s="10">
        <v>133304</v>
      </c>
      <c r="BE110" s="70"/>
      <c r="BF110" s="249"/>
    </row>
    <row r="111" spans="51:58" ht="12.75">
      <c r="AY111" s="103" t="s">
        <v>155</v>
      </c>
      <c r="AZ111" s="103" t="s">
        <v>417</v>
      </c>
      <c r="BA111" s="103" t="s">
        <v>332</v>
      </c>
      <c r="BB111" s="10">
        <v>197060</v>
      </c>
      <c r="BE111" s="70"/>
      <c r="BF111" s="239"/>
    </row>
    <row r="112" spans="51:58" ht="12.75">
      <c r="AY112" s="103" t="s">
        <v>100</v>
      </c>
      <c r="AZ112" s="103" t="s">
        <v>101</v>
      </c>
      <c r="BA112" s="103" t="s">
        <v>332</v>
      </c>
      <c r="BB112" s="10">
        <v>253140</v>
      </c>
      <c r="BE112" s="250"/>
      <c r="BF112" s="249"/>
    </row>
    <row r="113" spans="51:58" ht="12.75">
      <c r="AY113" s="103" t="s">
        <v>92</v>
      </c>
      <c r="AZ113" s="103" t="s">
        <v>93</v>
      </c>
      <c r="BA113" s="103" t="s">
        <v>332</v>
      </c>
      <c r="BB113" s="10">
        <v>240983</v>
      </c>
      <c r="BE113" s="70"/>
      <c r="BF113" s="241"/>
    </row>
    <row r="114" spans="51:58" ht="12.75">
      <c r="AY114" s="103" t="s">
        <v>228</v>
      </c>
      <c r="AZ114" s="103" t="s">
        <v>438</v>
      </c>
      <c r="BA114" s="103" t="s">
        <v>332</v>
      </c>
      <c r="BB114" s="10">
        <v>340451</v>
      </c>
      <c r="BF114" s="241"/>
    </row>
    <row r="115" spans="51:58" ht="12.75">
      <c r="AY115" s="103" t="s">
        <v>189</v>
      </c>
      <c r="AZ115" s="103" t="s">
        <v>190</v>
      </c>
      <c r="BA115" s="103" t="s">
        <v>332</v>
      </c>
      <c r="BB115" s="10">
        <v>280673</v>
      </c>
      <c r="BE115" s="248"/>
      <c r="BF115" s="241"/>
    </row>
    <row r="116" spans="51:58" ht="12.75">
      <c r="AY116" s="103" t="s">
        <v>169</v>
      </c>
      <c r="AZ116" s="103" t="s">
        <v>170</v>
      </c>
      <c r="BA116" s="103" t="s">
        <v>332</v>
      </c>
      <c r="BB116" s="10">
        <v>565874</v>
      </c>
      <c r="BE116" s="70"/>
      <c r="BF116" s="239"/>
    </row>
    <row r="117" spans="51:58" ht="12.75">
      <c r="AY117" s="103" t="s">
        <v>152</v>
      </c>
      <c r="AZ117" s="103" t="s">
        <v>416</v>
      </c>
      <c r="BA117" s="103" t="s">
        <v>511</v>
      </c>
      <c r="BB117" s="10">
        <v>295379</v>
      </c>
      <c r="BE117" s="237"/>
      <c r="BF117" s="238"/>
    </row>
    <row r="118" spans="51:58" ht="12.75">
      <c r="AY118" s="103" t="s">
        <v>56</v>
      </c>
      <c r="AZ118" s="103" t="s">
        <v>57</v>
      </c>
      <c r="BA118" s="103" t="s">
        <v>332</v>
      </c>
      <c r="BB118" s="10">
        <v>217094</v>
      </c>
      <c r="BE118" s="70"/>
      <c r="BF118" s="239"/>
    </row>
    <row r="119" spans="51:58" ht="12.75">
      <c r="AY119" s="103" t="s">
        <v>268</v>
      </c>
      <c r="AZ119" s="103" t="s">
        <v>448</v>
      </c>
      <c r="BA119" s="103" t="s">
        <v>332</v>
      </c>
      <c r="BB119" s="10">
        <v>538131</v>
      </c>
      <c r="BE119" s="70"/>
      <c r="BF119" s="239"/>
    </row>
    <row r="120" spans="51:58" ht="12.75">
      <c r="AY120" s="103" t="s">
        <v>150</v>
      </c>
      <c r="AZ120" s="103" t="s">
        <v>151</v>
      </c>
      <c r="BA120" s="103" t="s">
        <v>511</v>
      </c>
      <c r="BB120" s="10">
        <v>389725</v>
      </c>
      <c r="BE120" s="70"/>
      <c r="BF120" s="239"/>
    </row>
    <row r="121" spans="51:58" ht="12.75">
      <c r="AY121" s="103" t="s">
        <v>212</v>
      </c>
      <c r="AZ121" s="103" t="s">
        <v>213</v>
      </c>
      <c r="BA121" s="103" t="s">
        <v>511</v>
      </c>
      <c r="BB121" s="10">
        <v>356812</v>
      </c>
      <c r="BE121" s="237"/>
      <c r="BF121" s="238"/>
    </row>
    <row r="122" spans="51:58" ht="12.75">
      <c r="AY122" s="103" t="s">
        <v>60</v>
      </c>
      <c r="AZ122" s="103" t="s">
        <v>61</v>
      </c>
      <c r="BA122" s="103" t="s">
        <v>332</v>
      </c>
      <c r="BB122" s="10">
        <v>256321</v>
      </c>
      <c r="BE122" s="70"/>
      <c r="BF122" s="249"/>
    </row>
    <row r="123" spans="51:58" ht="12.75">
      <c r="AY123" s="103" t="s">
        <v>234</v>
      </c>
      <c r="AZ123" s="103" t="s">
        <v>440</v>
      </c>
      <c r="BA123" s="103" t="s">
        <v>511</v>
      </c>
      <c r="BB123" s="10">
        <v>615835</v>
      </c>
      <c r="BF123" s="252"/>
    </row>
    <row r="124" spans="51:58" ht="12.75">
      <c r="AY124" s="103" t="s">
        <v>130</v>
      </c>
      <c r="AZ124" s="103" t="s">
        <v>410</v>
      </c>
      <c r="BA124" s="103" t="s">
        <v>332</v>
      </c>
      <c r="BB124" s="10">
        <v>150179</v>
      </c>
      <c r="BF124" s="252"/>
    </row>
    <row r="125" spans="51:58" ht="12.75">
      <c r="AY125" s="103" t="s">
        <v>253</v>
      </c>
      <c r="AZ125" s="103" t="s">
        <v>254</v>
      </c>
      <c r="BA125" s="103" t="s">
        <v>332</v>
      </c>
      <c r="BB125" s="10">
        <v>420503</v>
      </c>
      <c r="BE125" s="70"/>
      <c r="BF125" s="249"/>
    </row>
    <row r="126" spans="51:58" ht="12.75">
      <c r="AY126" s="103" t="s">
        <v>134</v>
      </c>
      <c r="AZ126" s="103" t="s">
        <v>412</v>
      </c>
      <c r="BA126" s="103" t="s">
        <v>332</v>
      </c>
      <c r="BB126" s="10">
        <v>263936</v>
      </c>
      <c r="BE126" s="70"/>
      <c r="BF126" s="239"/>
    </row>
    <row r="127" spans="51:58" ht="12.75">
      <c r="AY127" s="103" t="s">
        <v>142</v>
      </c>
      <c r="AZ127" s="103" t="s">
        <v>143</v>
      </c>
      <c r="BA127" s="103" t="s">
        <v>332</v>
      </c>
      <c r="BB127" s="10">
        <v>308593</v>
      </c>
      <c r="BF127" s="252"/>
    </row>
    <row r="128" spans="51:58" ht="12.75">
      <c r="AY128" s="103" t="s">
        <v>94</v>
      </c>
      <c r="AZ128" s="103" t="s">
        <v>396</v>
      </c>
      <c r="BA128" s="103" t="s">
        <v>511</v>
      </c>
      <c r="BB128" s="10">
        <v>298190</v>
      </c>
      <c r="BE128" s="250"/>
      <c r="BF128" s="249"/>
    </row>
    <row r="129" spans="51:58" ht="12.75">
      <c r="AY129" s="103" t="s">
        <v>85</v>
      </c>
      <c r="AZ129" s="103" t="s">
        <v>393</v>
      </c>
      <c r="BA129" s="103" t="s">
        <v>332</v>
      </c>
      <c r="BB129" s="10">
        <v>191885</v>
      </c>
      <c r="BE129" s="70"/>
      <c r="BF129" s="249"/>
    </row>
    <row r="130" spans="51:58" ht="12.75">
      <c r="AY130" s="103" t="s">
        <v>233</v>
      </c>
      <c r="AZ130" s="103" t="s">
        <v>439</v>
      </c>
      <c r="BA130" s="103" t="s">
        <v>332</v>
      </c>
      <c r="BB130" s="10">
        <v>268223</v>
      </c>
      <c r="BE130" s="70"/>
      <c r="BF130" s="249"/>
    </row>
    <row r="131" spans="51:58" ht="12.75">
      <c r="AY131" s="103" t="s">
        <v>245</v>
      </c>
      <c r="AZ131" s="103" t="s">
        <v>246</v>
      </c>
      <c r="BA131" s="103" t="s">
        <v>511</v>
      </c>
      <c r="BB131" s="10">
        <v>616983</v>
      </c>
      <c r="BE131" s="247"/>
      <c r="BF131" s="249"/>
    </row>
    <row r="132" spans="51:58" ht="12.75">
      <c r="AY132" s="103" t="s">
        <v>131</v>
      </c>
      <c r="AZ132" s="103" t="s">
        <v>411</v>
      </c>
      <c r="BA132" s="103" t="s">
        <v>332</v>
      </c>
      <c r="BB132" s="10">
        <v>283991</v>
      </c>
      <c r="BE132" s="247"/>
      <c r="BF132" s="249"/>
    </row>
    <row r="133" spans="51:58" ht="12.75">
      <c r="AY133" s="103" t="s">
        <v>216</v>
      </c>
      <c r="AZ133" s="103" t="s">
        <v>217</v>
      </c>
      <c r="BA133" s="103" t="s">
        <v>332</v>
      </c>
      <c r="BB133" s="10">
        <v>1156805</v>
      </c>
      <c r="BE133" s="247"/>
      <c r="BF133" s="251"/>
    </row>
    <row r="134" spans="51:58" ht="12.75">
      <c r="AY134" s="103" t="s">
        <v>156</v>
      </c>
      <c r="AZ134" s="103" t="s">
        <v>418</v>
      </c>
      <c r="BA134" s="103" t="s">
        <v>332</v>
      </c>
      <c r="BB134" s="10">
        <v>390971</v>
      </c>
      <c r="BE134" s="243"/>
      <c r="BF134" s="238"/>
    </row>
    <row r="135" spans="51:58" ht="12.75">
      <c r="AY135" s="103" t="s">
        <v>121</v>
      </c>
      <c r="AZ135" s="103" t="s">
        <v>122</v>
      </c>
      <c r="BA135" s="103" t="s">
        <v>510</v>
      </c>
      <c r="BB135" s="10">
        <v>218182</v>
      </c>
      <c r="BE135" s="250"/>
      <c r="BF135" s="249"/>
    </row>
    <row r="136" spans="51:58" ht="12.75">
      <c r="AY136" s="103" t="s">
        <v>148</v>
      </c>
      <c r="AZ136" s="103" t="s">
        <v>414</v>
      </c>
      <c r="BA136" s="103" t="s">
        <v>511</v>
      </c>
      <c r="BB136" s="10">
        <v>236598</v>
      </c>
      <c r="BE136" s="237"/>
      <c r="BF136" s="238"/>
    </row>
    <row r="137" spans="51:58" ht="12.75">
      <c r="AY137" s="103" t="s">
        <v>160</v>
      </c>
      <c r="AZ137" s="103" t="s">
        <v>420</v>
      </c>
      <c r="BA137" s="103" t="s">
        <v>511</v>
      </c>
      <c r="BB137" s="10">
        <v>165993</v>
      </c>
      <c r="BF137" s="252"/>
    </row>
    <row r="138" spans="51:58" ht="12.75">
      <c r="AY138" s="103" t="s">
        <v>54</v>
      </c>
      <c r="AZ138" s="103" t="s">
        <v>55</v>
      </c>
      <c r="BA138" s="103" t="s">
        <v>332</v>
      </c>
      <c r="BB138" s="10">
        <v>145889</v>
      </c>
      <c r="BE138" s="70"/>
      <c r="BF138" s="239"/>
    </row>
    <row r="139" spans="51:58" ht="12.75">
      <c r="AY139" s="103" t="s">
        <v>75</v>
      </c>
      <c r="AZ139" s="103" t="s">
        <v>387</v>
      </c>
      <c r="BA139" s="103" t="s">
        <v>332</v>
      </c>
      <c r="BB139" s="10">
        <v>267393</v>
      </c>
      <c r="BE139" s="237"/>
      <c r="BF139" s="238"/>
    </row>
    <row r="140" spans="51:58" ht="12.75">
      <c r="AY140" s="103" t="s">
        <v>201</v>
      </c>
      <c r="AZ140" s="103" t="s">
        <v>202</v>
      </c>
      <c r="BA140" s="103" t="s">
        <v>511</v>
      </c>
      <c r="BB140" s="10">
        <v>232551</v>
      </c>
      <c r="BE140" s="70"/>
      <c r="BF140" s="239"/>
    </row>
    <row r="141" spans="51:58" ht="12.75">
      <c r="AY141" s="103" t="s">
        <v>167</v>
      </c>
      <c r="AZ141" s="103" t="s">
        <v>168</v>
      </c>
      <c r="BA141" s="103" t="s">
        <v>511</v>
      </c>
      <c r="BB141" s="10">
        <v>350958</v>
      </c>
      <c r="BE141" s="70"/>
      <c r="BF141" s="239"/>
    </row>
    <row r="142" spans="51:58" ht="12.75">
      <c r="AY142" s="103" t="s">
        <v>153</v>
      </c>
      <c r="AZ142" s="103" t="s">
        <v>154</v>
      </c>
      <c r="BA142" s="103" t="s">
        <v>332</v>
      </c>
      <c r="BB142" s="10">
        <v>265654</v>
      </c>
      <c r="BE142" s="70"/>
      <c r="BF142" s="241"/>
    </row>
    <row r="143" spans="51:58" ht="12.75">
      <c r="AY143" s="103" t="s">
        <v>181</v>
      </c>
      <c r="AZ143" s="103" t="s">
        <v>182</v>
      </c>
      <c r="BA143" s="103" t="s">
        <v>332</v>
      </c>
      <c r="BB143" s="10">
        <v>284466</v>
      </c>
      <c r="BE143" s="70"/>
      <c r="BF143" s="249"/>
    </row>
    <row r="144" spans="51:58" ht="12.75">
      <c r="AY144" s="103" t="s">
        <v>146</v>
      </c>
      <c r="AZ144" s="103" t="s">
        <v>147</v>
      </c>
      <c r="BA144" s="103" t="s">
        <v>332</v>
      </c>
      <c r="BB144" s="10">
        <v>319933</v>
      </c>
      <c r="BE144" s="70"/>
      <c r="BF144" s="241"/>
    </row>
    <row r="145" spans="51:58" ht="12.75">
      <c r="AY145" s="103" t="s">
        <v>111</v>
      </c>
      <c r="AZ145" s="103" t="s">
        <v>112</v>
      </c>
      <c r="BA145" s="103" t="s">
        <v>332</v>
      </c>
      <c r="BB145" s="10">
        <v>192336</v>
      </c>
      <c r="BE145" s="248"/>
      <c r="BF145" s="249"/>
    </row>
    <row r="146" spans="51:58" ht="12.75">
      <c r="AY146" s="103" t="s">
        <v>237</v>
      </c>
      <c r="AZ146" s="103" t="s">
        <v>238</v>
      </c>
      <c r="BA146" s="103" t="s">
        <v>332</v>
      </c>
      <c r="BB146" s="10">
        <v>548313</v>
      </c>
      <c r="BF146" s="252"/>
    </row>
    <row r="147" spans="51:58" ht="12.75">
      <c r="AY147" s="103" t="s">
        <v>247</v>
      </c>
      <c r="AZ147" s="103" t="s">
        <v>248</v>
      </c>
      <c r="BA147" s="103" t="s">
        <v>332</v>
      </c>
      <c r="BB147" s="10">
        <v>287229</v>
      </c>
      <c r="BF147" s="252"/>
    </row>
    <row r="148" spans="51:58" ht="12.75">
      <c r="AY148" s="103" t="s">
        <v>222</v>
      </c>
      <c r="AZ148" s="103" t="s">
        <v>434</v>
      </c>
      <c r="BA148" s="103" t="s">
        <v>511</v>
      </c>
      <c r="BB148" s="10">
        <v>707573</v>
      </c>
      <c r="BF148" s="252"/>
    </row>
    <row r="149" spans="51:58" ht="12.75">
      <c r="AY149" s="103" t="s">
        <v>218</v>
      </c>
      <c r="AZ149" s="103" t="s">
        <v>219</v>
      </c>
      <c r="BA149" s="103" t="s">
        <v>511</v>
      </c>
      <c r="BB149" s="10">
        <v>825533</v>
      </c>
      <c r="BE149" s="248"/>
      <c r="BF149" s="249"/>
    </row>
    <row r="150" spans="51:58" ht="12.75">
      <c r="AY150" s="103" t="s">
        <v>196</v>
      </c>
      <c r="AZ150" s="103" t="s">
        <v>197</v>
      </c>
      <c r="BA150" s="103" t="s">
        <v>332</v>
      </c>
      <c r="BB150" s="10">
        <v>259945</v>
      </c>
      <c r="BF150" s="252"/>
    </row>
    <row r="151" spans="51:58" ht="12.75">
      <c r="AY151" s="103" t="s">
        <v>138</v>
      </c>
      <c r="AZ151" s="103" t="s">
        <v>139</v>
      </c>
      <c r="BA151" s="103" t="s">
        <v>332</v>
      </c>
      <c r="BB151" s="10">
        <v>246573</v>
      </c>
      <c r="BF151" s="252"/>
    </row>
    <row r="152" spans="51:58" ht="12.75">
      <c r="AY152" s="103" t="s">
        <v>266</v>
      </c>
      <c r="AZ152" s="103" t="s">
        <v>267</v>
      </c>
      <c r="BA152" s="103" t="s">
        <v>511</v>
      </c>
      <c r="BB152" s="10">
        <v>462395</v>
      </c>
      <c r="BE152" s="250"/>
      <c r="BF152" s="239"/>
    </row>
    <row r="153" spans="51:58" ht="12.75">
      <c r="AY153" s="103" t="s">
        <v>191</v>
      </c>
      <c r="AZ153" s="103" t="s">
        <v>192</v>
      </c>
      <c r="BA153" s="103" t="s">
        <v>332</v>
      </c>
      <c r="BB153" s="10">
        <v>332176</v>
      </c>
      <c r="BF153" s="252"/>
    </row>
    <row r="154" spans="51:58" ht="12.75">
      <c r="AY154" s="103" t="s">
        <v>161</v>
      </c>
      <c r="AZ154" s="103" t="s">
        <v>421</v>
      </c>
      <c r="BA154" s="103" t="s">
        <v>332</v>
      </c>
      <c r="BB154" s="10">
        <v>246213</v>
      </c>
      <c r="BE154" s="237"/>
      <c r="BF154" s="238"/>
    </row>
    <row r="155" spans="51:58" ht="12.75">
      <c r="AY155" s="103" t="s">
        <v>235</v>
      </c>
      <c r="AZ155" s="103" t="s">
        <v>236</v>
      </c>
      <c r="BA155" s="103" t="s">
        <v>511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532</v>
      </c>
      <c r="B3" s="56" t="s">
        <v>252</v>
      </c>
      <c r="C3" s="56" t="s">
        <v>24</v>
      </c>
    </row>
    <row r="4" spans="1:2" ht="12.75">
      <c r="A4" s="76">
        <v>1</v>
      </c>
      <c r="B4" s="78" t="s">
        <v>251</v>
      </c>
    </row>
    <row r="5" ht="12.75">
      <c r="A5" s="280" t="s">
        <v>532</v>
      </c>
    </row>
    <row r="6" ht="12.75">
      <c r="A6" s="280" t="s">
        <v>527</v>
      </c>
    </row>
    <row r="7" ht="12.75">
      <c r="A7" s="280" t="s">
        <v>530</v>
      </c>
    </row>
    <row r="8" ht="12.75">
      <c r="A8" s="280" t="s">
        <v>539</v>
      </c>
    </row>
    <row r="9" ht="12.75">
      <c r="A9" s="280" t="s">
        <v>553</v>
      </c>
    </row>
    <row r="10" ht="12.75">
      <c r="A10" s="280" t="s">
        <v>556</v>
      </c>
    </row>
    <row r="11" ht="12.75">
      <c r="A11" s="280" t="s">
        <v>558</v>
      </c>
    </row>
    <row r="12" ht="12.75">
      <c r="A12" s="280" t="s">
        <v>536</v>
      </c>
    </row>
    <row r="13" ht="12.75">
      <c r="A13" s="280" t="s">
        <v>542</v>
      </c>
    </row>
    <row r="14" ht="12.75">
      <c r="A14" s="280" t="s">
        <v>550</v>
      </c>
    </row>
    <row r="15" ht="12.75">
      <c r="A15" s="280" t="s">
        <v>552</v>
      </c>
    </row>
    <row r="16" ht="12.75">
      <c r="A16" s="280" t="s">
        <v>549</v>
      </c>
    </row>
    <row r="17" ht="12.75">
      <c r="A17" s="280" t="s">
        <v>531</v>
      </c>
    </row>
    <row r="18" ht="12.75">
      <c r="A18" s="280" t="s">
        <v>518</v>
      </c>
    </row>
    <row r="19" ht="12.75">
      <c r="A19" s="280" t="s">
        <v>544</v>
      </c>
    </row>
    <row r="20" ht="12.75">
      <c r="A20" s="280" t="s">
        <v>519</v>
      </c>
    </row>
    <row r="21" ht="12.75">
      <c r="A21" s="280" t="s">
        <v>554</v>
      </c>
    </row>
    <row r="22" ht="12.75">
      <c r="A22" s="280" t="s">
        <v>561</v>
      </c>
    </row>
    <row r="23" ht="12.75">
      <c r="A23" s="280" t="s">
        <v>540</v>
      </c>
    </row>
    <row r="24" ht="12.75">
      <c r="A24" s="280" t="s">
        <v>537</v>
      </c>
    </row>
    <row r="25" ht="12.75">
      <c r="A25" s="280" t="s">
        <v>572</v>
      </c>
    </row>
    <row r="26" ht="12.75">
      <c r="A26" s="280" t="s">
        <v>543</v>
      </c>
    </row>
    <row r="27" ht="12.75">
      <c r="A27" s="280" t="s">
        <v>573</v>
      </c>
    </row>
    <row r="28" ht="12.75">
      <c r="A28" s="280" t="s">
        <v>517</v>
      </c>
    </row>
    <row r="29" ht="12.75">
      <c r="A29" s="280" t="s">
        <v>555</v>
      </c>
    </row>
    <row r="30" ht="12.75">
      <c r="A30" s="280" t="s">
        <v>525</v>
      </c>
    </row>
    <row r="31" ht="12.75">
      <c r="A31" s="280" t="s">
        <v>520</v>
      </c>
    </row>
    <row r="32" ht="12.75">
      <c r="A32" s="280" t="s">
        <v>528</v>
      </c>
    </row>
    <row r="33" ht="12.75">
      <c r="A33" s="280" t="s">
        <v>545</v>
      </c>
    </row>
    <row r="34" ht="12.75">
      <c r="A34" s="280" t="s">
        <v>524</v>
      </c>
    </row>
    <row r="35" ht="12.75">
      <c r="A35" s="280" t="s">
        <v>515</v>
      </c>
    </row>
    <row r="36" ht="12.75">
      <c r="A36" s="280" t="s">
        <v>521</v>
      </c>
    </row>
    <row r="37" ht="12.75">
      <c r="A37" s="280" t="s">
        <v>533</v>
      </c>
    </row>
    <row r="38" ht="12.75">
      <c r="A38" s="280" t="s">
        <v>535</v>
      </c>
    </row>
    <row r="39" ht="12.75">
      <c r="A39" s="280" t="s">
        <v>560</v>
      </c>
    </row>
    <row r="40" ht="12.75">
      <c r="A40" s="280" t="s">
        <v>557</v>
      </c>
    </row>
    <row r="41" ht="12.75">
      <c r="A41" s="280" t="s">
        <v>523</v>
      </c>
    </row>
    <row r="42" ht="12.75">
      <c r="A42" s="280" t="s">
        <v>516</v>
      </c>
    </row>
    <row r="43" ht="12.75">
      <c r="A43" s="280" t="s">
        <v>541</v>
      </c>
    </row>
    <row r="44" ht="12.75">
      <c r="A44" s="280" t="s">
        <v>547</v>
      </c>
    </row>
    <row r="45" ht="12.75">
      <c r="A45" s="280" t="s">
        <v>534</v>
      </c>
    </row>
    <row r="46" ht="12.75">
      <c r="A46" s="280" t="s">
        <v>526</v>
      </c>
    </row>
    <row r="47" ht="12.75">
      <c r="A47" s="280" t="s">
        <v>559</v>
      </c>
    </row>
    <row r="48" ht="12.75">
      <c r="A48" s="280" t="s">
        <v>529</v>
      </c>
    </row>
    <row r="49" ht="12.75">
      <c r="A49" s="280" t="s">
        <v>546</v>
      </c>
    </row>
    <row r="50" ht="12.75">
      <c r="A50" s="280" t="s">
        <v>522</v>
      </c>
    </row>
    <row r="51" ht="12.75">
      <c r="A51" s="280" t="s">
        <v>538</v>
      </c>
    </row>
    <row r="52" ht="12.75">
      <c r="A52" s="280" t="s">
        <v>548</v>
      </c>
    </row>
    <row r="53" ht="12.75">
      <c r="A53" s="280" t="s">
        <v>551</v>
      </c>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