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<sst xmlns="http://schemas.openxmlformats.org/spreadsheetml/2006/main" count="2698" uniqueCount="704">
  <si>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</si>
  <si>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</si>
  <si>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</si>
  <si>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</si>
  <si>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</si>
  <si>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</si>
  <si>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</si>
  <si>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</si>
  <si>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</si>
  <si>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</si>
  <si>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</si>
  <si>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</si>
  <si>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</si>
  <si>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</si>
  <si>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</si>
  <si>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</si>
  <si>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</si>
  <si>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</si>
  <si>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</si>
  <si>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</si>
  <si>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</si>
  <si>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</si>
  <si>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</si>
  <si>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</si>
  <si>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</si>
  <si>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</si>
  <si>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</si>
  <si>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</si>
  <si>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</si>
  <si>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</si>
  <si>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</si>
  <si>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</si>
  <si>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</si>
  <si>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</si>
  <si>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</si>
  <si>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</si>
  <si>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</si>
  <si>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</si>
  <si>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</si>
  <si>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</si>
  <si>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</si>
  <si>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</si>
  <si>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</si>
  <si>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</si>
  <si>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</si>
  <si>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</si>
  <si>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</si>
  <si>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</si>
  <si>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</si>
  <si>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</si>
  <si>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</si>
  <si>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</si>
  <si>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</si>
  <si>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</si>
  <si>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</si>
  <si>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</si>
  <si>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</si>
  <si>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</si>
  <si>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</si>
  <si>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</si>
  <si>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</si>
  <si>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</si>
  <si>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</si>
  <si>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</si>
  <si>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</si>
  <si>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</si>
  <si>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</si>
  <si>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</si>
  <si>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</si>
  <si>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</si>
  <si>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</si>
  <si>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</si>
  <si>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</si>
  <si>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</si>
  <si>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</si>
  <si>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</si>
  <si>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</si>
  <si>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</si>
  <si>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</si>
  <si>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</si>
  <si>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</si>
  <si>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</si>
  <si>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</si>
  <si>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</si>
  <si>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</si>
  <si>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</si>
  <si>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</si>
  <si>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</si>
  <si>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</si>
  <si>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</si>
  <si>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</si>
  <si>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</si>
  <si>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</si>
  <si>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</si>
  <si>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</si>
  <si>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</si>
  <si>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</si>
  <si>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</si>
  <si>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</si>
  <si>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</si>
  <si>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</si>
  <si>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</si>
  <si>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</si>
  <si>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</si>
  <si>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</si>
  <si>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</si>
  <si>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</si>
  <si>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</si>
  <si>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</si>
  <si>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</si>
  <si>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</si>
  <si>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</si>
  <si>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</si>
  <si>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</si>
  <si>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</si>
  <si>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</si>
  <si>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</si>
  <si>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</si>
  <si>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</si>
  <si>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</si>
  <si>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</si>
  <si>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</si>
  <si>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</si>
  <si>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</si>
  <si>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</si>
  <si>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</si>
  <si>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</si>
  <si>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</si>
  <si>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</si>
  <si>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</si>
  <si>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</si>
  <si>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</si>
  <si>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</si>
  <si>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</si>
  <si>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</si>
  <si>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</si>
  <si>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</si>
  <si>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</si>
  <si>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</si>
  <si>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</si>
  <si>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</si>
  <si>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</si>
  <si>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</si>
  <si>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</si>
  <si>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</si>
  <si>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</si>
  <si>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</si>
  <si>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</si>
  <si>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</si>
  <si>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</si>
  <si>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</si>
  <si>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</si>
  <si>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</si>
  <si>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</si>
  <si>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</si>
  <si>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</si>
  <si>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</si>
  <si>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</si>
  <si>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</si>
  <si>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</si>
  <si>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</si>
  <si>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</si>
  <si>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</si>
  <si>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</si>
  <si>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</si>
  <si>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</si>
  <si>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</si>
  <si>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</si>
  <si>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</si>
  <si>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</si>
  <si>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</si>
  <si>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</si>
  <si>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</si>
  <si>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</si>
  <si>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</si>
  <si>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</si>
  <si>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</si>
  <si>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</si>
  <si>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</si>
  <si>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</si>
  <si>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</si>
  <si>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</si>
  <si>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</si>
  <si>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</si>
  <si>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</si>
  <si>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</si>
  <si>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</si>
  <si>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</si>
  <si>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</si>
  <si>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</si>
  <si>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</si>
  <si>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</si>
  <si>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</si>
  <si>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</si>
  <si>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</si>
  <si>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</si>
  <si>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</si>
  <si>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</si>
  <si>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</si>
  <si>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</si>
  <si>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</si>
  <si>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</si>
  <si>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</si>
  <si>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</si>
  <si>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</si>
  <si>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</si>
  <si>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</si>
  <si>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</si>
  <si>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</si>
  <si>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</si>
  <si>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</si>
  <si>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</si>
  <si>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</si>
  <si>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</si>
  <si>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</si>
  <si>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</si>
  <si>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</si>
  <si>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</si>
  <si>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</si>
  <si>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</si>
  <si>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</si>
  <si>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</si>
  <si>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</si>
  <si>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</si>
  <si>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</si>
  <si>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</si>
  <si>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</si>
  <si>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</si>
  <si>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</si>
  <si>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</si>
  <si>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</si>
  <si>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</si>
  <si>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</si>
  <si>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</si>
  <si>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</si>
  <si>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</si>
  <si>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</si>
  <si>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</si>
  <si>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</si>
  <si>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</si>
  <si>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</si>
  <si>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</si>
  <si>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</si>
  <si>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</si>
  <si>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</si>
  <si>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</si>
  <si>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</si>
  <si>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</si>
  <si>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</si>
  <si>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</si>
  <si>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</si>
  <si>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</si>
  <si>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</si>
  <si>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</si>
  <si>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</si>
  <si>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</si>
  <si>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</si>
  <si>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</si>
  <si>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</si>
  <si>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</si>
  <si>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</si>
  <si>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</si>
  <si>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</si>
  <si>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</si>
  <si>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</si>
  <si>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</si>
  <si>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</si>
  <si>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</si>
  <si>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</si>
  <si>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</si>
  <si>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</si>
  <si>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</si>
  <si>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</si>
  <si>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</si>
  <si>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</si>
  <si>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</si>
  <si>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</si>
  <si>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</si>
  <si>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</si>
  <si>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</si>
  <si>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</si>
  <si>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</si>
  <si>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G82002</t>
  </si>
  <si>
    <t>G82004</t>
  </si>
  <si>
    <t>G82007</t>
  </si>
  <si>
    <t>G82012</t>
  </si>
  <si>
    <t>G82015</t>
  </si>
  <si>
    <t>G82018</t>
  </si>
  <si>
    <t>G82020</t>
  </si>
  <si>
    <t>G82023</t>
  </si>
  <si>
    <t>G82026</t>
  </si>
  <si>
    <t>G82027</t>
  </si>
  <si>
    <t>G82029</t>
  </si>
  <si>
    <t>G82035</t>
  </si>
  <si>
    <t>G82036</t>
  </si>
  <si>
    <t>G82038</t>
  </si>
  <si>
    <t>G82039</t>
  </si>
  <si>
    <t>G82040</t>
  </si>
  <si>
    <t>G82046</t>
  </si>
  <si>
    <t>G82049</t>
  </si>
  <si>
    <t>G82050</t>
  </si>
  <si>
    <t>G82052</t>
  </si>
  <si>
    <t>G82053</t>
  </si>
  <si>
    <t>G82057</t>
  </si>
  <si>
    <t>G82060</t>
  </si>
  <si>
    <t>G82061</t>
  </si>
  <si>
    <t>G82063</t>
  </si>
  <si>
    <t>G82064</t>
  </si>
  <si>
    <t>G82066</t>
  </si>
  <si>
    <t>G82069</t>
  </si>
  <si>
    <t>G82071</t>
  </si>
  <si>
    <t>G82072</t>
  </si>
  <si>
    <t>G82079</t>
  </si>
  <si>
    <t>G82080</t>
  </si>
  <si>
    <t>G82082</t>
  </si>
  <si>
    <t>G82086</t>
  </si>
  <si>
    <t>G82087</t>
  </si>
  <si>
    <t>G82090</t>
  </si>
  <si>
    <t>G82091</t>
  </si>
  <si>
    <t>G82094</t>
  </si>
  <si>
    <t>G82105</t>
  </si>
  <si>
    <t>G82107</t>
  </si>
  <si>
    <t>G82111</t>
  </si>
  <si>
    <t>G82114</t>
  </si>
  <si>
    <t>G82115</t>
  </si>
  <si>
    <t>G82117</t>
  </si>
  <si>
    <t>G82119</t>
  </si>
  <si>
    <t>G82121</t>
  </si>
  <si>
    <t>G82126</t>
  </si>
  <si>
    <t>G82128</t>
  </si>
  <si>
    <t>G82138</t>
  </si>
  <si>
    <t>G82140</t>
  </si>
  <si>
    <t>G82142</t>
  </si>
  <si>
    <t>G82147</t>
  </si>
  <si>
    <t>G82148</t>
  </si>
  <si>
    <t>G82150</t>
  </si>
  <si>
    <t>G82160</t>
  </si>
  <si>
    <t>G82165</t>
  </si>
  <si>
    <t>G82175</t>
  </si>
  <si>
    <t>G82179</t>
  </si>
  <si>
    <t>G82186</t>
  </si>
  <si>
    <t>G82187</t>
  </si>
  <si>
    <t>G82204</t>
  </si>
  <si>
    <t>G82210</t>
  </si>
  <si>
    <t>G82211</t>
  </si>
  <si>
    <t>G82217</t>
  </si>
  <si>
    <t>G82219</t>
  </si>
  <si>
    <t>G82227</t>
  </si>
  <si>
    <t>G82228</t>
  </si>
  <si>
    <t>G82231</t>
  </si>
  <si>
    <t>G82232</t>
  </si>
  <si>
    <t>G82630</t>
  </si>
  <si>
    <t>G82634</t>
  </si>
  <si>
    <t>G82649</t>
  </si>
  <si>
    <t>G82650</t>
  </si>
  <si>
    <t>G82652</t>
  </si>
  <si>
    <t>G82658</t>
  </si>
  <si>
    <t>G82662</t>
  </si>
  <si>
    <t>G82663</t>
  </si>
  <si>
    <t>G82665</t>
  </si>
  <si>
    <t>G82666</t>
  </si>
  <si>
    <t>G82667</t>
  </si>
  <si>
    <t>G82671</t>
  </si>
  <si>
    <t>G82682</t>
  </si>
  <si>
    <t>G82684</t>
  </si>
  <si>
    <t>G82686</t>
  </si>
  <si>
    <t>G82687</t>
  </si>
  <si>
    <t>G82688</t>
  </si>
  <si>
    <t>G82693</t>
  </si>
  <si>
    <t>G82696</t>
  </si>
  <si>
    <t>G82698</t>
  </si>
  <si>
    <t>G82700</t>
  </si>
  <si>
    <t>G82702</t>
  </si>
  <si>
    <t>G82712</t>
  </si>
  <si>
    <t>G82726</t>
  </si>
  <si>
    <t>G82729</t>
  </si>
  <si>
    <t>G82730</t>
  </si>
  <si>
    <t>G82731</t>
  </si>
  <si>
    <t>G82735</t>
  </si>
  <si>
    <t>G82748</t>
  </si>
  <si>
    <t>G82757</t>
  </si>
  <si>
    <t>G82760</t>
  </si>
  <si>
    <t>G82769</t>
  </si>
  <si>
    <t>G82788</t>
  </si>
  <si>
    <t>G82790</t>
  </si>
  <si>
    <t>G82791</t>
  </si>
  <si>
    <t>G82796</t>
  </si>
  <si>
    <t>G82797</t>
  </si>
  <si>
    <t>G82799</t>
  </si>
  <si>
    <t>G82802</t>
  </si>
  <si>
    <t>G82810</t>
  </si>
  <si>
    <t>G82812</t>
  </si>
  <si>
    <t>G82818</t>
  </si>
  <si>
    <t>5CC</t>
  </si>
  <si>
    <t>Y01009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</si>
  <si>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</si>
  <si>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</si>
  <si>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</si>
  <si>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</si>
  <si>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</si>
  <si>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</si>
  <si>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</si>
  <si>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</si>
  <si>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</si>
  <si>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</si>
  <si>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</si>
  <si>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</si>
  <si>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</si>
  <si>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</si>
  <si>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</si>
  <si>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</si>
  <si>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</si>
  <si>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</si>
  <si>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</si>
  <si>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</si>
  <si>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</si>
  <si>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</si>
  <si>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</si>
  <si>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</si>
  <si>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</si>
  <si>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</si>
  <si>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</si>
  <si>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</si>
  <si>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</si>
  <si>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</si>
  <si>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</si>
  <si>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</si>
  <si>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</si>
  <si>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</si>
  <si>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</si>
  <si>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</si>
  <si>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</si>
  <si>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</si>
  <si>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</si>
  <si>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</si>
  <si>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</si>
  <si>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</si>
  <si>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</si>
  <si>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</si>
  <si>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</si>
  <si>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</si>
  <si>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</si>
  <si>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</si>
  <si>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</si>
  <si>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</si>
  <si>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</si>
  <si>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</si>
  <si>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</si>
  <si>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</si>
  <si>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</si>
  <si>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</si>
  <si>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</si>
  <si>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</si>
  <si>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</si>
  <si>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</si>
  <si>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</si>
  <si>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</si>
  <si>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</si>
  <si>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</si>
  <si>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</si>
  <si>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</si>
  <si>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</si>
  <si>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</si>
  <si>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</si>
  <si>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</si>
  <si>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</si>
  <si>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</si>
  <si>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</si>
  <si>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</si>
  <si>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</si>
  <si>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</si>
  <si>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</si>
  <si>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</si>
  <si>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</si>
  <si>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</si>
  <si>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</si>
  <si>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</si>
  <si>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</si>
  <si>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</si>
  <si>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</si>
  <si>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</si>
  <si>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</si>
  <si>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</si>
  <si>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</si>
  <si>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</si>
  <si>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</si>
  <si>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</si>
  <si>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</si>
  <si>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</si>
  <si>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</si>
  <si>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</si>
  <si>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</si>
  <si>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</si>
  <si>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</si>
  <si>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</si>
  <si>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</si>
  <si>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</si>
  <si>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</si>
  <si>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</si>
  <si>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</si>
  <si>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</si>
  <si>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</si>
  <si>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</si>
  <si>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</si>
  <si>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</si>
  <si>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</si>
  <si>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</si>
  <si>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</si>
  <si>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</si>
  <si>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</si>
  <si>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</si>
  <si>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</si>
  <si>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</si>
  <si>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</si>
  <si>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</si>
  <si>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</si>
  <si>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</si>
  <si>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</si>
  <si>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</si>
  <si>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</si>
  <si>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</si>
  <si>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</si>
  <si>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</si>
  <si>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</si>
  <si>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</si>
  <si>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</si>
  <si>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</si>
  <si>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</si>
  <si>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</si>
  <si>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</si>
  <si>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</si>
  <si>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</si>
  <si>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</si>
  <si>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</si>
  <si>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</si>
  <si>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</si>
  <si>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</si>
  <si>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</si>
  <si>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</si>
  <si>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</si>
  <si>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</si>
  <si>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</si>
  <si>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</si>
  <si>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</si>
  <si>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</si>
  <si>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</si>
  <si>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</si>
  <si>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</si>
  <si>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</si>
  <si>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</si>
  <si>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</si>
  <si>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</si>
  <si>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</si>
  <si>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</si>
  <si>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</si>
  <si>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</si>
  <si>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</si>
  <si>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</si>
  <si>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</si>
  <si>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</si>
  <si>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</si>
  <si>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</si>
  <si>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</si>
  <si>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</si>
  <si>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</si>
  <si>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</si>
  <si>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</si>
  <si>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</si>
  <si>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</si>
  <si>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</si>
  <si>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</si>
  <si>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</si>
  <si>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</si>
  <si>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</si>
  <si>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</si>
  <si>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</si>
  <si>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</si>
  <si>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</si>
  <si>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</si>
  <si>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</si>
  <si>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(G82002) ST. JAMES' SURGERY</t>
  </si>
  <si>
    <t>(G82004) DR CURRY AND PARTNERS</t>
  </si>
  <si>
    <t>(G82007) CHURCH LANE</t>
  </si>
  <si>
    <t>(G82012) COSSINGTON HOUSE SURGERY</t>
  </si>
  <si>
    <t>(G82015) PENCESTER SURGERY</t>
  </si>
  <si>
    <t>(G82018) SUN LANE</t>
  </si>
  <si>
    <t>(G82020) THE GRANGE PRACTICE</t>
  </si>
  <si>
    <t>(G82023) DR MME FAHMY PRACTICE</t>
  </si>
  <si>
    <t>(G82026) GROVEHURST SURGERY</t>
  </si>
  <si>
    <t>(G82029) COACH HOUSE SURGERY</t>
  </si>
  <si>
    <t>(G82035) THE CHESTNUTS SURGERY</t>
  </si>
  <si>
    <t>(G82036) BALMORAL SURGERY</t>
  </si>
  <si>
    <t>(G82038) ST. RICHARDS ROAD SURGERY</t>
  </si>
  <si>
    <t>(G82039) NEWTON ROAD SURGERY</t>
  </si>
  <si>
    <t>(G82040) LONDON ROAD SURGERY</t>
  </si>
  <si>
    <t>(G82046) SUMMERHILL SURGERY</t>
  </si>
  <si>
    <t>(G82049) HOLLINGTON SURGERY</t>
  </si>
  <si>
    <t>(G82050) SYDENHAM HOUSE</t>
  </si>
  <si>
    <t>(G82052) THE LIMES</t>
  </si>
  <si>
    <t>(G82053) WOODCHURCH SURGERY</t>
  </si>
  <si>
    <t>(G82057) ST. GEORGES MEDICAL CENTRE</t>
  </si>
  <si>
    <t>(G82060) NORTHGATE MEDICAL PRACTICE</t>
  </si>
  <si>
    <t>(G82061) CHARTHAM SURGERY</t>
  </si>
  <si>
    <t>(G82063) THE MARKET PLACE SURGERY</t>
  </si>
  <si>
    <t>(G82064) DASHWOOD HOUSE</t>
  </si>
  <si>
    <t>(G82066) NORTHDOWN SURGERY</t>
  </si>
  <si>
    <t>(G82069) WHITE HOUSE SURGERY</t>
  </si>
  <si>
    <t>(G82072) ORCHARD HOUSE</t>
  </si>
  <si>
    <t>(G82079) WESTGATE SURGERY</t>
  </si>
  <si>
    <t>(G82080) WILLESBOROUGH HEALTH CENTRE</t>
  </si>
  <si>
    <t>(G82082) STURRY SURGERY</t>
  </si>
  <si>
    <t>(G82086) THE NEW SURGERY</t>
  </si>
  <si>
    <t>(G82087) NEW HAYESBANK SURGERY</t>
  </si>
  <si>
    <t>(G82090) ST. ANNES GROUP PRACTICE</t>
  </si>
  <si>
    <t>(G82091) GUILDHALL STREET</t>
  </si>
  <si>
    <t>(G82094) CHARING SURGERY</t>
  </si>
  <si>
    <t>(G82105) BETHESDA MEDICAL CENTRE</t>
  </si>
  <si>
    <t>(G82107) MINSTER SURGERY</t>
  </si>
  <si>
    <t>(G82111) THE CEDARS SURGERY</t>
  </si>
  <si>
    <t>(G82114) IVY COURT</t>
  </si>
  <si>
    <t>(G82115) NEW DOVER ROAD SURGERY</t>
  </si>
  <si>
    <t>(G82117) HIGH STREET SURGERY</t>
  </si>
  <si>
    <t>(G82119) THE PARK SURGERY</t>
  </si>
  <si>
    <t>(G82121) SANDGATE ROAD</t>
  </si>
  <si>
    <t>(G82126) EAST CLIFF MEDICAL PRACTICE</t>
  </si>
  <si>
    <t>(G82128) PETER STREET SURGERY</t>
  </si>
  <si>
    <t>(G82138) ASH SURGERY</t>
  </si>
  <si>
    <t>(G82140) THE UNIVERSITY MEDICAL CENTRE</t>
  </si>
  <si>
    <t>(G82142) WYE SURGERY</t>
  </si>
  <si>
    <t>(G82147) OAK HALL</t>
  </si>
  <si>
    <t>(G82148) 7 THE BUTCHERY</t>
  </si>
  <si>
    <t>(G82150) NEWINGTON ROAD SURGERY</t>
  </si>
  <si>
    <t>(G82160) OAKLANDS HEALTH CENTRE</t>
  </si>
  <si>
    <t>(G82165) HAWKINGE AND ELHAM</t>
  </si>
  <si>
    <t>(G82175) DR H BEERSTECHER PRACTICE</t>
  </si>
  <si>
    <t>(G82179) BOUGHTON MEDICAL CENTRE</t>
  </si>
  <si>
    <t>(G82186) HAMSTREET SURGERY</t>
  </si>
  <si>
    <t>(G82187) DOWNS ROAD SURGERY</t>
  </si>
  <si>
    <t>(G82204) KINGSTONE COTTAGE</t>
  </si>
  <si>
    <t>(G82210) OSBORNE ROAD SURGERY</t>
  </si>
  <si>
    <t>(G82211) AYLESHAM MEDICAL PRACTICE</t>
  </si>
  <si>
    <t>(G82217) CENTRAL</t>
  </si>
  <si>
    <t>(G82219) ST. PETER'S SURGERY</t>
  </si>
  <si>
    <t>(G82228) BRIDGE HEALTH CENTRE</t>
  </si>
  <si>
    <t>(G82231) LONDON ROAD MEDICAL CENTRE</t>
  </si>
  <si>
    <t>(G82232) MANOR CLINIC</t>
  </si>
  <si>
    <t>(G82630) THE BROADWAY PRACTICE</t>
  </si>
  <si>
    <t>(G82634) SAFFRON WAY HEALTH CENTRE</t>
  </si>
  <si>
    <t>(G82649) UNION ROW SURGERY</t>
  </si>
  <si>
    <t>(G82650) MOCKETTS WOOD SURGERY</t>
  </si>
  <si>
    <t>(G82652) CHURCH ROAD</t>
  </si>
  <si>
    <t>(G82658) SELLINDGE SURGERY</t>
  </si>
  <si>
    <t>(G82662) PENCESTER HEALTH</t>
  </si>
  <si>
    <t>(G82663) DR SK MAHEALTHA PRACTICE</t>
  </si>
  <si>
    <t>(G82665) THOMAS HOUSE</t>
  </si>
  <si>
    <t>(G82666) BIRCHINGTON MEDICAL CENTRE</t>
  </si>
  <si>
    <t>(G82667) TEYNHAM MEDICAL CENTRE</t>
  </si>
  <si>
    <t>(G82671) EKC PCT MANAGED PRACTICE</t>
  </si>
  <si>
    <t>(G82682) THE OM MEDICAL CENTRE</t>
  </si>
  <si>
    <t>(G82684) NEW LYMINGE</t>
  </si>
  <si>
    <t>(G82686) MINSTER MEDICAL CENTRE</t>
  </si>
  <si>
    <t>(G82687) DR SJ WITT'S PRACTICE</t>
  </si>
  <si>
    <t>(G82688) SINGLETON SURGERY</t>
  </si>
  <si>
    <t>(G82693) MEMORIAL MEDICAL CENTRE</t>
  </si>
  <si>
    <t>(G82698) DR RB KUMAR PRACTICE</t>
  </si>
  <si>
    <t>(G82700) BUCKLAND MEDICAL PRACTICE</t>
  </si>
  <si>
    <t>(G82702) DR C RAMU PRACTICE</t>
  </si>
  <si>
    <t>(G82712) SINGLETON MEDICAL CENTRE</t>
  </si>
  <si>
    <t>(G82726) SADDLETON ROAD SURGERY</t>
  </si>
  <si>
    <t>(G82729) WHITE CLIFFS MEDICAL CENTRE</t>
  </si>
  <si>
    <t>(G82730) KINGSNORTH MEDICAL PRACTICE</t>
  </si>
  <si>
    <t>(G82731) DENMARK STREET</t>
  </si>
  <si>
    <t>(G82735) ST. STEPHENS HEALTH CENTRE</t>
  </si>
  <si>
    <t>(G82748) MUSGROVE PARK MEDICAL CENTRE</t>
  </si>
  <si>
    <t>(G82757) LAKESIDE MEDICAL CENTRE</t>
  </si>
  <si>
    <t>(G82760) PARK FARM</t>
  </si>
  <si>
    <t>(G82769) CECIL SQUARE SURGERY</t>
  </si>
  <si>
    <t>(G82788) NORTH STREET SURGERY</t>
  </si>
  <si>
    <t>(G82790) THE OLD SCHOOL SURGERY</t>
  </si>
  <si>
    <t>(G82791) DR S CHANDRAN PRACTICE</t>
  </si>
  <si>
    <t>(G82796) THE ALBION ROAD SURGERY</t>
  </si>
  <si>
    <t>(G82797) ALLEN HOUSE - PCT MANAGED</t>
  </si>
  <si>
    <t>(G82799) DR SRS MURTHY PRACTICE</t>
  </si>
  <si>
    <t>(G82802) CANTERBURY HEALTH CENTRE</t>
  </si>
  <si>
    <t>(G82810) GARLINGE SURGERY</t>
  </si>
  <si>
    <t>(G82812) WICKHAM SURGERY</t>
  </si>
  <si>
    <t>(G82818) DOVER MEDICAL PRACTICE</t>
  </si>
  <si>
    <t>(Y01009) DR DN VENKATACHALEM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</si>
  <si>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</si>
  <si>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</si>
  <si>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</si>
  <si>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</si>
  <si>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</si>
  <si>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</si>
  <si>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</si>
  <si>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</si>
  <si>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</si>
  <si>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</si>
  <si>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(G82027) DR LOGAN + PARTNERS</t>
  </si>
  <si>
    <t>(G82071) DR JM RIBCHESTER + PARTNERS</t>
  </si>
  <si>
    <t>(G82227) DR LM WRIGHT + PARTNERS</t>
  </si>
  <si>
    <t>(G82696) DR FORD M R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</si>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</sst>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0.971010882674583</c:v>
                </c:pt>
                <c:pt idx="3">
                  <c:v>1</c:v>
                </c:pt>
                <c:pt idx="4">
                  <c:v>0.9785654258200307</c:v>
                </c:pt>
                <c:pt idx="5">
                  <c:v>1</c:v>
                </c:pt>
                <c:pt idx="6">
                  <c:v>0.9642856275681841</c:v>
                </c:pt>
                <c:pt idx="7">
                  <c:v>0.8315063831228201</c:v>
                </c:pt>
                <c:pt idx="8">
                  <c:v>0.9026370048522949</c:v>
                </c:pt>
                <c:pt idx="9">
                  <c:v>1</c:v>
                </c:pt>
                <c:pt idx="10">
                  <c:v>0.785677085463902</c:v>
                </c:pt>
                <c:pt idx="11">
                  <c:v>0.9717735811572722</c:v>
                </c:pt>
                <c:pt idx="12">
                  <c:v>1</c:v>
                </c:pt>
                <c:pt idx="13">
                  <c:v>0</c:v>
                </c:pt>
                <c:pt idx="14">
                  <c:v>1</c:v>
                </c:pt>
                <c:pt idx="15">
                  <c:v>0.8027109144616277</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0.6028020528860663</c:v>
                </c:pt>
                <c:pt idx="3">
                  <c:v>0.6180555722273802</c:v>
                </c:pt>
                <c:pt idx="4">
                  <c:v>0.6490537901379314</c:v>
                </c:pt>
                <c:pt idx="5">
                  <c:v>0.6312412946054249</c:v>
                </c:pt>
                <c:pt idx="6">
                  <c:v>0.6428570905890425</c:v>
                </c:pt>
                <c:pt idx="7">
                  <c:v>0.5878778233043243</c:v>
                </c:pt>
                <c:pt idx="8">
                  <c:v>0.7683799862861633</c:v>
                </c:pt>
                <c:pt idx="9">
                  <c:v>0.6305056711471727</c:v>
                </c:pt>
                <c:pt idx="10">
                  <c:v>0.5775622048127573</c:v>
                </c:pt>
                <c:pt idx="11">
                  <c:v>0.585222949079747</c:v>
                </c:pt>
                <c:pt idx="12">
                  <c:v>0.6048368664505637</c:v>
                </c:pt>
                <c:pt idx="13">
                  <c:v>0</c:v>
                </c:pt>
                <c:pt idx="14">
                  <c:v>0.5572788709312152</c:v>
                </c:pt>
                <c:pt idx="15">
                  <c:v>0.5888496706806835</c:v>
                </c:pt>
                <c:pt idx="16">
                  <c:v>0.6289028446088991</c:v>
                </c:pt>
                <c:pt idx="17">
                  <c:v>0.6020631143858595</c:v>
                </c:pt>
                <c:pt idx="18">
                  <c:v>0.5516272750474939</c:v>
                </c:pt>
                <c:pt idx="19">
                  <c:v>0.5950063509403175</c:v>
                </c:pt>
                <c:pt idx="20">
                  <c:v>0.5348068714045809</c:v>
                </c:pt>
                <c:pt idx="21">
                  <c:v>0.5495556047757056</c:v>
                </c:pt>
                <c:pt idx="22">
                  <c:v>0.557128721069745</c:v>
                </c:pt>
                <c:pt idx="23">
                  <c:v>0.6040838171977637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0.40830518848527375</c:v>
                </c:pt>
                <c:pt idx="3">
                  <c:v>0.4444444329466344</c:v>
                </c:pt>
                <c:pt idx="4">
                  <c:v>0.3988424709777464</c:v>
                </c:pt>
                <c:pt idx="5">
                  <c:v>0.4082357956660299</c:v>
                </c:pt>
                <c:pt idx="6">
                  <c:v>0.3839285432156764</c:v>
                </c:pt>
                <c:pt idx="7">
                  <c:v>0.36706731908841556</c:v>
                </c:pt>
                <c:pt idx="8">
                  <c:v>0.33333298563957214</c:v>
                </c:pt>
                <c:pt idx="9">
                  <c:v>0.38356974169524105</c:v>
                </c:pt>
                <c:pt idx="10">
                  <c:v>0.3552486497795117</c:v>
                </c:pt>
                <c:pt idx="11">
                  <c:v>0.3554167476469667</c:v>
                </c:pt>
                <c:pt idx="12">
                  <c:v>0.37046084899643583</c:v>
                </c:pt>
                <c:pt idx="13">
                  <c:v>0</c:v>
                </c:pt>
                <c:pt idx="14">
                  <c:v>0.44818684710260354</c:v>
                </c:pt>
                <c:pt idx="15">
                  <c:v>0.406180404005156</c:v>
                </c:pt>
                <c:pt idx="16">
                  <c:v>0.36819535399358055</c:v>
                </c:pt>
                <c:pt idx="17">
                  <c:v>0.3983379319933819</c:v>
                </c:pt>
                <c:pt idx="18">
                  <c:v>0.45540835642793975</c:v>
                </c:pt>
                <c:pt idx="19">
                  <c:v>0.4299487090596483</c:v>
                </c:pt>
                <c:pt idx="20">
                  <c:v>0.481569377881676</c:v>
                </c:pt>
                <c:pt idx="21">
                  <c:v>0.4617537361541812</c:v>
                </c:pt>
                <c:pt idx="22">
                  <c:v>0.46954340793695976</c:v>
                </c:pt>
                <c:pt idx="23">
                  <c:v>0.3427485557824232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0.24999998965197096</c:v>
                </c:pt>
                <c:pt idx="4">
                  <c:v>0</c:v>
                </c:pt>
                <c:pt idx="5">
                  <c:v>0.21644603487415434</c:v>
                </c:pt>
                <c:pt idx="6">
                  <c:v>0</c:v>
                </c:pt>
                <c:pt idx="7">
                  <c:v>0</c:v>
                </c:pt>
                <c:pt idx="8">
                  <c:v>0</c:v>
                </c:pt>
                <c:pt idx="9">
                  <c:v>0.07273848027829034</c:v>
                </c:pt>
                <c:pt idx="10">
                  <c:v>0</c:v>
                </c:pt>
                <c:pt idx="11">
                  <c:v>0</c:v>
                </c:pt>
                <c:pt idx="12">
                  <c:v>0.15266992206076607</c:v>
                </c:pt>
                <c:pt idx="13">
                  <c:v>0</c:v>
                </c:pt>
                <c:pt idx="14">
                  <c:v>0.32344403774988034</c:v>
                </c:pt>
                <c:pt idx="15">
                  <c:v>0</c:v>
                </c:pt>
                <c:pt idx="16">
                  <c:v>0.03891962729023418</c:v>
                </c:pt>
                <c:pt idx="17">
                  <c:v>0.2738174216731243</c:v>
                </c:pt>
                <c:pt idx="18">
                  <c:v>0.3835789092688847</c:v>
                </c:pt>
                <c:pt idx="19">
                  <c:v>0.326296671233602</c:v>
                </c:pt>
                <c:pt idx="20">
                  <c:v>0.4714259016600822</c:v>
                </c:pt>
                <c:pt idx="21">
                  <c:v>0.4434274359590588</c:v>
                </c:pt>
                <c:pt idx="22">
                  <c:v>0.38123392340902074</c:v>
                </c:pt>
                <c:pt idx="23">
                  <c:v>0.04707632407772486</c:v>
                </c:pt>
                <c:pt idx="24">
                  <c:v>0</c:v>
                </c:pt>
                <c:pt idx="25">
                  <c:v>0</c:v>
                </c:pt>
                <c:pt idx="26">
                  <c:v>0</c:v>
                </c:pt>
              </c:numCache>
            </c:numRef>
          </c:val>
        </c:ser>
        <c:overlap val="100"/>
        <c:gapWidth val="100"/>
        <c:axId val="1246764"/>
        <c:axId val="1122087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0.42445364317141054</c:v>
                </c:pt>
                <c:pt idx="3">
                  <c:v>0.5280813965685565</c:v>
                </c:pt>
                <c:pt idx="4">
                  <c:v>0.4602364811520598</c:v>
                </c:pt>
                <c:pt idx="5">
                  <c:v>0.46663460456741546</c:v>
                </c:pt>
                <c:pt idx="6">
                  <c:v>0.46216876737802925</c:v>
                </c:pt>
                <c:pt idx="7">
                  <c:v>0.43764474686966975</c:v>
                </c:pt>
                <c:pt idx="8">
                  <c:v>0.7467412166569077</c:v>
                </c:pt>
                <c:pt idx="9">
                  <c:v>0.44683270219863197</c:v>
                </c:pt>
                <c:pt idx="10">
                  <c:v>0.47804689166512965</c:v>
                </c:pt>
                <c:pt idx="11">
                  <c:v>0.5462104240664855</c:v>
                </c:pt>
                <c:pt idx="12">
                  <c:v>0.3914435286893358</c:v>
                </c:pt>
                <c:pt idx="13">
                  <c:v>0.5</c:v>
                </c:pt>
                <c:pt idx="14">
                  <c:v>0.5180386006902868</c:v>
                </c:pt>
                <c:pt idx="15">
                  <c:v>0.4282128228493717</c:v>
                </c:pt>
                <c:pt idx="16">
                  <c:v>0.38335738715790485</c:v>
                </c:pt>
                <c:pt idx="17">
                  <c:v>0.43950458184025554</c:v>
                </c:pt>
                <c:pt idx="18">
                  <c:v>0.4682029575827601</c:v>
                </c:pt>
                <c:pt idx="19">
                  <c:v>0.451767916915474</c:v>
                </c:pt>
                <c:pt idx="20">
                  <c:v>0.7730114365526604</c:v>
                </c:pt>
                <c:pt idx="21">
                  <c:v>0.9054777773216678</c:v>
                </c:pt>
                <c:pt idx="22">
                  <c:v>0.9342374936964427</c:v>
                </c:pt>
                <c:pt idx="23">
                  <c:v>0.5000452752254337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0.5342682496279583</c:v>
                </c:pt>
                <c:pt idx="3">
                  <c:v>-999</c:v>
                </c:pt>
                <c:pt idx="4">
                  <c:v>0.38454490377246847</c:v>
                </c:pt>
                <c:pt idx="5">
                  <c:v>-999</c:v>
                </c:pt>
                <c:pt idx="6">
                  <c:v>-999</c:v>
                </c:pt>
                <c:pt idx="7">
                  <c:v>-999</c:v>
                </c:pt>
                <c:pt idx="8">
                  <c:v>-999</c:v>
                </c:pt>
                <c:pt idx="9">
                  <c:v>0.4912411434771384</c:v>
                </c:pt>
                <c:pt idx="10">
                  <c:v>0.48631513220952294</c:v>
                </c:pt>
                <c:pt idx="11">
                  <c:v>0.4065824710557376</c:v>
                </c:pt>
                <c:pt idx="12">
                  <c:v>0.5497849156045601</c:v>
                </c:pt>
                <c:pt idx="13">
                  <c:v>-999</c:v>
                </c:pt>
                <c:pt idx="14">
                  <c:v>0.5181491729503382</c:v>
                </c:pt>
                <c:pt idx="15">
                  <c:v>0.5607585518160283</c:v>
                </c:pt>
                <c:pt idx="16">
                  <c:v>0.6436130170853845</c:v>
                </c:pt>
                <c:pt idx="17">
                  <c:v>0.5151923935505625</c:v>
                </c:pt>
                <c:pt idx="18">
                  <c:v>-999</c:v>
                </c:pt>
                <c:pt idx="19">
                  <c:v>0.5761982361806128</c:v>
                </c:pt>
                <c:pt idx="20">
                  <c:v>-999</c:v>
                </c:pt>
                <c:pt idx="21">
                  <c:v>-999</c:v>
                </c:pt>
                <c:pt idx="22">
                  <c:v>0.43581894139395655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0.4444444403972153</c:v>
                </c:pt>
                <c:pt idx="4">
                  <c:v>-999</c:v>
                </c:pt>
                <c:pt idx="5">
                  <c:v>-999</c:v>
                </c:pt>
                <c:pt idx="6">
                  <c:v>0.6785713841245368</c:v>
                </c:pt>
                <c:pt idx="7">
                  <c:v>0.6334618716548711</c:v>
                </c:pt>
                <c:pt idx="8">
                  <c:v>0.444444</c:v>
                </c:pt>
                <c:pt idx="9">
                  <c:v>-999</c:v>
                </c:pt>
                <c:pt idx="10">
                  <c:v>-999</c:v>
                </c:pt>
                <c:pt idx="11">
                  <c:v>-999</c:v>
                </c:pt>
                <c:pt idx="12">
                  <c:v>-999</c:v>
                </c:pt>
                <c:pt idx="13">
                  <c:v>0.5915014820057416</c:v>
                </c:pt>
                <c:pt idx="14">
                  <c:v>-999</c:v>
                </c:pt>
                <c:pt idx="15">
                  <c:v>-999</c:v>
                </c:pt>
                <c:pt idx="16">
                  <c:v>-999</c:v>
                </c:pt>
                <c:pt idx="17">
                  <c:v>-999</c:v>
                </c:pt>
                <c:pt idx="18">
                  <c:v>-999</c:v>
                </c:pt>
                <c:pt idx="19">
                  <c:v>-999</c:v>
                </c:pt>
                <c:pt idx="20">
                  <c:v>-999</c:v>
                </c:pt>
                <c:pt idx="21">
                  <c:v>-999</c:v>
                </c:pt>
                <c:pt idx="22">
                  <c:v>-999</c:v>
                </c:pt>
                <c:pt idx="23">
                  <c:v>0.7543954320769133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879030"/>
        <c:axId val="36475815"/>
      </c:scatterChart>
      <c:catAx>
        <c:axId val="1246764"/>
        <c:scaling>
          <c:orientation val="maxMin"/>
        </c:scaling>
        <c:axPos val="l"/>
        <c:delete val="0"/>
        <c:numFmt formatCode="General" sourceLinked="1"/>
        <c:majorTickMark val="out"/>
        <c:minorTickMark val="none"/>
        <c:tickLblPos val="none"/>
        <c:spPr>
          <a:ln w="3175">
            <a:noFill/>
          </a:ln>
        </c:spPr>
        <c:crossAx val="11220877"/>
        <c:crosses val="autoZero"/>
        <c:auto val="1"/>
        <c:lblOffset val="100"/>
        <c:tickLblSkip val="1"/>
        <c:noMultiLvlLbl val="0"/>
      </c:catAx>
      <c:valAx>
        <c:axId val="11220877"/>
        <c:scaling>
          <c:orientation val="minMax"/>
          <c:max val="1"/>
          <c:min val="0"/>
        </c:scaling>
        <c:axPos val="t"/>
        <c:delete val="0"/>
        <c:numFmt formatCode="General" sourceLinked="1"/>
        <c:majorTickMark val="none"/>
        <c:minorTickMark val="none"/>
        <c:tickLblPos val="none"/>
        <c:spPr>
          <a:ln w="3175">
            <a:noFill/>
          </a:ln>
        </c:spPr>
        <c:crossAx val="1246764"/>
        <c:crossesAt val="1"/>
        <c:crossBetween val="between"/>
        <c:dispUnits/>
        <c:majorUnit val="1"/>
      </c:valAx>
      <c:valAx>
        <c:axId val="33879030"/>
        <c:scaling>
          <c:orientation val="minMax"/>
          <c:max val="1"/>
          <c:min val="0"/>
        </c:scaling>
        <c:axPos val="t"/>
        <c:delete val="0"/>
        <c:numFmt formatCode="General" sourceLinked="1"/>
        <c:majorTickMark val="none"/>
        <c:minorTickMark val="none"/>
        <c:tickLblPos val="none"/>
        <c:spPr>
          <a:ln w="3175">
            <a:noFill/>
          </a:ln>
        </c:spPr>
        <c:crossAx val="36475815"/>
        <c:crosses val="max"/>
        <c:crossBetween val="midCat"/>
        <c:dispUnits/>
        <c:majorUnit val="0.1"/>
        <c:minorUnit val="0.020000000000000004"/>
      </c:valAx>
      <c:valAx>
        <c:axId val="36475815"/>
        <c:scaling>
          <c:orientation val="maxMin"/>
          <c:max val="29"/>
          <c:min val="0"/>
        </c:scaling>
        <c:axPos val="l"/>
        <c:delete val="0"/>
        <c:numFmt formatCode="General" sourceLinked="1"/>
        <c:majorTickMark val="none"/>
        <c:minorTickMark val="none"/>
        <c:tickLblPos val="none"/>
        <c:spPr>
          <a:ln w="3175">
            <a:noFill/>
          </a:ln>
        </c:spPr>
        <c:crossAx val="3387903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(G82148) 7 THE BUTCHERY, EASTERN AND COASTAL KENT PCT (5QA)</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549</v>
      </c>
      <c r="Q3" s="65"/>
      <c r="R3" s="66"/>
      <c r="S3" s="66"/>
      <c r="T3" s="66"/>
      <c r="U3" s="66"/>
      <c r="V3" s="66"/>
      <c r="W3" s="66"/>
      <c r="X3" s="66"/>
      <c r="Y3" s="66"/>
      <c r="Z3" s="66"/>
      <c r="AA3" s="66"/>
      <c r="AB3" s="66"/>
      <c r="AC3" s="66"/>
    </row>
    <row r="4" spans="2:29" ht="18" customHeight="1">
      <c r="B4" s="319" t="s">
        <v>691</v>
      </c>
      <c r="C4" s="320"/>
      <c r="D4" s="320"/>
      <c r="E4" s="320"/>
      <c r="F4" s="320"/>
      <c r="G4" s="321"/>
      <c r="H4" s="112"/>
      <c r="I4" s="112"/>
      <c r="J4" s="112"/>
      <c r="K4" s="112"/>
      <c r="L4" s="113"/>
      <c r="M4" s="65"/>
      <c r="N4" s="65"/>
      <c r="O4" s="65"/>
      <c r="P4" s="134" t="s">
        <v>550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551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446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690</v>
      </c>
      <c r="C8" s="115"/>
      <c r="D8" s="115"/>
      <c r="E8" s="128">
        <f>VLOOKUP('Hide - Control'!A$3,'All practice data'!A:CA,4,FALSE)</f>
        <v>4216</v>
      </c>
      <c r="F8" s="310" t="str">
        <f>VLOOKUP('Hide - Control'!B4,'Hide - Calculation'!AY:BA,3,FALSE)</f>
        <v>Please note: Bowel screening indicators are based on less than 30 but over 12 months of data.</v>
      </c>
      <c r="G8" s="310"/>
      <c r="H8" s="310"/>
      <c r="I8" s="115"/>
      <c r="J8" s="115"/>
      <c r="K8" s="115"/>
      <c r="L8" s="115"/>
      <c r="M8" s="109"/>
      <c r="N8" s="314" t="s">
        <v>559</v>
      </c>
      <c r="O8" s="314"/>
      <c r="P8" s="314"/>
      <c r="Q8" s="314" t="s">
        <v>32</v>
      </c>
      <c r="R8" s="314"/>
      <c r="S8" s="314"/>
      <c r="T8" s="314" t="s">
        <v>694</v>
      </c>
      <c r="U8" s="314"/>
      <c r="V8" s="314" t="s">
        <v>33</v>
      </c>
      <c r="W8" s="314"/>
      <c r="X8" s="314"/>
      <c r="Y8" s="135"/>
      <c r="Z8" s="314" t="s">
        <v>552</v>
      </c>
      <c r="AA8" s="314"/>
      <c r="AB8" s="161"/>
      <c r="AC8" s="109"/>
    </row>
    <row r="9" spans="2:29" s="61" customFormat="1" ht="19.5" customHeight="1" thickBot="1">
      <c r="B9" s="114" t="s">
        <v>544</v>
      </c>
      <c r="C9" s="114"/>
      <c r="D9" s="114"/>
      <c r="E9" s="129">
        <f>VLOOKUP('Hide - Control'!B4,'Hide - Calculation'!AY:BB,4,FALSE)</f>
        <v>769993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541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522</v>
      </c>
      <c r="E11" s="317"/>
      <c r="F11" s="318"/>
      <c r="G11" s="263" t="s">
        <v>520</v>
      </c>
      <c r="H11" s="255" t="s">
        <v>521</v>
      </c>
      <c r="I11" s="255" t="s">
        <v>532</v>
      </c>
      <c r="J11" s="255" t="s">
        <v>533</v>
      </c>
      <c r="K11" s="255" t="s">
        <v>404</v>
      </c>
      <c r="L11" s="256" t="s">
        <v>446</v>
      </c>
      <c r="M11" s="257" t="s">
        <v>542</v>
      </c>
      <c r="N11" s="334" t="s">
        <v>540</v>
      </c>
      <c r="O11" s="334"/>
      <c r="P11" s="334"/>
      <c r="Q11" s="334"/>
      <c r="R11" s="334"/>
      <c r="S11" s="334"/>
      <c r="T11" s="334"/>
      <c r="U11" s="334"/>
      <c r="V11" s="334"/>
      <c r="W11" s="334"/>
      <c r="X11" s="334"/>
      <c r="Y11" s="334"/>
      <c r="Z11" s="334"/>
      <c r="AA11" s="258" t="s">
        <v>543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402</v>
      </c>
      <c r="C13" s="163">
        <v>1</v>
      </c>
      <c r="D13" s="312" t="s">
        <v>398</v>
      </c>
      <c r="E13" s="313"/>
      <c r="F13" s="313"/>
      <c r="G13" s="166">
        <f>IF(VLOOKUP('Hide - Control'!A$3,'All practice data'!A:CA,C13+4,FALSE)=" "," ",VLOOKUP('Hide - Control'!A$3,'All practice data'!A:CA,C13+4,FALSE))</f>
        <v>833</v>
      </c>
      <c r="H13" s="190">
        <f>IF(VLOOKUP('Hide - Control'!A$3,'All practice data'!A:CA,C13+30,FALSE)=" "," ",VLOOKUP('Hide - Control'!A$3,'All practice data'!A:CA,C13+30,FALSE))</f>
        <v>0.1975806451612903</v>
      </c>
      <c r="I13" s="191">
        <f>IF(LEFT(G13,1)=" "," n/a",+((2*G13+1.96^2-1.96*SQRT(1.96^2+4*G13*(1-G13/E$8)))/(2*(E$8+1.96^2))))</f>
        <v>0.18583898954796926</v>
      </c>
      <c r="J13" s="191">
        <f>IF(LEFT(G13,1)=" "," n/a",+((2*G13+1.96^2+1.96*SQRT(1.96^2+4*G13*(1-G13/E$8)))/(2*(E$8+1.96^2))))</f>
        <v>0.20987292532580232</v>
      </c>
      <c r="K13" s="190">
        <f>IF('Hide - Calculation'!N7="","",'Hide - Calculation'!N7)</f>
        <v>0.18642507139675296</v>
      </c>
      <c r="L13" s="192">
        <f>'Hide - Calculation'!O7</f>
        <v>0.1599882305185145</v>
      </c>
      <c r="M13" s="208">
        <f>IF(ISBLANK('Hide - Calculation'!K7),"",'Hide - Calculation'!U7)</f>
        <v>0.014686636626720428</v>
      </c>
      <c r="N13" s="173"/>
      <c r="O13" s="173"/>
      <c r="P13" s="173"/>
      <c r="Q13" s="173"/>
      <c r="R13" s="173"/>
      <c r="S13" s="173"/>
      <c r="T13" s="173"/>
      <c r="U13" s="173"/>
      <c r="V13" s="173"/>
      <c r="W13" s="173"/>
      <c r="X13" s="173"/>
      <c r="Y13" s="173"/>
      <c r="Z13" s="173"/>
      <c r="AA13" s="226">
        <f>IF(ISBLANK('Hide - Calculation'!K7),"",'Hide - Calculation'!T7)</f>
        <v>0.34708908200263977</v>
      </c>
      <c r="AB13" s="233" t="s">
        <v>688</v>
      </c>
      <c r="AC13" s="209" t="s">
        <v>689</v>
      </c>
    </row>
    <row r="14" spans="2:29" ht="33.75" customHeight="1">
      <c r="B14" s="306"/>
      <c r="C14" s="137">
        <v>2</v>
      </c>
      <c r="D14" s="132" t="s">
        <v>553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0.11053501068199802</v>
      </c>
      <c r="J14" s="120">
        <f>IF(LEFT(G14,1)=" "," n/a",+((2*H14*E8+1.96^2+1.96*SQRT(1.96^2+4*H14*E8*(1-H14*E8/E$8)))/(2*(E$8+1.96^2))))</f>
        <v>0.13015686742072505</v>
      </c>
      <c r="K14" s="119">
        <f>IF('Hide - Calculation'!N8="","",'Hide - Calculation'!N8)</f>
        <v>0.14773482356333106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0.3199999928474426</v>
      </c>
      <c r="AB14" s="234" t="s">
        <v>39</v>
      </c>
      <c r="AC14" s="130" t="s">
        <v>689</v>
      </c>
    </row>
    <row r="15" spans="2:39" s="63" customFormat="1" ht="33.75" customHeight="1">
      <c r="B15" s="306"/>
      <c r="C15" s="137">
        <v>3</v>
      </c>
      <c r="D15" s="132" t="s">
        <v>407</v>
      </c>
      <c r="E15" s="85"/>
      <c r="F15" s="85"/>
      <c r="G15" s="121">
        <f>IF(VLOOKUP('Hide - Control'!A$3,'All practice data'!A:CA,C15+4,FALSE)=" "," ",VLOOKUP('Hide - Control'!A$3,'All practice data'!A:CA,C15+4,FALSE))</f>
        <v>16</v>
      </c>
      <c r="H15" s="122">
        <f>IF(VLOOKUP('Hide - Control'!A$3,'All practice data'!A:CA,C15+30,FALSE)=" "," ",VLOOKUP('Hide - Control'!A$3,'All practice data'!A:CA,C15+30,FALSE))</f>
        <v>379.5066413662239</v>
      </c>
      <c r="I15" s="123">
        <f>IF(LEFT(G15,1)=" "," n/a",IF(G15&lt;5,100000*VLOOKUP(G15,'Hide - Calculation'!AQ:AR,2,FALSE)/$E$8,100000*(G15*(1-1/(9*G15)-1.96/(3*SQRT(G15)))^3)/$E$8))</f>
        <v>216.77916841550777</v>
      </c>
      <c r="J15" s="123">
        <f>IF(LEFT(G15,1)=" "," n/a",IF(G15&lt;5,100000*VLOOKUP(G15,'Hide - Calculation'!AQ:AS,3,FALSE)/$E$8,100000*((G15+1)*(1-1/(9*(G15+1))+1.96/(3*SQRT(G15+1)))^3)/$E$8))</f>
        <v>616.3338528332991</v>
      </c>
      <c r="K15" s="122">
        <f>IF('Hide - Calculation'!N9="","",'Hide - Calculation'!N9)</f>
        <v>495.9785348697975</v>
      </c>
      <c r="L15" s="156">
        <f>'Hide - Calculation'!O9</f>
        <v>445.6198871279627</v>
      </c>
      <c r="M15" s="151">
        <f>IF(ISBLANK('Hide - Calculation'!K9),"",'Hide - Calculation'!U9)</f>
        <v>43.62367248535156</v>
      </c>
      <c r="N15" s="84"/>
      <c r="O15" s="84"/>
      <c r="P15" s="84"/>
      <c r="Q15" s="84"/>
      <c r="R15" s="84"/>
      <c r="S15" s="84"/>
      <c r="T15" s="84"/>
      <c r="U15" s="84"/>
      <c r="V15" s="84"/>
      <c r="W15" s="84"/>
      <c r="X15" s="84"/>
      <c r="Y15" s="84"/>
      <c r="Z15" s="84"/>
      <c r="AA15" s="228">
        <f>IF(ISBLANK('Hide - Calculation'!K9),"",'Hide - Calculation'!T9)</f>
        <v>898.3572998046875</v>
      </c>
      <c r="AB15" s="234" t="s">
        <v>523</v>
      </c>
      <c r="AC15" s="131">
        <v>2009</v>
      </c>
      <c r="AD15" s="64"/>
      <c r="AE15" s="64"/>
      <c r="AF15" s="64"/>
      <c r="AG15" s="64"/>
      <c r="AH15" s="64"/>
      <c r="AI15" s="64"/>
      <c r="AJ15" s="64"/>
      <c r="AK15" s="64"/>
      <c r="AL15" s="64"/>
      <c r="AM15" s="64"/>
    </row>
    <row r="16" spans="2:29" s="63" customFormat="1" ht="33.75" customHeight="1">
      <c r="B16" s="306"/>
      <c r="C16" s="137">
        <v>4</v>
      </c>
      <c r="D16" s="132" t="s">
        <v>545</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271.8206529150265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639.06640625</v>
      </c>
      <c r="AB16" s="234" t="s">
        <v>401</v>
      </c>
      <c r="AC16" s="131" t="s">
        <v>577</v>
      </c>
    </row>
    <row r="17" spans="2:29" s="63" customFormat="1" ht="33.75" customHeight="1" thickBot="1">
      <c r="B17" s="309"/>
      <c r="C17" s="180">
        <v>5</v>
      </c>
      <c r="D17" s="195" t="s">
        <v>406</v>
      </c>
      <c r="E17" s="182"/>
      <c r="F17" s="182"/>
      <c r="G17" s="140">
        <f>IF(VLOOKUP('Hide - Control'!A$3,'All practice data'!A:CA,C17+4,FALSE)=" "," ",VLOOKUP('Hide - Control'!A$3,'All practice data'!A:CA,C17+4,FALSE))</f>
        <v>92</v>
      </c>
      <c r="H17" s="141">
        <f>IF(VLOOKUP('Hide - Control'!A$3,'All practice data'!A:CA,C17+30,FALSE)=" "," ",VLOOKUP('Hide - Control'!A$3,'All practice data'!A:CA,C17+30,FALSE))</f>
        <v>0.022000000000000002</v>
      </c>
      <c r="I17" s="142">
        <f>IF(LEFT(G17,1)=" "," n/a",+((2*G17+1.96^2-1.96*SQRT(1.96^2+4*G17*(1-G17/E$8)))/(2*(E$8+1.96^2))))</f>
        <v>0.017827313758307824</v>
      </c>
      <c r="J17" s="142">
        <f>IF(LEFT(G17,1)=" "," n/a",+((2*G17+1.96^2+1.96*SQRT(1.96^2+4*G17*(1-G17/E$8)))/(2*(E$8+1.96^2))))</f>
        <v>0.02668658458327922</v>
      </c>
      <c r="K17" s="141">
        <f>IF('Hide - Calculation'!N11="","",'Hide - Calculation'!N11)</f>
        <v>0.017548211477247194</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0.029999999329447746</v>
      </c>
      <c r="AB17" s="235" t="s">
        <v>546</v>
      </c>
      <c r="AC17" s="189" t="s">
        <v>577</v>
      </c>
    </row>
    <row r="18" spans="2:29" s="63" customFormat="1" ht="33.75" customHeight="1">
      <c r="B18" s="308" t="s">
        <v>13</v>
      </c>
      <c r="C18" s="163">
        <v>6</v>
      </c>
      <c r="D18" s="164" t="s">
        <v>554</v>
      </c>
      <c r="E18" s="165"/>
      <c r="F18" s="165"/>
      <c r="G18" s="219">
        <f>IF(OR(VLOOKUP('Hide - Control'!A$3,'All practice data'!A:CA,C18+4,FALSE)=" ",VLOOKUP('Hide - Control'!A$3,'All practice data'!A:CA,C18+52,FALSE)=0)," n/a",VLOOKUP('Hide - Control'!A$3,'All practice data'!A:CA,C18+4,FALSE))</f>
        <v>512</v>
      </c>
      <c r="H18" s="220">
        <f>IF(OR(VLOOKUP('Hide - Control'!A$3,'All practice data'!A:CA,C18+30,FALSE)=" ",VLOOKUP('Hide - Control'!A$3,'All practice data'!A:CA,C18+52,FALSE)=0)," n/a",VLOOKUP('Hide - Control'!A$3,'All practice data'!A:CA,C18+30,FALSE))</f>
        <v>0.793798</v>
      </c>
      <c r="I18" s="191">
        <f>IF(OR(LEFT(H18,1)=" ",VLOOKUP('Hide - Control'!A$3,'All practice data'!A:CA,C18+52,FALSE)=0)," n/a",+((2*G18+1.96^2-1.96*SQRT(1.96^2+4*G18*(1-G18/(VLOOKUP('Hide - Control'!A$3,'All practice data'!A:CA,C18+52,FALSE)))))/(2*(((VLOOKUP('Hide - Control'!A$3,'All practice data'!A:CA,C18+52,FALSE)))+1.96^2))))</f>
        <v>0.7608797711510752</v>
      </c>
      <c r="J18" s="191">
        <f>IF(OR(LEFT(H18,1)=" ",VLOOKUP('Hide - Control'!A$3,'All practice data'!A:CA,C18+52,FALSE)=0)," n/a",+((2*G18+1.96^2+1.96*SQRT(1.96^2+4*G18*(1-G18/(VLOOKUP('Hide - Control'!A$3,'All practice data'!A:CA,C18+52,FALSE)))))/(2*((VLOOKUP('Hide - Control'!A$3,'All practice data'!A:CA,C18+52,FALSE))+1.96^2))))</f>
        <v>0.8232381399076486</v>
      </c>
      <c r="K18" s="220">
        <f>IF('Hide - Calculation'!N12="","",'Hide - Calculation'!N12)</f>
        <v>0.7475899579891624</v>
      </c>
      <c r="L18" s="192">
        <f>'Hide - Calculation'!O12</f>
        <v>0.7248631360507991</v>
      </c>
      <c r="M18" s="193">
        <f>IF(ISBLANK('Hide - Calculation'!K12),"",'Hide - Calculation'!U12)</f>
        <v>0.570796012878418</v>
      </c>
      <c r="N18" s="194"/>
      <c r="O18" s="173"/>
      <c r="P18" s="173"/>
      <c r="Q18" s="173"/>
      <c r="R18" s="173"/>
      <c r="S18" s="173"/>
      <c r="T18" s="173"/>
      <c r="U18" s="173"/>
      <c r="V18" s="173"/>
      <c r="W18" s="173"/>
      <c r="X18" s="173"/>
      <c r="Y18" s="173"/>
      <c r="Z18" s="174"/>
      <c r="AA18" s="193">
        <f>IF(ISBLANK('Hide - Calculation'!K12),"",'Hide - Calculation'!T12)</f>
        <v>0.8635169863700867</v>
      </c>
      <c r="AB18" s="233" t="s">
        <v>48</v>
      </c>
      <c r="AC18" s="175" t="s">
        <v>578</v>
      </c>
    </row>
    <row r="19" spans="2:29" s="63" customFormat="1" ht="33.75" customHeight="1">
      <c r="B19" s="306"/>
      <c r="C19" s="137">
        <v>7</v>
      </c>
      <c r="D19" s="132" t="s">
        <v>555</v>
      </c>
      <c r="E19" s="85"/>
      <c r="F19" s="85"/>
      <c r="G19" s="221">
        <f>IF(OR(VLOOKUP('Hide - Control'!A$3,'All practice data'!A:CA,C19+4,FALSE)=" ",VLOOKUP('Hide - Control'!A$3,'All practice data'!A:CA,C19+52,FALSE)=0)," n/a",VLOOKUP('Hide - Control'!A$3,'All practice data'!A:CA,C19+4,FALSE))</f>
        <v>8</v>
      </c>
      <c r="H19" s="218">
        <f>IF(OR(VLOOKUP('Hide - Control'!A$3,'All practice data'!A:CA,C19+30,FALSE)=" ",VLOOKUP('Hide - Control'!A$3,'All practice data'!A:CA,C19+52,FALSE)=0)," n/a",VLOOKUP('Hide - Control'!A$3,'All practice data'!A:CA,C19+30,FALSE))</f>
        <v>0.444444</v>
      </c>
      <c r="I19" s="120">
        <f>IF(OR(LEFT(H19,1)=" ",VLOOKUP('Hide - Control'!A$3,'All practice data'!A:CA,C19+52,FALSE)=0)," n/a",+((2*G19+1.96^2-1.96*SQRT(1.96^2+4*G19*(1-G19/(VLOOKUP('Hide - Control'!A$3,'All practice data'!A:CA,C19+52,FALSE)))))/(2*(((VLOOKUP('Hide - Control'!A$3,'All practice data'!A:CA,C19+52,FALSE)))+1.96^2))))</f>
        <v>0.24559231101389126</v>
      </c>
      <c r="J19" s="120">
        <f>IF(OR(LEFT(H19,1)=" ",VLOOKUP('Hide - Control'!A$3,'All practice data'!A:CA,C19+52,FALSE)=0)," n/a",+((2*G19+1.96^2+1.96*SQRT(1.96^2+4*G19*(1-G19/(VLOOKUP('Hide - Control'!A$3,'All practice data'!A:CA,C19+52,FALSE)))))/(2*((VLOOKUP('Hide - Control'!A$3,'All practice data'!A:CA,C19+52,FALSE))+1.96^2))))</f>
        <v>0.6628393057174837</v>
      </c>
      <c r="K19" s="218">
        <f>IF('Hide - Calculation'!N13="","",'Hide - Calculation'!N13)</f>
        <v>0.7658069188346053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0.9026370048522949</v>
      </c>
      <c r="AB19" s="234" t="s">
        <v>48</v>
      </c>
      <c r="AC19" s="131" t="s">
        <v>577</v>
      </c>
    </row>
    <row r="20" spans="2:29" s="63" customFormat="1" ht="33.75" customHeight="1">
      <c r="B20" s="306"/>
      <c r="C20" s="137">
        <v>8</v>
      </c>
      <c r="D20" s="132" t="s">
        <v>556</v>
      </c>
      <c r="E20" s="85"/>
      <c r="F20" s="85"/>
      <c r="G20" s="221">
        <f>IF(OR(VLOOKUP('Hide - Control'!A$3,'All practice data'!A:CA,C20+4,FALSE)=" ",VLOOKUP('Hide - Control'!A$3,'All practice data'!A:CA,C20+52,FALSE)=0)," n/a",VLOOKUP('Hide - Control'!A$3,'All practice data'!A:CA,C20+4,FALSE))</f>
        <v>767</v>
      </c>
      <c r="H20" s="218">
        <f>IF(OR(VLOOKUP('Hide - Control'!A$3,'All practice data'!A:CA,C20+30,FALSE)=" ",VLOOKUP('Hide - Control'!A$3,'All practice data'!A:CA,C20+52,FALSE)=0)," n/a",VLOOKUP('Hide - Control'!A$3,'All practice data'!A:CA,C20+30,FALSE))</f>
        <v>0.768537</v>
      </c>
      <c r="I20" s="120">
        <f>IF(OR(LEFT(H20,1)=" ",VLOOKUP('Hide - Control'!A$3,'All practice data'!A:CA,C20+52,FALSE)=0)," n/a",+((2*G20+1.96^2-1.96*SQRT(1.96^2+4*G20*(1-G20/(VLOOKUP('Hide - Control'!A$3,'All practice data'!A:CA,C20+52,FALSE)))))/(2*(((VLOOKUP('Hide - Control'!A$3,'All practice data'!A:CA,C20+52,FALSE)))+1.96^2))))</f>
        <v>0.7413696834984717</v>
      </c>
      <c r="J20" s="120">
        <f>IF(OR(LEFT(H20,1)=" ",VLOOKUP('Hide - Control'!A$3,'All practice data'!A:CA,C20+52,FALSE)=0)," n/a",+((2*G20+1.96^2+1.96*SQRT(1.96^2+4*G20*(1-G20/(VLOOKUP('Hide - Control'!A$3,'All practice data'!A:CA,C20+52,FALSE)))))/(2*((VLOOKUP('Hide - Control'!A$3,'All practice data'!A:CA,C20+52,FALSE))+1.96^2))))</f>
        <v>0.7936450333988901</v>
      </c>
      <c r="K20" s="218">
        <f>IF('Hide - Calculation'!N14="","",'Hide - Calculation'!N14)</f>
        <v>0.7705900262527502</v>
      </c>
      <c r="L20" s="155">
        <f>'Hide - Calculation'!O14</f>
        <v>0.7559681673907895</v>
      </c>
      <c r="M20" s="152">
        <f>IF(ISBLANK('Hide - Calculation'!K14),"",'Hide - Calculation'!U14)</f>
        <v>0.6500890254974365</v>
      </c>
      <c r="N20" s="160"/>
      <c r="O20" s="84"/>
      <c r="P20" s="84"/>
      <c r="Q20" s="84"/>
      <c r="R20" s="84"/>
      <c r="S20" s="84"/>
      <c r="T20" s="84"/>
      <c r="U20" s="84"/>
      <c r="V20" s="84"/>
      <c r="W20" s="84"/>
      <c r="X20" s="84"/>
      <c r="Y20" s="84"/>
      <c r="Z20" s="88"/>
      <c r="AA20" s="152">
        <f>IF(ISBLANK('Hide - Calculation'!K14),"",'Hide - Calculation'!T14)</f>
        <v>0.9125300049781799</v>
      </c>
      <c r="AB20" s="234" t="s">
        <v>48</v>
      </c>
      <c r="AC20" s="131" t="s">
        <v>579</v>
      </c>
    </row>
    <row r="21" spans="2:29" s="63" customFormat="1" ht="33.75" customHeight="1">
      <c r="B21" s="306"/>
      <c r="C21" s="137">
        <v>9</v>
      </c>
      <c r="D21" s="132" t="s">
        <v>557</v>
      </c>
      <c r="E21" s="85"/>
      <c r="F21" s="85"/>
      <c r="G21" s="221">
        <f>IF(OR(VLOOKUP('Hide - Control'!A$3,'All practice data'!A:CA,C21+4,FALSE)=" ",VLOOKUP('Hide - Control'!A$3,'All practice data'!A:CA,C21+52,FALSE)=0)," n/a",VLOOKUP('Hide - Control'!A$3,'All practice data'!A:CA,C21+4,FALSE))</f>
        <v>315</v>
      </c>
      <c r="H21" s="218">
        <f>IF(OR(VLOOKUP('Hide - Control'!A$3,'All practice data'!A:CA,C21+30,FALSE)=" ",VLOOKUP('Hide - Control'!A$3,'All practice data'!A:CA,C21+52,FALSE)=0)," n/a",VLOOKUP('Hide - Control'!A$3,'All practice data'!A:CA,C21+30,FALSE))</f>
        <v>0.518946</v>
      </c>
      <c r="I21" s="120">
        <f>IF(OR(LEFT(H21,1)=" ",VLOOKUP('Hide - Control'!A$3,'All practice data'!A:CA,C21+52,FALSE)=0)," n/a",+((2*G21+1.96^2-1.96*SQRT(1.96^2+4*G21*(1-G21/(VLOOKUP('Hide - Control'!A$3,'All practice data'!A:CA,C21+52,FALSE)))))/(2*(((VLOOKUP('Hide - Control'!A$3,'All practice data'!A:CA,C21+52,FALSE)))+1.96^2))))</f>
        <v>0.4792030842096045</v>
      </c>
      <c r="J21" s="120">
        <f>IF(OR(LEFT(H21,1)=" ",VLOOKUP('Hide - Control'!A$3,'All practice data'!A:CA,C21+52,FALSE)=0)," n/a",+((2*G21+1.96^2+1.96*SQRT(1.96^2+4*G21*(1-G21/(VLOOKUP('Hide - Control'!A$3,'All practice data'!A:CA,C21+52,FALSE)))))/(2*((VLOOKUP('Hide - Control'!A$3,'All practice data'!A:CA,C21+52,FALSE))+1.96^2))))</f>
        <v>0.5584498850708113</v>
      </c>
      <c r="K21" s="218">
        <f>IF('Hide - Calculation'!N15="","",'Hide - Calculation'!N15)</f>
        <v>0.5237061663560901</v>
      </c>
      <c r="L21" s="155">
        <f>'Hide - Calculation'!O15</f>
        <v>0.5147293797466616</v>
      </c>
      <c r="M21" s="152">
        <f>IF(ISBLANK('Hide - Calculation'!K15),"",'Hide - Calculation'!U15)</f>
        <v>0.2709360122680664</v>
      </c>
      <c r="N21" s="160"/>
      <c r="O21" s="84"/>
      <c r="P21" s="84"/>
      <c r="Q21" s="84"/>
      <c r="R21" s="84"/>
      <c r="S21" s="84"/>
      <c r="T21" s="84"/>
      <c r="U21" s="84"/>
      <c r="V21" s="84"/>
      <c r="W21" s="84"/>
      <c r="X21" s="84"/>
      <c r="Y21" s="84"/>
      <c r="Z21" s="88"/>
      <c r="AA21" s="152">
        <f>IF(ISBLANK('Hide - Calculation'!K15),"",'Hide - Calculation'!T15)</f>
        <v>0.6716139912605286</v>
      </c>
      <c r="AB21" s="234" t="s">
        <v>48</v>
      </c>
      <c r="AC21" s="131" t="s">
        <v>578</v>
      </c>
    </row>
    <row r="22" spans="2:29" s="63" customFormat="1" ht="33.75" customHeight="1" thickBot="1">
      <c r="B22" s="309"/>
      <c r="C22" s="180">
        <v>10</v>
      </c>
      <c r="D22" s="195" t="s">
        <v>558</v>
      </c>
      <c r="E22" s="182"/>
      <c r="F22" s="182"/>
      <c r="G22" s="222">
        <f>IF(OR(VLOOKUP('Hide - Control'!A$3,'All practice data'!A:CA,C22+4,FALSE)=" ",VLOOKUP('Hide - Control'!A$3,'All practice data'!A:CA,C22+52,FALSE)=0)," n/a",VLOOKUP('Hide - Control'!A$3,'All practice data'!A:CA,C22+4,FALSE))</f>
        <v>158</v>
      </c>
      <c r="H22" s="223">
        <f>IF(OR(VLOOKUP('Hide - Control'!A$3,'All practice data'!A:CA,C22+30,FALSE)=" ",VLOOKUP('Hide - Control'!A$3,'All practice data'!A:CA,C22+52,FALSE)=0)," n/a",VLOOKUP('Hide - Control'!A$3,'All practice data'!A:CA,C22+30,FALSE))</f>
        <v>0.523179</v>
      </c>
      <c r="I22" s="196">
        <f>IF(OR(LEFT(H22,1)=" ",VLOOKUP('Hide - Control'!A$3,'All practice data'!A:CA,C22+52,FALSE)=0)," n/a",+((2*G22+1.96^2-1.96*SQRT(1.96^2+4*G22*(1-G22/(VLOOKUP('Hide - Control'!A$3,'All practice data'!A:CA,C22+52,FALSE)))))/(2*(((VLOOKUP('Hide - Control'!A$3,'All practice data'!A:CA,C22+52,FALSE)))+1.96^2))))</f>
        <v>0.4669097761273101</v>
      </c>
      <c r="J22" s="196">
        <f>IF(OR(LEFT(H22,1)=" ",VLOOKUP('Hide - Control'!A$3,'All practice data'!A:CA,C22+52,FALSE)=0)," n/a",+((2*G22+1.96^2+1.96*SQRT(1.96^2+4*G22*(1-G22/(VLOOKUP('Hide - Control'!A$3,'All practice data'!A:CA,C22+52,FALSE)))))/(2*((VLOOKUP('Hide - Control'!A$3,'All practice data'!A:CA,C22+52,FALSE))+1.96^2))))</f>
        <v>0.5788655533242753</v>
      </c>
      <c r="K22" s="223">
        <f>IF('Hide - Calculation'!N16="","",'Hide - Calculation'!N16)</f>
        <v>0.5616608759061468</v>
      </c>
      <c r="L22" s="197">
        <f>'Hide - Calculation'!O16</f>
        <v>0.5752927626212945</v>
      </c>
      <c r="M22" s="198">
        <f>IF(ISBLANK('Hide - Calculation'!K16),"",'Hide - Calculation'!U16)</f>
        <v>0.3714289963245392</v>
      </c>
      <c r="N22" s="199"/>
      <c r="O22" s="91"/>
      <c r="P22" s="91"/>
      <c r="Q22" s="91"/>
      <c r="R22" s="91"/>
      <c r="S22" s="91"/>
      <c r="T22" s="91"/>
      <c r="U22" s="91"/>
      <c r="V22" s="91"/>
      <c r="W22" s="91"/>
      <c r="X22" s="91"/>
      <c r="Y22" s="91"/>
      <c r="Z22" s="188"/>
      <c r="AA22" s="198">
        <f>IF(ISBLANK('Hide - Calculation'!K16),"",'Hide - Calculation'!T16)</f>
        <v>0.7341269850730896</v>
      </c>
      <c r="AB22" s="235" t="s">
        <v>48</v>
      </c>
      <c r="AC22" s="189" t="s">
        <v>577</v>
      </c>
    </row>
    <row r="23" spans="2:29" s="63" customFormat="1" ht="33.75" customHeight="1">
      <c r="B23" s="308" t="s">
        <v>396</v>
      </c>
      <c r="C23" s="163">
        <v>11</v>
      </c>
      <c r="D23" s="179" t="s">
        <v>408</v>
      </c>
      <c r="E23" s="165"/>
      <c r="F23" s="165"/>
      <c r="G23" s="118">
        <f>IF(VLOOKUP('Hide - Control'!A$3,'All practice data'!A:CA,C23+4,FALSE)=" "," ",VLOOKUP('Hide - Control'!A$3,'All practice data'!A:CA,C23+4,FALSE))</f>
        <v>119</v>
      </c>
      <c r="H23" s="216">
        <f>IF(VLOOKUP('Hide - Control'!A$3,'All practice data'!A:CA,C23+30,FALSE)=" "," ",VLOOKUP('Hide - Control'!A$3,'All practice data'!A:CA,C23+30,FALSE))</f>
        <v>2822.5806451612902</v>
      </c>
      <c r="I23" s="215">
        <f>IF(LEFT(G23,1)=" "," n/a",IF(G23&lt;5,100000*VLOOKUP(G23,'Hide - Calculation'!AQ:AR,2,FALSE)/$E$8,100000*(G23*(1-1/(9*G23)-1.96/(3*SQRT(G23)))^3)/$E$8))</f>
        <v>2338.2254339729247</v>
      </c>
      <c r="J23" s="215">
        <f>IF(LEFT(G23,1)=" "," n/a",IF(G23&lt;5,100000*VLOOKUP(G23,'Hide - Calculation'!AQ:AS,3,FALSE)/$E$8,100000*((G23+1)*(1-1/(9*(G23+1))+1.96/(3*SQRT(G23+1)))^3)/$E$8))</f>
        <v>3377.6746279945055</v>
      </c>
      <c r="K23" s="216">
        <f>IF('Hide - Calculation'!N17="","",'Hide - Calculation'!N17)</f>
        <v>2589.114446494968</v>
      </c>
      <c r="L23" s="217">
        <f>'Hide - Calculation'!O17</f>
        <v>1812.1669120472948</v>
      </c>
      <c r="M23" s="170">
        <f>IF(ISBLANK('Hide - Calculation'!K17),"",'Hide - Calculation'!U17)</f>
        <v>288.4962158203125</v>
      </c>
      <c r="N23" s="171"/>
      <c r="O23" s="172"/>
      <c r="P23" s="172"/>
      <c r="Q23" s="172"/>
      <c r="R23" s="173"/>
      <c r="S23" s="173"/>
      <c r="T23" s="173"/>
      <c r="U23" s="173"/>
      <c r="V23" s="173"/>
      <c r="W23" s="173"/>
      <c r="X23" s="173"/>
      <c r="Y23" s="173"/>
      <c r="Z23" s="174"/>
      <c r="AA23" s="170">
        <f>IF(ISBLANK('Hide - Calculation'!K17),"",'Hide - Calculation'!T17)</f>
        <v>5695.50927734375</v>
      </c>
      <c r="AB23" s="233" t="s">
        <v>26</v>
      </c>
      <c r="AC23" s="175" t="s">
        <v>577</v>
      </c>
    </row>
    <row r="24" spans="2:29" s="63" customFormat="1" ht="33.75" customHeight="1">
      <c r="B24" s="306"/>
      <c r="C24" s="137">
        <v>12</v>
      </c>
      <c r="D24" s="147" t="s">
        <v>564</v>
      </c>
      <c r="E24" s="85"/>
      <c r="F24" s="85"/>
      <c r="G24" s="118">
        <f>IF(VLOOKUP('Hide - Control'!A$3,'All practice data'!A:CA,C24+4,FALSE)=" "," ",VLOOKUP('Hide - Control'!A$3,'All practice data'!A:CA,C24+4,FALSE))</f>
        <v>119</v>
      </c>
      <c r="H24" s="119">
        <f>IF(VLOOKUP('Hide - Control'!A$3,'All practice data'!A:CA,C24+30,FALSE)=" "," ",VLOOKUP('Hide - Control'!A$3,'All practice data'!A:CA,C24+30,FALSE))</f>
        <v>1.3408612059999998</v>
      </c>
      <c r="I24" s="212">
        <f>IF(LEFT(VLOOKUP('Hide - Control'!A$3,'All practice data'!A:CA,C24+44,FALSE),1)=" "," n/a",VLOOKUP('Hide - Control'!A$3,'All practice data'!A:CA,C24+44,FALSE))</f>
        <v>1.1107923130000001</v>
      </c>
      <c r="J24" s="212">
        <f>IF(LEFT(VLOOKUP('Hide - Control'!A$3,'All practice data'!A:CA,C24+45,FALSE),1)=" "," n/a",VLOOKUP('Hide - Control'!A$3,'All practice data'!A:CA,C24+45,FALSE))</f>
        <v>1.6045404049999998</v>
      </c>
      <c r="K24" s="152" t="s">
        <v>693</v>
      </c>
      <c r="L24" s="213">
        <v>1</v>
      </c>
      <c r="M24" s="152">
        <f>IF(ISBLANK('Hide - Calculation'!K18),"",'Hide - Calculation'!U18)</f>
        <v>0.21878454089164734</v>
      </c>
      <c r="N24" s="86"/>
      <c r="O24" s="87"/>
      <c r="P24" s="87"/>
      <c r="Q24" s="87"/>
      <c r="R24" s="84"/>
      <c r="S24" s="84"/>
      <c r="T24" s="84"/>
      <c r="U24" s="84"/>
      <c r="V24" s="84"/>
      <c r="W24" s="84"/>
      <c r="X24" s="84"/>
      <c r="Y24" s="84"/>
      <c r="Z24" s="88"/>
      <c r="AA24" s="152">
        <f>IF(ISBLANK('Hide - Calculation'!K18),"",'Hide - Calculation'!T18)</f>
        <v>2.8625993728637695</v>
      </c>
      <c r="AB24" s="234" t="s">
        <v>26</v>
      </c>
      <c r="AC24" s="131" t="s">
        <v>577</v>
      </c>
    </row>
    <row r="25" spans="2:29" s="63" customFormat="1" ht="33.75" customHeight="1">
      <c r="B25" s="306"/>
      <c r="C25" s="137">
        <v>13</v>
      </c>
      <c r="D25" s="147" t="s">
        <v>403</v>
      </c>
      <c r="E25" s="85"/>
      <c r="F25" s="85"/>
      <c r="G25" s="118">
        <f>IF(VLOOKUP('Hide - Control'!A$3,'All practice data'!A:CA,C25+4,FALSE)=" "," ",VLOOKUP('Hide - Control'!A$3,'All practice data'!A:CA,C25+4,FALSE))</f>
        <v>13</v>
      </c>
      <c r="H25" s="119">
        <f>IF(VLOOKUP('Hide - Control'!A$3,'All practice data'!A:CA,C25+30,FALSE)=" "," ",VLOOKUP('Hide - Control'!A$3,'All practice data'!A:CA,C25+30,FALSE))</f>
        <v>0.1092436974789916</v>
      </c>
      <c r="I25" s="120">
        <f>IF(LEFT(G25,1)=" "," n/a",IF(G25=0," n/a",+((2*G25+1.96^2-1.96*SQRT(1.96^2+4*G25*(1-G25/G23)))/(2*(G23+1.96^2)))))</f>
        <v>0.06496179454072627</v>
      </c>
      <c r="J25" s="120">
        <f>IF(LEFT(G25,1)=" "," n/a",IF(G25=0," n/a",+((2*G25+1.96^2+1.96*SQRT(1.96^2+4*G25*(1-G25/G23)))/(2*(G23+1.96^2)))))</f>
        <v>0.17796568279594144</v>
      </c>
      <c r="K25" s="125">
        <f>IF('Hide - Calculation'!N19="","",'Hide - Calculation'!N19)</f>
        <v>0.10102327447833066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0.3283582031726837</v>
      </c>
      <c r="AB25" s="234" t="s">
        <v>26</v>
      </c>
      <c r="AC25" s="131" t="s">
        <v>577</v>
      </c>
    </row>
    <row r="26" spans="2:29" s="63" customFormat="1" ht="33.75" customHeight="1">
      <c r="B26" s="306"/>
      <c r="C26" s="137">
        <v>14</v>
      </c>
      <c r="D26" s="147" t="s">
        <v>547</v>
      </c>
      <c r="E26" s="85"/>
      <c r="F26" s="85"/>
      <c r="G26" s="121">
        <f>IF(VLOOKUP('Hide - Control'!A$3,'All practice data'!A:CA,C26+4,FALSE)=" "," ",VLOOKUP('Hide - Control'!A$3,'All practice data'!A:CA,C26+4,FALSE))</f>
        <v>23</v>
      </c>
      <c r="H26" s="119">
        <f>IF(VLOOKUP('Hide - Control'!A$3,'All practice data'!A:CA,C26+30,FALSE)=" "," ",VLOOKUP('Hide - Control'!A$3,'All practice data'!A:CA,C26+30,FALSE))</f>
        <v>0.5652173913043478</v>
      </c>
      <c r="I26" s="120">
        <f>IF(OR(LEFT(G26,1)=" ",LEFT(G25,1)=" ")," n/a",IF(G26=0," n/a",+((2*G25+1.96^2-1.96*SQRT(1.96^2+4*G25*(1-G25/G26)))/(2*(G26+1.96^2)))))</f>
        <v>0.36811049305016963</v>
      </c>
      <c r="J26" s="120">
        <f>IF(OR(LEFT(G26,1)=" ",LEFT(G25,1)=" ")," n/a",IF(G26=0," n/a",+((2*G25+1.96^2+1.96*SQRT(1.96^2+4*G25*(1-G25/G26)))/(2*(G26+1.96^2)))))</f>
        <v>0.7436563166780135</v>
      </c>
      <c r="K26" s="125">
        <f>IF('Hide - Calculation'!N20="","",'Hide - Calculation'!N20)</f>
        <v>0.5353535353535354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0.7692307829856873</v>
      </c>
      <c r="AB26" s="234" t="s">
        <v>26</v>
      </c>
      <c r="AC26" s="131" t="s">
        <v>577</v>
      </c>
    </row>
    <row r="27" spans="2:29" s="63" customFormat="1" ht="33.75" customHeight="1">
      <c r="B27" s="306"/>
      <c r="C27" s="137">
        <v>15</v>
      </c>
      <c r="D27" s="147" t="s">
        <v>534</v>
      </c>
      <c r="E27" s="85"/>
      <c r="F27" s="85"/>
      <c r="G27" s="121">
        <f>IF(VLOOKUP('Hide - Control'!A$3,'All practice data'!A:CA,C27+4,FALSE)=" "," ",VLOOKUP('Hide - Control'!A$3,'All practice data'!A:CA,C27+4,FALSE))</f>
        <v>26</v>
      </c>
      <c r="H27" s="122">
        <f>IF(VLOOKUP('Hide - Control'!A$3,'All practice data'!A:CA,C27+30,FALSE)=" "," ",VLOOKUP('Hide - Control'!A$3,'All practice data'!A:CA,C27+30,FALSE))</f>
        <v>616.6982922201139</v>
      </c>
      <c r="I27" s="123">
        <f>IF(LEFT(G27,1)=" "," n/a",IF(G27&lt;5,100000*VLOOKUP(G27,'Hide - Calculation'!AQ:AR,2,FALSE)/$E$8,100000*(G27*(1-1/(9*G27)-1.96/(3*SQRT(G27)))^3)/$E$8))</f>
        <v>402.742352280123</v>
      </c>
      <c r="J27" s="123">
        <f>IF(LEFT(G27,1)=" "," n/a",IF(G27&lt;5,100000*VLOOKUP(G27,'Hide - Calculation'!AQ:AS,3,FALSE)/$E$8,100000*((G27+1)*(1-1/(9*(G27+1))+1.96/(3*SQRT(G27+1)))^3)/$E$8))</f>
        <v>903.6474757541944</v>
      </c>
      <c r="K27" s="122">
        <f>IF('Hide - Calculation'!N21="","",'Hide - Calculation'!N21)</f>
        <v>495.4590496277239</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943.9359130859375</v>
      </c>
      <c r="AB27" s="234" t="s">
        <v>26</v>
      </c>
      <c r="AC27" s="131" t="s">
        <v>577</v>
      </c>
    </row>
    <row r="28" spans="2:29" s="63" customFormat="1" ht="33.75" customHeight="1">
      <c r="B28" s="306"/>
      <c r="C28" s="137">
        <v>16</v>
      </c>
      <c r="D28" s="147" t="s">
        <v>535</v>
      </c>
      <c r="E28" s="85"/>
      <c r="F28" s="85"/>
      <c r="G28" s="121">
        <f>IF(VLOOKUP('Hide - Control'!A$3,'All practice data'!A:CA,C28+4,FALSE)=" "," ",VLOOKUP('Hide - Control'!A$3,'All practice data'!A:CA,C28+4,FALSE))</f>
        <v>17</v>
      </c>
      <c r="H28" s="122">
        <f>IF(VLOOKUP('Hide - Control'!A$3,'All practice data'!A:CA,C28+30,FALSE)=" "," ",VLOOKUP('Hide - Control'!A$3,'All practice data'!A:CA,C28+30,FALSE))</f>
        <v>403.2258064516129</v>
      </c>
      <c r="I28" s="123">
        <f>IF(LEFT(G28,1)=" "," n/a",IF(G28&lt;5,100000*VLOOKUP(G28,'Hide - Calculation'!AQ:AR,2,FALSE)/$E$8,100000*(G28*(1-1/(9*G28)-1.96/(3*SQRT(G28)))^3)/$E$8))</f>
        <v>234.75743767022544</v>
      </c>
      <c r="J28" s="123">
        <f>IF(LEFT(G28,1)=" "," n/a",IF(G28&lt;5,100000*VLOOKUP(G28,'Hide - Calculation'!AQ:AS,3,FALSE)/$E$8,100000*((G28+1)*(1-1/(9*(G28+1))+1.96/(3*SQRT(G28+1)))^3)/$E$8))</f>
        <v>645.6430435866913</v>
      </c>
      <c r="K28" s="122">
        <f>IF('Hide - Calculation'!N22="","",'Hide - Calculation'!N22)</f>
        <v>416.49729283253225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1176.819580078125</v>
      </c>
      <c r="AB28" s="234" t="s">
        <v>26</v>
      </c>
      <c r="AC28" s="131" t="s">
        <v>577</v>
      </c>
    </row>
    <row r="29" spans="2:29" s="63" customFormat="1" ht="33.75" customHeight="1">
      <c r="B29" s="306"/>
      <c r="C29" s="137">
        <v>17</v>
      </c>
      <c r="D29" s="147" t="s">
        <v>536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100.91000827280249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492.880615234375</v>
      </c>
      <c r="AB29" s="234" t="s">
        <v>26</v>
      </c>
      <c r="AC29" s="131" t="s">
        <v>577</v>
      </c>
    </row>
    <row r="30" spans="2:29" s="63" customFormat="1" ht="33.75" customHeight="1" thickBot="1">
      <c r="B30" s="309"/>
      <c r="C30" s="180">
        <v>18</v>
      </c>
      <c r="D30" s="181" t="s">
        <v>537</v>
      </c>
      <c r="E30" s="182"/>
      <c r="F30" s="182"/>
      <c r="G30" s="183">
        <f>IF(VLOOKUP('Hide - Control'!A$3,'All practice data'!A:CA,C30+4,FALSE)=" "," ",VLOOKUP('Hide - Control'!A$3,'All practice data'!A:CA,C30+4,FALSE))</f>
        <v>26</v>
      </c>
      <c r="H30" s="184">
        <f>IF(VLOOKUP('Hide - Control'!A$3,'All practice data'!A:CA,C30+30,FALSE)=" "," ",VLOOKUP('Hide - Control'!A$3,'All practice data'!A:CA,C30+30,FALSE))</f>
        <v>616.6982922201139</v>
      </c>
      <c r="I30" s="185">
        <f>IF(LEFT(G30,1)=" "," n/a",IF(G30&lt;5,100000*VLOOKUP(G30,'Hide - Calculation'!AQ:AR,2,FALSE)/$E$8,100000*(G30*(1-1/(9*G30)-1.96/(3*SQRT(G30)))^3)/$E$8))</f>
        <v>402.742352280123</v>
      </c>
      <c r="J30" s="185">
        <f>IF(LEFT(G30,1)=" "," n/a",IF(G30&lt;5,100000*VLOOKUP(G30,'Hide - Calculation'!AQ:AS,3,FALSE)/$E$8,100000*((G30+1)*(1-1/(9*(G30+1))+1.96/(3*SQRT(G30+1)))^3)/$E$8))</f>
        <v>903.6474757541944</v>
      </c>
      <c r="K30" s="184">
        <f>IF('Hide - Calculation'!N24="","",'Hide - Calculation'!N24)</f>
        <v>503.51107087986514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1616.2310791015625</v>
      </c>
      <c r="AB30" s="235" t="s">
        <v>26</v>
      </c>
      <c r="AC30" s="189" t="s">
        <v>577</v>
      </c>
    </row>
    <row r="31" spans="2:29" s="63" customFormat="1" ht="33.75" customHeight="1">
      <c r="B31" s="304" t="s">
        <v>405</v>
      </c>
      <c r="C31" s="163">
        <v>19</v>
      </c>
      <c r="D31" s="164" t="s">
        <v>409</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159.74171193764099</v>
      </c>
      <c r="L31" s="169">
        <f>'Hide - Calculation'!O25</f>
        <v>562.6134400960308</v>
      </c>
      <c r="M31" s="170">
        <f>IF(ISBLANK('Hide - Calculation'!K25),"",'Hide - Calculation'!U25)</f>
        <v>49.17802429199219</v>
      </c>
      <c r="N31" s="171"/>
      <c r="O31" s="172"/>
      <c r="P31" s="172"/>
      <c r="Q31" s="172"/>
      <c r="R31" s="173"/>
      <c r="S31" s="173"/>
      <c r="T31" s="173"/>
      <c r="U31" s="173"/>
      <c r="V31" s="173"/>
      <c r="W31" s="173"/>
      <c r="X31" s="173"/>
      <c r="Y31" s="173"/>
      <c r="Z31" s="174"/>
      <c r="AA31" s="170">
        <f>IF(ISBLANK('Hide - Calculation'!K25),"",'Hide - Calculation'!T25)</f>
        <v>949.0509643554688</v>
      </c>
      <c r="AB31" s="233" t="s">
        <v>47</v>
      </c>
      <c r="AC31" s="175" t="s">
        <v>577</v>
      </c>
    </row>
    <row r="32" spans="2:29" s="63" customFormat="1" ht="33.75" customHeight="1">
      <c r="B32" s="305"/>
      <c r="C32" s="137">
        <v>20</v>
      </c>
      <c r="D32" s="132" t="s">
        <v>410</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114.93610980879048</v>
      </c>
      <c r="L32" s="156">
        <f>'Hide - Calculation'!O26</f>
        <v>405.57105879375996</v>
      </c>
      <c r="M32" s="148">
        <f>IF(ISBLANK('Hide - Calculation'!K26),"",'Hide - Calculation'!U26)</f>
        <v>43.299415588378906</v>
      </c>
      <c r="N32" s="86"/>
      <c r="O32" s="87"/>
      <c r="P32" s="87"/>
      <c r="Q32" s="87"/>
      <c r="R32" s="84"/>
      <c r="S32" s="84"/>
      <c r="T32" s="84"/>
      <c r="U32" s="84"/>
      <c r="V32" s="84"/>
      <c r="W32" s="84"/>
      <c r="X32" s="84"/>
      <c r="Y32" s="84"/>
      <c r="Z32" s="88"/>
      <c r="AA32" s="148">
        <f>IF(ISBLANK('Hide - Calculation'!K26),"",'Hide - Calculation'!T26)</f>
        <v>479.6814270019531</v>
      </c>
      <c r="AB32" s="234" t="s">
        <v>47</v>
      </c>
      <c r="AC32" s="131" t="s">
        <v>577</v>
      </c>
    </row>
    <row r="33" spans="2:29" s="63" customFormat="1" ht="33.75" customHeight="1">
      <c r="B33" s="305"/>
      <c r="C33" s="137">
        <v>21</v>
      </c>
      <c r="D33" s="132" t="s">
        <v>412</v>
      </c>
      <c r="E33" s="85"/>
      <c r="F33" s="85"/>
      <c r="G33" s="121">
        <f>IF(VLOOKUP('Hide - Control'!A$3,'All practice data'!A:CA,C33+4,FALSE)=" "," ",VLOOKUP('Hide - Control'!A$3,'All practice data'!A:CA,C33+4,FALSE))</f>
        <v>8</v>
      </c>
      <c r="H33" s="122">
        <f>IF(VLOOKUP('Hide - Control'!A$3,'All practice data'!A:CA,C33+30,FALSE)=" "," ",VLOOKUP('Hide - Control'!A$3,'All practice data'!A:CA,C33+30,FALSE))</f>
        <v>189.75332068311195</v>
      </c>
      <c r="I33" s="123">
        <f>IF(LEFT(G33,1)=" "," n/a",IF(G33&lt;5,100000*VLOOKUP(G33,'Hide - Calculation'!AQ:AR,2,FALSE)/$E$8,100000*(G33*(1-1/(9*G33)-1.96/(3*SQRT(G33)))^3)/$E$8))</f>
        <v>81.70380843595147</v>
      </c>
      <c r="J33" s="123">
        <f>IF(LEFT(G33,1)=" "," n/a",IF(G33&lt;5,100000*VLOOKUP(G33,'Hide - Calculation'!AQ:AS,3,FALSE)/$E$8,100000*((G33+1)*(1-1/(9*(G33+1))+1.96/(3*SQRT(G33+1)))^3)/$E$8))</f>
        <v>373.91265398437474</v>
      </c>
      <c r="K33" s="122">
        <f>IF('Hide - Calculation'!N27="","",'Hide - Calculation'!N27)</f>
        <v>360.2630153780619</v>
      </c>
      <c r="L33" s="156">
        <f>'Hide - Calculation'!O27</f>
        <v>1059.3522061277838</v>
      </c>
      <c r="M33" s="148">
        <f>IF(ISBLANK('Hide - Calculation'!K27),"",'Hide - Calculation'!U27)</f>
        <v>94.51795959472656</v>
      </c>
      <c r="N33" s="86"/>
      <c r="O33" s="87"/>
      <c r="P33" s="87"/>
      <c r="Q33" s="87"/>
      <c r="R33" s="84"/>
      <c r="S33" s="84"/>
      <c r="T33" s="84"/>
      <c r="U33" s="84"/>
      <c r="V33" s="84"/>
      <c r="W33" s="84"/>
      <c r="X33" s="84"/>
      <c r="Y33" s="84"/>
      <c r="Z33" s="88"/>
      <c r="AA33" s="148">
        <f>IF(ISBLANK('Hide - Calculation'!K27),"",'Hide - Calculation'!T27)</f>
        <v>1174.089111328125</v>
      </c>
      <c r="AB33" s="234" t="s">
        <v>47</v>
      </c>
      <c r="AC33" s="131" t="s">
        <v>577</v>
      </c>
    </row>
    <row r="34" spans="2:29" s="63" customFormat="1" ht="33.75" customHeight="1">
      <c r="B34" s="305"/>
      <c r="C34" s="137">
        <v>22</v>
      </c>
      <c r="D34" s="132" t="s">
        <v>411</v>
      </c>
      <c r="E34" s="85"/>
      <c r="F34" s="85"/>
      <c r="G34" s="118">
        <f>IF(VLOOKUP('Hide - Control'!A$3,'All practice data'!A:CA,C34+4,FALSE)=" "," ",VLOOKUP('Hide - Control'!A$3,'All practice data'!A:CA,C34+4,FALSE))</f>
        <v>37</v>
      </c>
      <c r="H34" s="122">
        <f>IF(VLOOKUP('Hide - Control'!A$3,'All practice data'!A:CA,C34+30,FALSE)=" "," ",VLOOKUP('Hide - Control'!A$3,'All practice data'!A:CA,C34+30,FALSE))</f>
        <v>877.6091081593928</v>
      </c>
      <c r="I34" s="123">
        <f>IF(LEFT(G34,1)=" "," n/a",IF(G34&lt;5,100000*VLOOKUP(G34,'Hide - Calculation'!AQ:AR,2,FALSE)/$E$8,100000*(G34*(1-1/(9*G34)-1.96/(3*SQRT(G34)))^3)/$E$8))</f>
        <v>617.8318582990123</v>
      </c>
      <c r="J34" s="123">
        <f>IF(LEFT(G34,1)=" "," n/a",IF(G34&lt;5,100000*VLOOKUP(G34,'Hide - Calculation'!AQ:AS,3,FALSE)/$E$8,100000*((G34+1)*(1-1/(9*(G34+1))+1.96/(3*SQRT(G34+1)))^3)/$E$8))</f>
        <v>1209.709836977965</v>
      </c>
      <c r="K34" s="122">
        <f>IF('Hide - Calculation'!N28="","",'Hide - Calculation'!N28)</f>
        <v>567.4077556549215</v>
      </c>
      <c r="L34" s="156">
        <f>'Hide - Calculation'!O28</f>
        <v>582.9390489900089</v>
      </c>
      <c r="M34" s="148">
        <f>IF(ISBLANK('Hide - Calculation'!K28),"",'Hide - Calculation'!U28)</f>
        <v>58.16489791870117</v>
      </c>
      <c r="N34" s="86"/>
      <c r="O34" s="87"/>
      <c r="P34" s="87"/>
      <c r="Q34" s="87"/>
      <c r="R34" s="84"/>
      <c r="S34" s="84"/>
      <c r="T34" s="84"/>
      <c r="U34" s="84"/>
      <c r="V34" s="84"/>
      <c r="W34" s="84"/>
      <c r="X34" s="84"/>
      <c r="Y34" s="84"/>
      <c r="Z34" s="88"/>
      <c r="AA34" s="148">
        <f>IF(ISBLANK('Hide - Calculation'!K28),"",'Hide - Calculation'!T28)</f>
        <v>1162.147216796875</v>
      </c>
      <c r="AB34" s="234" t="s">
        <v>47</v>
      </c>
      <c r="AC34" s="131" t="s">
        <v>577</v>
      </c>
    </row>
    <row r="35" spans="2:29" s="63" customFormat="1" ht="33.75" customHeight="1">
      <c r="B35" s="305"/>
      <c r="C35" s="137">
        <v>23</v>
      </c>
      <c r="D35" s="138" t="s">
        <v>538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397</v>
      </c>
      <c r="AC35" s="131">
        <v>2008</v>
      </c>
    </row>
    <row r="36" spans="2:29" ht="33.75" customHeight="1">
      <c r="B36" s="306"/>
      <c r="C36" s="137">
        <v>24</v>
      </c>
      <c r="D36" s="224" t="s">
        <v>539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397</v>
      </c>
      <c r="AC36" s="131">
        <v>2008</v>
      </c>
    </row>
    <row r="37" spans="2:29" ht="33.75" customHeight="1" thickBot="1">
      <c r="B37" s="307"/>
      <c r="C37" s="176">
        <v>25</v>
      </c>
      <c r="D37" s="177" t="s">
        <v>413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397</v>
      </c>
      <c r="AC37" s="149">
        <v>2008</v>
      </c>
    </row>
    <row r="38" spans="2:29" ht="16.5" customHeight="1">
      <c r="B38" s="69"/>
      <c r="C38" s="69"/>
      <c r="D38" s="65" t="s">
        <v>395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692</v>
      </c>
      <c r="C39" s="244"/>
      <c r="D39" s="244"/>
      <c r="E39" s="303" t="s">
        <v>696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563</v>
      </c>
      <c r="BE2" s="341"/>
      <c r="BF2" s="341"/>
      <c r="BG2" s="341"/>
      <c r="BH2" s="341"/>
      <c r="BI2" s="341"/>
      <c r="BJ2" s="342"/>
    </row>
    <row r="3" spans="1:82" s="72" customFormat="1" ht="76.5" customHeight="1">
      <c r="A3" s="266" t="s">
        <v>276</v>
      </c>
      <c r="B3" s="275" t="s">
        <v>277</v>
      </c>
      <c r="C3" s="276" t="s">
        <v>49</v>
      </c>
      <c r="D3" s="274" t="s">
        <v>548</v>
      </c>
      <c r="E3" s="267" t="s">
        <v>420</v>
      </c>
      <c r="F3" s="267" t="s">
        <v>531</v>
      </c>
      <c r="G3" s="267" t="s">
        <v>422</v>
      </c>
      <c r="H3" s="267" t="s">
        <v>423</v>
      </c>
      <c r="I3" s="267" t="s">
        <v>424</v>
      </c>
      <c r="J3" s="267" t="s">
        <v>572</v>
      </c>
      <c r="K3" s="267" t="s">
        <v>573</v>
      </c>
      <c r="L3" s="267" t="s">
        <v>574</v>
      </c>
      <c r="M3" s="267" t="s">
        <v>425</v>
      </c>
      <c r="N3" s="267" t="s">
        <v>426</v>
      </c>
      <c r="O3" s="267" t="s">
        <v>427</v>
      </c>
      <c r="P3" s="267" t="s">
        <v>562</v>
      </c>
      <c r="Q3" s="267" t="s">
        <v>428</v>
      </c>
      <c r="R3" s="267" t="s">
        <v>429</v>
      </c>
      <c r="S3" s="267" t="s">
        <v>430</v>
      </c>
      <c r="T3" s="267" t="s">
        <v>431</v>
      </c>
      <c r="U3" s="267" t="s">
        <v>432</v>
      </c>
      <c r="V3" s="267" t="s">
        <v>433</v>
      </c>
      <c r="W3" s="267" t="s">
        <v>434</v>
      </c>
      <c r="X3" s="267" t="s">
        <v>435</v>
      </c>
      <c r="Y3" s="267" t="s">
        <v>436</v>
      </c>
      <c r="Z3" s="267" t="s">
        <v>437</v>
      </c>
      <c r="AA3" s="267" t="s">
        <v>438</v>
      </c>
      <c r="AB3" s="267" t="s">
        <v>439</v>
      </c>
      <c r="AC3" s="267" t="s">
        <v>440</v>
      </c>
      <c r="AD3" s="268" t="s">
        <v>441</v>
      </c>
      <c r="AE3" s="268" t="s">
        <v>420</v>
      </c>
      <c r="AF3" s="269" t="s">
        <v>421</v>
      </c>
      <c r="AG3" s="268" t="s">
        <v>422</v>
      </c>
      <c r="AH3" s="268" t="s">
        <v>423</v>
      </c>
      <c r="AI3" s="268" t="s">
        <v>424</v>
      </c>
      <c r="AJ3" s="268" t="s">
        <v>572</v>
      </c>
      <c r="AK3" s="268" t="s">
        <v>573</v>
      </c>
      <c r="AL3" s="268" t="s">
        <v>574</v>
      </c>
      <c r="AM3" s="268" t="s">
        <v>425</v>
      </c>
      <c r="AN3" s="268" t="s">
        <v>426</v>
      </c>
      <c r="AO3" s="268" t="s">
        <v>427</v>
      </c>
      <c r="AP3" s="268" t="s">
        <v>562</v>
      </c>
      <c r="AQ3" s="268" t="s">
        <v>428</v>
      </c>
      <c r="AR3" s="268" t="s">
        <v>429</v>
      </c>
      <c r="AS3" s="268" t="s">
        <v>430</v>
      </c>
      <c r="AT3" s="268" t="s">
        <v>431</v>
      </c>
      <c r="AU3" s="268" t="s">
        <v>432</v>
      </c>
      <c r="AV3" s="268" t="s">
        <v>433</v>
      </c>
      <c r="AW3" s="268" t="s">
        <v>434</v>
      </c>
      <c r="AX3" s="268" t="s">
        <v>435</v>
      </c>
      <c r="AY3" s="270" t="s">
        <v>436</v>
      </c>
      <c r="AZ3" s="271" t="s">
        <v>437</v>
      </c>
      <c r="BA3" s="271" t="s">
        <v>438</v>
      </c>
      <c r="BB3" s="271" t="s">
        <v>439</v>
      </c>
      <c r="BC3" s="272" t="s">
        <v>440</v>
      </c>
      <c r="BD3" s="273" t="s">
        <v>560</v>
      </c>
      <c r="BE3" s="273" t="s">
        <v>561</v>
      </c>
      <c r="BF3" s="273" t="s">
        <v>568</v>
      </c>
      <c r="BG3" s="273" t="s">
        <v>569</v>
      </c>
      <c r="BH3" s="273" t="s">
        <v>567</v>
      </c>
      <c r="BI3" s="273" t="s">
        <v>570</v>
      </c>
      <c r="BJ3" s="273" t="s">
        <v>571</v>
      </c>
      <c r="BK3" s="73"/>
      <c r="BL3" s="73"/>
      <c r="BM3" s="73"/>
      <c r="BN3" s="73"/>
      <c r="BO3" s="73"/>
      <c r="BP3" s="73"/>
      <c r="BQ3" s="73"/>
      <c r="BR3" s="73"/>
      <c r="BS3" s="73"/>
      <c r="BT3" s="73"/>
      <c r="BU3" s="73"/>
      <c r="BV3" s="73"/>
      <c r="BW3" s="73"/>
      <c r="BX3" s="73"/>
      <c r="BY3" s="73"/>
      <c r="BZ3" s="73"/>
      <c r="CA3" s="73"/>
      <c r="CB3" s="73"/>
      <c r="CC3" s="73"/>
      <c r="CD3" s="73"/>
    </row>
    <row r="4" spans="1:66" ht="12.75">
      <c r="A4" s="79" t="s">
        <v>630</v>
      </c>
      <c r="B4" s="79" t="s">
        <v>334</v>
      </c>
      <c r="C4" s="79" t="s">
        <v>255</v>
      </c>
      <c r="D4" s="99">
        <v>4216</v>
      </c>
      <c r="E4" s="99">
        <v>833</v>
      </c>
      <c r="F4" s="99" t="s">
        <v>417</v>
      </c>
      <c r="G4" s="99">
        <v>16</v>
      </c>
      <c r="H4" s="99" t="s">
        <v>695</v>
      </c>
      <c r="I4" s="99">
        <v>92</v>
      </c>
      <c r="J4" s="99">
        <v>512</v>
      </c>
      <c r="K4" s="99">
        <v>8</v>
      </c>
      <c r="L4" s="99">
        <v>767</v>
      </c>
      <c r="M4" s="99">
        <v>315</v>
      </c>
      <c r="N4" s="99">
        <v>158</v>
      </c>
      <c r="O4" s="99">
        <v>119</v>
      </c>
      <c r="P4" s="159">
        <v>119</v>
      </c>
      <c r="Q4" s="99">
        <v>13</v>
      </c>
      <c r="R4" s="99">
        <v>23</v>
      </c>
      <c r="S4" s="99">
        <v>26</v>
      </c>
      <c r="T4" s="99">
        <v>17</v>
      </c>
      <c r="U4" s="99" t="s">
        <v>695</v>
      </c>
      <c r="V4" s="99">
        <v>26</v>
      </c>
      <c r="W4" s="99" t="s">
        <v>695</v>
      </c>
      <c r="X4" s="99" t="s">
        <v>695</v>
      </c>
      <c r="Y4" s="99">
        <v>8</v>
      </c>
      <c r="Z4" s="99">
        <v>37</v>
      </c>
      <c r="AA4" s="99" t="s">
        <v>695</v>
      </c>
      <c r="AB4" s="99" t="s">
        <v>695</v>
      </c>
      <c r="AC4" s="99" t="s">
        <v>695</v>
      </c>
      <c r="AD4" s="98" t="s">
        <v>395</v>
      </c>
      <c r="AE4" s="100">
        <v>0.1975806451612903</v>
      </c>
      <c r="AF4" s="100">
        <v>0.12</v>
      </c>
      <c r="AG4" s="98">
        <v>379.5066413662239</v>
      </c>
      <c r="AH4" s="98" t="s">
        <v>695</v>
      </c>
      <c r="AI4" s="100">
        <v>0.022000000000000002</v>
      </c>
      <c r="AJ4" s="100">
        <v>0.793798</v>
      </c>
      <c r="AK4" s="100">
        <v>0.444444</v>
      </c>
      <c r="AL4" s="100">
        <v>0.768537</v>
      </c>
      <c r="AM4" s="100">
        <v>0.518946</v>
      </c>
      <c r="AN4" s="100">
        <v>0.523179</v>
      </c>
      <c r="AO4" s="98">
        <v>2822.5806451612902</v>
      </c>
      <c r="AP4" s="158">
        <v>1.3408612059999998</v>
      </c>
      <c r="AQ4" s="100">
        <v>0.1092436974789916</v>
      </c>
      <c r="AR4" s="100">
        <v>0.5652173913043478</v>
      </c>
      <c r="AS4" s="98">
        <v>616.6982922201139</v>
      </c>
      <c r="AT4" s="98">
        <v>403.2258064516129</v>
      </c>
      <c r="AU4" s="98" t="s">
        <v>695</v>
      </c>
      <c r="AV4" s="98">
        <v>616.6982922201139</v>
      </c>
      <c r="AW4" s="98" t="s">
        <v>695</v>
      </c>
      <c r="AX4" s="98" t="s">
        <v>695</v>
      </c>
      <c r="AY4" s="98">
        <v>189.75332068311195</v>
      </c>
      <c r="AZ4" s="98">
        <v>877.6091081593928</v>
      </c>
      <c r="BA4" s="100" t="s">
        <v>695</v>
      </c>
      <c r="BB4" s="100" t="s">
        <v>695</v>
      </c>
      <c r="BC4" s="100" t="s">
        <v>695</v>
      </c>
      <c r="BD4" s="158">
        <v>1.1107923130000001</v>
      </c>
      <c r="BE4" s="158">
        <v>1.6045404049999998</v>
      </c>
      <c r="BF4" s="162">
        <v>645</v>
      </c>
      <c r="BG4" s="162">
        <v>18</v>
      </c>
      <c r="BH4" s="162">
        <v>998</v>
      </c>
      <c r="BI4" s="162">
        <v>607</v>
      </c>
      <c r="BJ4" s="162">
        <v>302</v>
      </c>
      <c r="BK4" s="97"/>
      <c r="BL4" s="97"/>
      <c r="BM4" s="97"/>
      <c r="BN4" s="97"/>
    </row>
    <row r="5" spans="1:66" ht="12.75">
      <c r="A5" s="79" t="s">
        <v>681</v>
      </c>
      <c r="B5" s="79" t="s">
        <v>387</v>
      </c>
      <c r="C5" s="79" t="s">
        <v>255</v>
      </c>
      <c r="D5" s="99">
        <v>1569</v>
      </c>
      <c r="E5" s="99">
        <v>445</v>
      </c>
      <c r="F5" s="99" t="s">
        <v>418</v>
      </c>
      <c r="G5" s="99">
        <v>14</v>
      </c>
      <c r="H5" s="99" t="s">
        <v>695</v>
      </c>
      <c r="I5" s="99">
        <v>29</v>
      </c>
      <c r="J5" s="99">
        <v>221</v>
      </c>
      <c r="K5" s="99">
        <v>217</v>
      </c>
      <c r="L5" s="99">
        <v>258</v>
      </c>
      <c r="M5" s="99">
        <v>145</v>
      </c>
      <c r="N5" s="99">
        <v>68</v>
      </c>
      <c r="O5" s="99">
        <v>46</v>
      </c>
      <c r="P5" s="159">
        <v>46</v>
      </c>
      <c r="Q5" s="99" t="s">
        <v>695</v>
      </c>
      <c r="R5" s="99">
        <v>10</v>
      </c>
      <c r="S5" s="99" t="s">
        <v>695</v>
      </c>
      <c r="T5" s="99">
        <v>10</v>
      </c>
      <c r="U5" s="99" t="s">
        <v>695</v>
      </c>
      <c r="V5" s="99">
        <v>8</v>
      </c>
      <c r="W5" s="99" t="s">
        <v>695</v>
      </c>
      <c r="X5" s="99" t="s">
        <v>695</v>
      </c>
      <c r="Y5" s="99">
        <v>8</v>
      </c>
      <c r="Z5" s="99">
        <v>9</v>
      </c>
      <c r="AA5" s="99" t="s">
        <v>695</v>
      </c>
      <c r="AB5" s="99" t="s">
        <v>695</v>
      </c>
      <c r="AC5" s="99" t="s">
        <v>695</v>
      </c>
      <c r="AD5" s="98" t="s">
        <v>395</v>
      </c>
      <c r="AE5" s="100">
        <v>0.2836201402166985</v>
      </c>
      <c r="AF5" s="100">
        <v>0.13</v>
      </c>
      <c r="AG5" s="98">
        <v>892.2880815806246</v>
      </c>
      <c r="AH5" s="98" t="s">
        <v>695</v>
      </c>
      <c r="AI5" s="100">
        <v>0.018000000000000002</v>
      </c>
      <c r="AJ5" s="100">
        <v>0.800725</v>
      </c>
      <c r="AK5" s="100">
        <v>0.803704</v>
      </c>
      <c r="AL5" s="100">
        <v>0.848684</v>
      </c>
      <c r="AM5" s="100">
        <v>0.537037</v>
      </c>
      <c r="AN5" s="100">
        <v>0.557377</v>
      </c>
      <c r="AO5" s="98">
        <v>2931.8036966220525</v>
      </c>
      <c r="AP5" s="158">
        <v>1.196520309</v>
      </c>
      <c r="AQ5" s="100" t="s">
        <v>695</v>
      </c>
      <c r="AR5" s="100" t="s">
        <v>695</v>
      </c>
      <c r="AS5" s="98" t="s">
        <v>695</v>
      </c>
      <c r="AT5" s="98">
        <v>637.3486297004462</v>
      </c>
      <c r="AU5" s="98" t="s">
        <v>695</v>
      </c>
      <c r="AV5" s="98">
        <v>509.87890376035693</v>
      </c>
      <c r="AW5" s="98" t="s">
        <v>695</v>
      </c>
      <c r="AX5" s="98" t="s">
        <v>695</v>
      </c>
      <c r="AY5" s="98">
        <v>509.87890376035693</v>
      </c>
      <c r="AZ5" s="98">
        <v>573.6137667304015</v>
      </c>
      <c r="BA5" s="101" t="s">
        <v>695</v>
      </c>
      <c r="BB5" s="101" t="s">
        <v>695</v>
      </c>
      <c r="BC5" s="101" t="s">
        <v>695</v>
      </c>
      <c r="BD5" s="158">
        <v>0.8760032654</v>
      </c>
      <c r="BE5" s="158">
        <v>1.595990448</v>
      </c>
      <c r="BF5" s="162">
        <v>276</v>
      </c>
      <c r="BG5" s="162">
        <v>270</v>
      </c>
      <c r="BH5" s="162">
        <v>304</v>
      </c>
      <c r="BI5" s="162">
        <v>270</v>
      </c>
      <c r="BJ5" s="162">
        <v>122</v>
      </c>
      <c r="BK5" s="97"/>
      <c r="BL5" s="97"/>
      <c r="BM5" s="97"/>
      <c r="BN5" s="97"/>
    </row>
    <row r="6" spans="1:66" ht="12.75">
      <c r="A6" s="79" t="s">
        <v>626</v>
      </c>
      <c r="B6" s="79" t="s">
        <v>330</v>
      </c>
      <c r="C6" s="79" t="s">
        <v>255</v>
      </c>
      <c r="D6" s="99">
        <v>5252</v>
      </c>
      <c r="E6" s="99">
        <v>1178</v>
      </c>
      <c r="F6" s="99" t="s">
        <v>417</v>
      </c>
      <c r="G6" s="99">
        <v>39</v>
      </c>
      <c r="H6" s="99">
        <v>21</v>
      </c>
      <c r="I6" s="99">
        <v>127</v>
      </c>
      <c r="J6" s="99">
        <v>637</v>
      </c>
      <c r="K6" s="99">
        <v>305</v>
      </c>
      <c r="L6" s="99">
        <v>944</v>
      </c>
      <c r="M6" s="99">
        <v>446</v>
      </c>
      <c r="N6" s="99">
        <v>217</v>
      </c>
      <c r="O6" s="99">
        <v>213</v>
      </c>
      <c r="P6" s="159">
        <v>213</v>
      </c>
      <c r="Q6" s="99">
        <v>17</v>
      </c>
      <c r="R6" s="99">
        <v>39</v>
      </c>
      <c r="S6" s="99">
        <v>13</v>
      </c>
      <c r="T6" s="99">
        <v>61</v>
      </c>
      <c r="U6" s="99" t="s">
        <v>695</v>
      </c>
      <c r="V6" s="99">
        <v>45</v>
      </c>
      <c r="W6" s="99" t="s">
        <v>695</v>
      </c>
      <c r="X6" s="99" t="s">
        <v>695</v>
      </c>
      <c r="Y6" s="99">
        <v>10</v>
      </c>
      <c r="Z6" s="99">
        <v>32</v>
      </c>
      <c r="AA6" s="99" t="s">
        <v>695</v>
      </c>
      <c r="AB6" s="99" t="s">
        <v>695</v>
      </c>
      <c r="AC6" s="99" t="s">
        <v>695</v>
      </c>
      <c r="AD6" s="98" t="s">
        <v>395</v>
      </c>
      <c r="AE6" s="100">
        <v>0.2242955064737243</v>
      </c>
      <c r="AF6" s="100">
        <v>0.1</v>
      </c>
      <c r="AG6" s="98">
        <v>742.5742574257425</v>
      </c>
      <c r="AH6" s="98">
        <v>399.8476770753999</v>
      </c>
      <c r="AI6" s="100">
        <v>0.024</v>
      </c>
      <c r="AJ6" s="100">
        <v>0.820876</v>
      </c>
      <c r="AK6" s="100">
        <v>0.742092</v>
      </c>
      <c r="AL6" s="100">
        <v>0.818024</v>
      </c>
      <c r="AM6" s="100">
        <v>0.531585</v>
      </c>
      <c r="AN6" s="100">
        <v>0.541147</v>
      </c>
      <c r="AO6" s="98">
        <v>4055.597867479056</v>
      </c>
      <c r="AP6" s="158">
        <v>1.86581665</v>
      </c>
      <c r="AQ6" s="100">
        <v>0.07981220657276995</v>
      </c>
      <c r="AR6" s="100">
        <v>0.4358974358974359</v>
      </c>
      <c r="AS6" s="98">
        <v>247.52475247524754</v>
      </c>
      <c r="AT6" s="98">
        <v>1161.4623000761615</v>
      </c>
      <c r="AU6" s="98" t="s">
        <v>695</v>
      </c>
      <c r="AV6" s="98">
        <v>856.8164508758568</v>
      </c>
      <c r="AW6" s="98" t="s">
        <v>695</v>
      </c>
      <c r="AX6" s="98" t="s">
        <v>695</v>
      </c>
      <c r="AY6" s="98">
        <v>190.4036557501904</v>
      </c>
      <c r="AZ6" s="98">
        <v>609.2916984006093</v>
      </c>
      <c r="BA6" s="100" t="s">
        <v>695</v>
      </c>
      <c r="BB6" s="100" t="s">
        <v>695</v>
      </c>
      <c r="BC6" s="100" t="s">
        <v>695</v>
      </c>
      <c r="BD6" s="158">
        <v>1.6236448669999999</v>
      </c>
      <c r="BE6" s="158">
        <v>2.13392395</v>
      </c>
      <c r="BF6" s="162">
        <v>776</v>
      </c>
      <c r="BG6" s="162">
        <v>411</v>
      </c>
      <c r="BH6" s="162">
        <v>1154</v>
      </c>
      <c r="BI6" s="162">
        <v>839</v>
      </c>
      <c r="BJ6" s="162">
        <v>401</v>
      </c>
      <c r="BK6" s="97"/>
      <c r="BL6" s="97"/>
      <c r="BM6" s="97"/>
      <c r="BN6" s="97"/>
    </row>
    <row r="7" spans="1:66" ht="12.75">
      <c r="A7" s="79" t="s">
        <v>640</v>
      </c>
      <c r="B7" s="79" t="s">
        <v>344</v>
      </c>
      <c r="C7" s="79" t="s">
        <v>255</v>
      </c>
      <c r="D7" s="99">
        <v>6324</v>
      </c>
      <c r="E7" s="99">
        <v>1047</v>
      </c>
      <c r="F7" s="99" t="s">
        <v>418</v>
      </c>
      <c r="G7" s="99">
        <v>32</v>
      </c>
      <c r="H7" s="99">
        <v>14</v>
      </c>
      <c r="I7" s="99">
        <v>118</v>
      </c>
      <c r="J7" s="99">
        <v>580</v>
      </c>
      <c r="K7" s="99">
        <v>571</v>
      </c>
      <c r="L7" s="99">
        <v>1127</v>
      </c>
      <c r="M7" s="99">
        <v>345</v>
      </c>
      <c r="N7" s="99">
        <v>178</v>
      </c>
      <c r="O7" s="99">
        <v>84</v>
      </c>
      <c r="P7" s="159">
        <v>84</v>
      </c>
      <c r="Q7" s="99">
        <v>10</v>
      </c>
      <c r="R7" s="99">
        <v>28</v>
      </c>
      <c r="S7" s="99">
        <v>23</v>
      </c>
      <c r="T7" s="99">
        <v>12</v>
      </c>
      <c r="U7" s="99">
        <v>8</v>
      </c>
      <c r="V7" s="99">
        <v>13</v>
      </c>
      <c r="W7" s="99" t="s">
        <v>695</v>
      </c>
      <c r="X7" s="99" t="s">
        <v>695</v>
      </c>
      <c r="Y7" s="99">
        <v>10</v>
      </c>
      <c r="Z7" s="99">
        <v>28</v>
      </c>
      <c r="AA7" s="99" t="s">
        <v>695</v>
      </c>
      <c r="AB7" s="99" t="s">
        <v>695</v>
      </c>
      <c r="AC7" s="99" t="s">
        <v>695</v>
      </c>
      <c r="AD7" s="98" t="s">
        <v>395</v>
      </c>
      <c r="AE7" s="100">
        <v>0.16555977229601518</v>
      </c>
      <c r="AF7" s="100">
        <v>0.14</v>
      </c>
      <c r="AG7" s="98">
        <v>506.0088551549652</v>
      </c>
      <c r="AH7" s="98">
        <v>221.37887413029728</v>
      </c>
      <c r="AI7" s="100">
        <v>0.019</v>
      </c>
      <c r="AJ7" s="100">
        <v>0.764163</v>
      </c>
      <c r="AK7" s="100">
        <v>0.76235</v>
      </c>
      <c r="AL7" s="100">
        <v>0.789769</v>
      </c>
      <c r="AM7" s="100">
        <v>0.475207</v>
      </c>
      <c r="AN7" s="100">
        <v>0.507123</v>
      </c>
      <c r="AO7" s="98">
        <v>1328.2732447817837</v>
      </c>
      <c r="AP7" s="158">
        <v>0.7270366669</v>
      </c>
      <c r="AQ7" s="100">
        <v>0.11904761904761904</v>
      </c>
      <c r="AR7" s="100">
        <v>0.35714285714285715</v>
      </c>
      <c r="AS7" s="98">
        <v>363.69386464263124</v>
      </c>
      <c r="AT7" s="98">
        <v>189.75332068311195</v>
      </c>
      <c r="AU7" s="98">
        <v>126.5022137887413</v>
      </c>
      <c r="AV7" s="98">
        <v>205.5660974067046</v>
      </c>
      <c r="AW7" s="98" t="s">
        <v>695</v>
      </c>
      <c r="AX7" s="98" t="s">
        <v>695</v>
      </c>
      <c r="AY7" s="98">
        <v>158.12776723592663</v>
      </c>
      <c r="AZ7" s="98">
        <v>442.75774826059455</v>
      </c>
      <c r="BA7" s="100" t="s">
        <v>695</v>
      </c>
      <c r="BB7" s="100" t="s">
        <v>695</v>
      </c>
      <c r="BC7" s="100" t="s">
        <v>695</v>
      </c>
      <c r="BD7" s="158">
        <v>0.5799129105</v>
      </c>
      <c r="BE7" s="158">
        <v>0.9001208495999999</v>
      </c>
      <c r="BF7" s="162">
        <v>759</v>
      </c>
      <c r="BG7" s="162">
        <v>749</v>
      </c>
      <c r="BH7" s="162">
        <v>1427</v>
      </c>
      <c r="BI7" s="162">
        <v>726</v>
      </c>
      <c r="BJ7" s="162">
        <v>351</v>
      </c>
      <c r="BK7" s="97"/>
      <c r="BL7" s="97"/>
      <c r="BM7" s="97"/>
      <c r="BN7" s="97"/>
    </row>
    <row r="8" spans="1:66" ht="12.75">
      <c r="A8" s="79" t="s">
        <v>591</v>
      </c>
      <c r="B8" s="79" t="s">
        <v>294</v>
      </c>
      <c r="C8" s="79" t="s">
        <v>255</v>
      </c>
      <c r="D8" s="99">
        <v>12645</v>
      </c>
      <c r="E8" s="99">
        <v>2789</v>
      </c>
      <c r="F8" s="99" t="s">
        <v>418</v>
      </c>
      <c r="G8" s="99">
        <v>65</v>
      </c>
      <c r="H8" s="99">
        <v>45</v>
      </c>
      <c r="I8" s="99">
        <v>229</v>
      </c>
      <c r="J8" s="99">
        <v>1495</v>
      </c>
      <c r="K8" s="99">
        <v>1452</v>
      </c>
      <c r="L8" s="99">
        <v>2261</v>
      </c>
      <c r="M8" s="99">
        <v>1003</v>
      </c>
      <c r="N8" s="99">
        <v>524</v>
      </c>
      <c r="O8" s="99">
        <v>366</v>
      </c>
      <c r="P8" s="159">
        <v>366</v>
      </c>
      <c r="Q8" s="99">
        <v>48</v>
      </c>
      <c r="R8" s="99">
        <v>86</v>
      </c>
      <c r="S8" s="99">
        <v>44</v>
      </c>
      <c r="T8" s="99">
        <v>77</v>
      </c>
      <c r="U8" s="99">
        <v>17</v>
      </c>
      <c r="V8" s="99">
        <v>69</v>
      </c>
      <c r="W8" s="99">
        <v>9</v>
      </c>
      <c r="X8" s="99">
        <v>10</v>
      </c>
      <c r="Y8" s="99">
        <v>36</v>
      </c>
      <c r="Z8" s="99">
        <v>69</v>
      </c>
      <c r="AA8" s="99" t="s">
        <v>695</v>
      </c>
      <c r="AB8" s="99" t="s">
        <v>695</v>
      </c>
      <c r="AC8" s="99" t="s">
        <v>695</v>
      </c>
      <c r="AD8" s="98" t="s">
        <v>395</v>
      </c>
      <c r="AE8" s="100">
        <v>0.22056148675365758</v>
      </c>
      <c r="AF8" s="100">
        <v>0.13</v>
      </c>
      <c r="AG8" s="98">
        <v>514.0371688414393</v>
      </c>
      <c r="AH8" s="98">
        <v>355.87188612099646</v>
      </c>
      <c r="AI8" s="100">
        <v>0.018000000000000002</v>
      </c>
      <c r="AJ8" s="100">
        <v>0.82188</v>
      </c>
      <c r="AK8" s="100">
        <v>0.818489</v>
      </c>
      <c r="AL8" s="100">
        <v>0.78918</v>
      </c>
      <c r="AM8" s="100">
        <v>0.590695</v>
      </c>
      <c r="AN8" s="100">
        <v>0.63285</v>
      </c>
      <c r="AO8" s="98">
        <v>2894.4246737841045</v>
      </c>
      <c r="AP8" s="158">
        <v>1.347373657</v>
      </c>
      <c r="AQ8" s="100">
        <v>0.13114754098360656</v>
      </c>
      <c r="AR8" s="100">
        <v>0.5581395348837209</v>
      </c>
      <c r="AS8" s="98">
        <v>347.9636219849743</v>
      </c>
      <c r="AT8" s="98">
        <v>608.9363384737051</v>
      </c>
      <c r="AU8" s="98">
        <v>134.44049031237643</v>
      </c>
      <c r="AV8" s="98">
        <v>545.6702253855278</v>
      </c>
      <c r="AW8" s="98">
        <v>71.17437722419929</v>
      </c>
      <c r="AX8" s="98">
        <v>79.08264136022143</v>
      </c>
      <c r="AY8" s="98">
        <v>284.69750889679716</v>
      </c>
      <c r="AZ8" s="98">
        <v>545.6702253855278</v>
      </c>
      <c r="BA8" s="100" t="s">
        <v>695</v>
      </c>
      <c r="BB8" s="100" t="s">
        <v>695</v>
      </c>
      <c r="BC8" s="100" t="s">
        <v>695</v>
      </c>
      <c r="BD8" s="158">
        <v>1.212855835</v>
      </c>
      <c r="BE8" s="158">
        <v>1.492733612</v>
      </c>
      <c r="BF8" s="162">
        <v>1819</v>
      </c>
      <c r="BG8" s="162">
        <v>1774</v>
      </c>
      <c r="BH8" s="162">
        <v>2865</v>
      </c>
      <c r="BI8" s="162">
        <v>1698</v>
      </c>
      <c r="BJ8" s="162">
        <v>828</v>
      </c>
      <c r="BK8" s="97"/>
      <c r="BL8" s="97"/>
      <c r="BM8" s="97"/>
      <c r="BN8" s="97"/>
    </row>
    <row r="9" spans="1:66" ht="12.75">
      <c r="A9" s="79" t="s">
        <v>616</v>
      </c>
      <c r="B9" s="79" t="s">
        <v>320</v>
      </c>
      <c r="C9" s="79" t="s">
        <v>255</v>
      </c>
      <c r="D9" s="99">
        <v>14551</v>
      </c>
      <c r="E9" s="99">
        <v>2803</v>
      </c>
      <c r="F9" s="99" t="s">
        <v>416</v>
      </c>
      <c r="G9" s="99">
        <v>92</v>
      </c>
      <c r="H9" s="99">
        <v>46</v>
      </c>
      <c r="I9" s="99">
        <v>209</v>
      </c>
      <c r="J9" s="99">
        <v>1125</v>
      </c>
      <c r="K9" s="99">
        <v>63</v>
      </c>
      <c r="L9" s="99">
        <v>2292</v>
      </c>
      <c r="M9" s="99">
        <v>816</v>
      </c>
      <c r="N9" s="99">
        <v>405</v>
      </c>
      <c r="O9" s="99">
        <v>344</v>
      </c>
      <c r="P9" s="159">
        <v>344</v>
      </c>
      <c r="Q9" s="99">
        <v>40</v>
      </c>
      <c r="R9" s="99">
        <v>74</v>
      </c>
      <c r="S9" s="99">
        <v>71</v>
      </c>
      <c r="T9" s="99">
        <v>51</v>
      </c>
      <c r="U9" s="99">
        <v>14</v>
      </c>
      <c r="V9" s="99">
        <v>59</v>
      </c>
      <c r="W9" s="99">
        <v>12</v>
      </c>
      <c r="X9" s="99">
        <v>13</v>
      </c>
      <c r="Y9" s="99">
        <v>50</v>
      </c>
      <c r="Z9" s="99">
        <v>103</v>
      </c>
      <c r="AA9" s="99" t="s">
        <v>695</v>
      </c>
      <c r="AB9" s="99" t="s">
        <v>695</v>
      </c>
      <c r="AC9" s="99" t="s">
        <v>695</v>
      </c>
      <c r="AD9" s="98" t="s">
        <v>395</v>
      </c>
      <c r="AE9" s="100">
        <v>0.19263280874166724</v>
      </c>
      <c r="AF9" s="100">
        <v>0.28</v>
      </c>
      <c r="AG9" s="98">
        <v>632.2589512748265</v>
      </c>
      <c r="AH9" s="98">
        <v>316.12947563741324</v>
      </c>
      <c r="AI9" s="100">
        <v>0.013999999999999999</v>
      </c>
      <c r="AJ9" s="100">
        <v>0.63416</v>
      </c>
      <c r="AK9" s="100">
        <v>0.409091</v>
      </c>
      <c r="AL9" s="100">
        <v>0.738164</v>
      </c>
      <c r="AM9" s="100">
        <v>0.499694</v>
      </c>
      <c r="AN9" s="100">
        <v>0.50625</v>
      </c>
      <c r="AO9" s="98">
        <v>2364.098687375438</v>
      </c>
      <c r="AP9" s="158">
        <v>1.21226265</v>
      </c>
      <c r="AQ9" s="100">
        <v>0.11627906976744186</v>
      </c>
      <c r="AR9" s="100">
        <v>0.5405405405405406</v>
      </c>
      <c r="AS9" s="98">
        <v>487.9389732664422</v>
      </c>
      <c r="AT9" s="98">
        <v>350.491375163219</v>
      </c>
      <c r="AU9" s="98">
        <v>96.21331867225621</v>
      </c>
      <c r="AV9" s="98">
        <v>405.4704144045083</v>
      </c>
      <c r="AW9" s="98">
        <v>82.46855886193389</v>
      </c>
      <c r="AX9" s="98">
        <v>89.34093876709504</v>
      </c>
      <c r="AY9" s="98">
        <v>343.61899525805785</v>
      </c>
      <c r="AZ9" s="98">
        <v>707.8551302315992</v>
      </c>
      <c r="BA9" s="100" t="s">
        <v>695</v>
      </c>
      <c r="BB9" s="100" t="s">
        <v>695</v>
      </c>
      <c r="BC9" s="100" t="s">
        <v>695</v>
      </c>
      <c r="BD9" s="158">
        <v>1.087527542</v>
      </c>
      <c r="BE9" s="158">
        <v>1.34738205</v>
      </c>
      <c r="BF9" s="162">
        <v>1774</v>
      </c>
      <c r="BG9" s="162">
        <v>154</v>
      </c>
      <c r="BH9" s="162">
        <v>3105</v>
      </c>
      <c r="BI9" s="162">
        <v>1633</v>
      </c>
      <c r="BJ9" s="162">
        <v>800</v>
      </c>
      <c r="BK9" s="97"/>
      <c r="BL9" s="97"/>
      <c r="BM9" s="97"/>
      <c r="BN9" s="97"/>
    </row>
    <row r="10" spans="1:66" ht="12.75">
      <c r="A10" s="79" t="s">
        <v>655</v>
      </c>
      <c r="B10" s="79" t="s">
        <v>360</v>
      </c>
      <c r="C10" s="79" t="s">
        <v>255</v>
      </c>
      <c r="D10" s="99">
        <v>9911</v>
      </c>
      <c r="E10" s="99">
        <v>3440</v>
      </c>
      <c r="F10" s="99" t="s">
        <v>418</v>
      </c>
      <c r="G10" s="99">
        <v>72</v>
      </c>
      <c r="H10" s="99">
        <v>44</v>
      </c>
      <c r="I10" s="99">
        <v>264</v>
      </c>
      <c r="J10" s="99">
        <v>1322</v>
      </c>
      <c r="K10" s="99">
        <v>1260</v>
      </c>
      <c r="L10" s="99">
        <v>1537</v>
      </c>
      <c r="M10" s="99">
        <v>973</v>
      </c>
      <c r="N10" s="99">
        <v>469</v>
      </c>
      <c r="O10" s="99">
        <v>208</v>
      </c>
      <c r="P10" s="159">
        <v>208</v>
      </c>
      <c r="Q10" s="99">
        <v>40</v>
      </c>
      <c r="R10" s="99">
        <v>91</v>
      </c>
      <c r="S10" s="99">
        <v>19</v>
      </c>
      <c r="T10" s="99">
        <v>36</v>
      </c>
      <c r="U10" s="99">
        <v>13</v>
      </c>
      <c r="V10" s="99">
        <v>43</v>
      </c>
      <c r="W10" s="99">
        <v>12</v>
      </c>
      <c r="X10" s="99">
        <v>9</v>
      </c>
      <c r="Y10" s="99">
        <v>35</v>
      </c>
      <c r="Z10" s="99">
        <v>105</v>
      </c>
      <c r="AA10" s="99" t="s">
        <v>695</v>
      </c>
      <c r="AB10" s="99" t="s">
        <v>695</v>
      </c>
      <c r="AC10" s="99" t="s">
        <v>695</v>
      </c>
      <c r="AD10" s="98" t="s">
        <v>395</v>
      </c>
      <c r="AE10" s="100">
        <v>0.34708909292705076</v>
      </c>
      <c r="AF10" s="100">
        <v>0.13</v>
      </c>
      <c r="AG10" s="98">
        <v>726.4655433356876</v>
      </c>
      <c r="AH10" s="98">
        <v>443.9511653718091</v>
      </c>
      <c r="AI10" s="100">
        <v>0.027000000000000003</v>
      </c>
      <c r="AJ10" s="100">
        <v>0.808068</v>
      </c>
      <c r="AK10" s="100">
        <v>0.812903</v>
      </c>
      <c r="AL10" s="100">
        <v>0.763537</v>
      </c>
      <c r="AM10" s="100">
        <v>0.57168</v>
      </c>
      <c r="AN10" s="100">
        <v>0.595178</v>
      </c>
      <c r="AO10" s="98">
        <v>2098.6782363030975</v>
      </c>
      <c r="AP10" s="158">
        <v>0.7729760742</v>
      </c>
      <c r="AQ10" s="100">
        <v>0.19230769230769232</v>
      </c>
      <c r="AR10" s="100">
        <v>0.43956043956043955</v>
      </c>
      <c r="AS10" s="98">
        <v>191.70618504691757</v>
      </c>
      <c r="AT10" s="98">
        <v>363.2327716678438</v>
      </c>
      <c r="AU10" s="98">
        <v>131.1673897689436</v>
      </c>
      <c r="AV10" s="98">
        <v>433.86136615881344</v>
      </c>
      <c r="AW10" s="98">
        <v>121.07759055594794</v>
      </c>
      <c r="AX10" s="98">
        <v>90.80819291696095</v>
      </c>
      <c r="AY10" s="98">
        <v>353.1429724548481</v>
      </c>
      <c r="AZ10" s="98">
        <v>1059.4289173645445</v>
      </c>
      <c r="BA10" s="100" t="s">
        <v>695</v>
      </c>
      <c r="BB10" s="100" t="s">
        <v>695</v>
      </c>
      <c r="BC10" s="100" t="s">
        <v>695</v>
      </c>
      <c r="BD10" s="158">
        <v>0.6714923096</v>
      </c>
      <c r="BE10" s="158">
        <v>0.8854656982</v>
      </c>
      <c r="BF10" s="162">
        <v>1636</v>
      </c>
      <c r="BG10" s="162">
        <v>1550</v>
      </c>
      <c r="BH10" s="162">
        <v>2013</v>
      </c>
      <c r="BI10" s="162">
        <v>1702</v>
      </c>
      <c r="BJ10" s="162">
        <v>788</v>
      </c>
      <c r="BK10" s="97"/>
      <c r="BL10" s="97"/>
      <c r="BM10" s="97"/>
      <c r="BN10" s="97"/>
    </row>
    <row r="11" spans="1:66" ht="12.75">
      <c r="A11" s="79" t="s">
        <v>635</v>
      </c>
      <c r="B11" s="79" t="s">
        <v>339</v>
      </c>
      <c r="C11" s="79" t="s">
        <v>255</v>
      </c>
      <c r="D11" s="99">
        <v>1578</v>
      </c>
      <c r="E11" s="99">
        <v>324</v>
      </c>
      <c r="F11" s="99" t="s">
        <v>417</v>
      </c>
      <c r="G11" s="99">
        <v>7</v>
      </c>
      <c r="H11" s="99">
        <v>6</v>
      </c>
      <c r="I11" s="99">
        <v>28</v>
      </c>
      <c r="J11" s="99">
        <v>173</v>
      </c>
      <c r="K11" s="99">
        <v>171</v>
      </c>
      <c r="L11" s="99">
        <v>276</v>
      </c>
      <c r="M11" s="99">
        <v>133</v>
      </c>
      <c r="N11" s="99">
        <v>70</v>
      </c>
      <c r="O11" s="99">
        <v>18</v>
      </c>
      <c r="P11" s="159">
        <v>18</v>
      </c>
      <c r="Q11" s="99" t="s">
        <v>695</v>
      </c>
      <c r="R11" s="99">
        <v>7</v>
      </c>
      <c r="S11" s="99">
        <v>7</v>
      </c>
      <c r="T11" s="99" t="s">
        <v>695</v>
      </c>
      <c r="U11" s="99" t="s">
        <v>695</v>
      </c>
      <c r="V11" s="99" t="s">
        <v>695</v>
      </c>
      <c r="W11" s="99" t="s">
        <v>695</v>
      </c>
      <c r="X11" s="99" t="s">
        <v>695</v>
      </c>
      <c r="Y11" s="99" t="s">
        <v>695</v>
      </c>
      <c r="Z11" s="99" t="s">
        <v>695</v>
      </c>
      <c r="AA11" s="99" t="s">
        <v>695</v>
      </c>
      <c r="AB11" s="99" t="s">
        <v>695</v>
      </c>
      <c r="AC11" s="99" t="s">
        <v>695</v>
      </c>
      <c r="AD11" s="98" t="s">
        <v>395</v>
      </c>
      <c r="AE11" s="100">
        <v>0.20532319391634982</v>
      </c>
      <c r="AF11" s="100">
        <v>0.12</v>
      </c>
      <c r="AG11" s="98">
        <v>443.59949302915084</v>
      </c>
      <c r="AH11" s="98">
        <v>380.22813688212926</v>
      </c>
      <c r="AI11" s="100">
        <v>0.018000000000000002</v>
      </c>
      <c r="AJ11" s="100">
        <v>0.786364</v>
      </c>
      <c r="AK11" s="100">
        <v>0.834146</v>
      </c>
      <c r="AL11" s="100">
        <v>0.795389</v>
      </c>
      <c r="AM11" s="100">
        <v>0.561181</v>
      </c>
      <c r="AN11" s="100">
        <v>0.588235</v>
      </c>
      <c r="AO11" s="98">
        <v>1140.6844106463877</v>
      </c>
      <c r="AP11" s="158">
        <v>0.5446961212</v>
      </c>
      <c r="AQ11" s="100" t="s">
        <v>695</v>
      </c>
      <c r="AR11" s="100" t="s">
        <v>695</v>
      </c>
      <c r="AS11" s="98">
        <v>443.59949302915084</v>
      </c>
      <c r="AT11" s="98" t="s">
        <v>695</v>
      </c>
      <c r="AU11" s="98" t="s">
        <v>695</v>
      </c>
      <c r="AV11" s="98" t="s">
        <v>695</v>
      </c>
      <c r="AW11" s="98" t="s">
        <v>695</v>
      </c>
      <c r="AX11" s="98" t="s">
        <v>695</v>
      </c>
      <c r="AY11" s="98" t="s">
        <v>695</v>
      </c>
      <c r="AZ11" s="98" t="s">
        <v>695</v>
      </c>
      <c r="BA11" s="100" t="s">
        <v>695</v>
      </c>
      <c r="BB11" s="100" t="s">
        <v>695</v>
      </c>
      <c r="BC11" s="100" t="s">
        <v>695</v>
      </c>
      <c r="BD11" s="158">
        <v>0.32282142639999994</v>
      </c>
      <c r="BE11" s="158">
        <v>0.8608547210999999</v>
      </c>
      <c r="BF11" s="162">
        <v>220</v>
      </c>
      <c r="BG11" s="162">
        <v>205</v>
      </c>
      <c r="BH11" s="162">
        <v>347</v>
      </c>
      <c r="BI11" s="162">
        <v>237</v>
      </c>
      <c r="BJ11" s="162">
        <v>119</v>
      </c>
      <c r="BK11" s="97"/>
      <c r="BL11" s="97"/>
      <c r="BM11" s="97"/>
      <c r="BN11" s="97"/>
    </row>
    <row r="12" spans="1:66" ht="12.75">
      <c r="A12" s="79" t="s">
        <v>643</v>
      </c>
      <c r="B12" s="79" t="s">
        <v>348</v>
      </c>
      <c r="C12" s="79" t="s">
        <v>255</v>
      </c>
      <c r="D12" s="99">
        <v>7673</v>
      </c>
      <c r="E12" s="99">
        <v>1561</v>
      </c>
      <c r="F12" s="99" t="s">
        <v>419</v>
      </c>
      <c r="G12" s="99">
        <v>36</v>
      </c>
      <c r="H12" s="99">
        <v>30</v>
      </c>
      <c r="I12" s="99">
        <v>145</v>
      </c>
      <c r="J12" s="99">
        <v>803</v>
      </c>
      <c r="K12" s="99">
        <v>23</v>
      </c>
      <c r="L12" s="99">
        <v>1470</v>
      </c>
      <c r="M12" s="99">
        <v>616</v>
      </c>
      <c r="N12" s="99">
        <v>305</v>
      </c>
      <c r="O12" s="99">
        <v>263</v>
      </c>
      <c r="P12" s="159">
        <v>263</v>
      </c>
      <c r="Q12" s="99">
        <v>27</v>
      </c>
      <c r="R12" s="99">
        <v>47</v>
      </c>
      <c r="S12" s="99">
        <v>37</v>
      </c>
      <c r="T12" s="99">
        <v>33</v>
      </c>
      <c r="U12" s="99">
        <v>8</v>
      </c>
      <c r="V12" s="99">
        <v>55</v>
      </c>
      <c r="W12" s="99" t="s">
        <v>695</v>
      </c>
      <c r="X12" s="99">
        <v>6</v>
      </c>
      <c r="Y12" s="99">
        <v>19</v>
      </c>
      <c r="Z12" s="99">
        <v>62</v>
      </c>
      <c r="AA12" s="99" t="s">
        <v>695</v>
      </c>
      <c r="AB12" s="99" t="s">
        <v>695</v>
      </c>
      <c r="AC12" s="99" t="s">
        <v>695</v>
      </c>
      <c r="AD12" s="98" t="s">
        <v>395</v>
      </c>
      <c r="AE12" s="100">
        <v>0.20344063599635084</v>
      </c>
      <c r="AF12" s="100">
        <v>0.08</v>
      </c>
      <c r="AG12" s="98">
        <v>469.1776358660237</v>
      </c>
      <c r="AH12" s="98">
        <v>390.9813632216864</v>
      </c>
      <c r="AI12" s="100">
        <v>0.019</v>
      </c>
      <c r="AJ12" s="100">
        <v>0.708738</v>
      </c>
      <c r="AK12" s="100">
        <v>0.522727</v>
      </c>
      <c r="AL12" s="100">
        <v>0.821688</v>
      </c>
      <c r="AM12" s="100">
        <v>0.587226</v>
      </c>
      <c r="AN12" s="100">
        <v>0.626283</v>
      </c>
      <c r="AO12" s="98">
        <v>3427.603284243451</v>
      </c>
      <c r="AP12" s="158">
        <v>1.635380249</v>
      </c>
      <c r="AQ12" s="100">
        <v>0.10266159695817491</v>
      </c>
      <c r="AR12" s="100">
        <v>0.574468085106383</v>
      </c>
      <c r="AS12" s="98">
        <v>482.21034797341326</v>
      </c>
      <c r="AT12" s="98">
        <v>430.0794995438551</v>
      </c>
      <c r="AU12" s="98">
        <v>104.26169685911638</v>
      </c>
      <c r="AV12" s="98">
        <v>716.7991659064252</v>
      </c>
      <c r="AW12" s="98" t="s">
        <v>695</v>
      </c>
      <c r="AX12" s="98">
        <v>78.19627264433728</v>
      </c>
      <c r="AY12" s="98">
        <v>247.6215300404014</v>
      </c>
      <c r="AZ12" s="98">
        <v>808.028150658152</v>
      </c>
      <c r="BA12" s="100" t="s">
        <v>695</v>
      </c>
      <c r="BB12" s="100" t="s">
        <v>695</v>
      </c>
      <c r="BC12" s="100" t="s">
        <v>695</v>
      </c>
      <c r="BD12" s="158">
        <v>1.443687744</v>
      </c>
      <c r="BE12" s="158">
        <v>1.845442505</v>
      </c>
      <c r="BF12" s="162">
        <v>1133</v>
      </c>
      <c r="BG12" s="162">
        <v>44</v>
      </c>
      <c r="BH12" s="162">
        <v>1789</v>
      </c>
      <c r="BI12" s="162">
        <v>1049</v>
      </c>
      <c r="BJ12" s="162">
        <v>487</v>
      </c>
      <c r="BK12" s="97"/>
      <c r="BL12" s="97"/>
      <c r="BM12" s="97"/>
      <c r="BN12" s="97"/>
    </row>
    <row r="13" spans="1:66" ht="12.75">
      <c r="A13" s="79" t="s">
        <v>665</v>
      </c>
      <c r="B13" s="79" t="s">
        <v>371</v>
      </c>
      <c r="C13" s="79" t="s">
        <v>255</v>
      </c>
      <c r="D13" s="99">
        <v>3896</v>
      </c>
      <c r="E13" s="99">
        <v>900</v>
      </c>
      <c r="F13" s="99" t="s">
        <v>418</v>
      </c>
      <c r="G13" s="99">
        <v>35</v>
      </c>
      <c r="H13" s="99">
        <v>11</v>
      </c>
      <c r="I13" s="99">
        <v>118</v>
      </c>
      <c r="J13" s="99">
        <v>364</v>
      </c>
      <c r="K13" s="99">
        <v>7</v>
      </c>
      <c r="L13" s="99">
        <v>678</v>
      </c>
      <c r="M13" s="99">
        <v>305</v>
      </c>
      <c r="N13" s="99">
        <v>166</v>
      </c>
      <c r="O13" s="99">
        <v>131</v>
      </c>
      <c r="P13" s="159">
        <v>131</v>
      </c>
      <c r="Q13" s="99">
        <v>15</v>
      </c>
      <c r="R13" s="99">
        <v>33</v>
      </c>
      <c r="S13" s="99">
        <v>28</v>
      </c>
      <c r="T13" s="99">
        <v>30</v>
      </c>
      <c r="U13" s="99">
        <v>8</v>
      </c>
      <c r="V13" s="99">
        <v>27</v>
      </c>
      <c r="W13" s="99" t="s">
        <v>695</v>
      </c>
      <c r="X13" s="99" t="s">
        <v>695</v>
      </c>
      <c r="Y13" s="99">
        <v>9</v>
      </c>
      <c r="Z13" s="99">
        <v>27</v>
      </c>
      <c r="AA13" s="99" t="s">
        <v>695</v>
      </c>
      <c r="AB13" s="99" t="s">
        <v>695</v>
      </c>
      <c r="AC13" s="99" t="s">
        <v>695</v>
      </c>
      <c r="AD13" s="98" t="s">
        <v>395</v>
      </c>
      <c r="AE13" s="100">
        <v>0.23100616016427106</v>
      </c>
      <c r="AF13" s="100">
        <v>0.15</v>
      </c>
      <c r="AG13" s="98">
        <v>898.3572895277207</v>
      </c>
      <c r="AH13" s="98">
        <v>282.34086242299793</v>
      </c>
      <c r="AI13" s="100">
        <v>0.03</v>
      </c>
      <c r="AJ13" s="100">
        <v>0.66789</v>
      </c>
      <c r="AK13" s="100">
        <v>0.291667</v>
      </c>
      <c r="AL13" s="100">
        <v>0.823815</v>
      </c>
      <c r="AM13" s="100">
        <v>0.571161</v>
      </c>
      <c r="AN13" s="100">
        <v>0.605839</v>
      </c>
      <c r="AO13" s="98">
        <v>3362.4229979466118</v>
      </c>
      <c r="AP13" s="158">
        <v>1.524326935</v>
      </c>
      <c r="AQ13" s="100">
        <v>0.11450381679389313</v>
      </c>
      <c r="AR13" s="100">
        <v>0.45454545454545453</v>
      </c>
      <c r="AS13" s="98">
        <v>718.6858316221766</v>
      </c>
      <c r="AT13" s="98">
        <v>770.0205338809035</v>
      </c>
      <c r="AU13" s="98">
        <v>205.3388090349076</v>
      </c>
      <c r="AV13" s="98">
        <v>693.0184804928132</v>
      </c>
      <c r="AW13" s="98" t="s">
        <v>695</v>
      </c>
      <c r="AX13" s="98" t="s">
        <v>695</v>
      </c>
      <c r="AY13" s="98">
        <v>231.00616016427105</v>
      </c>
      <c r="AZ13" s="98">
        <v>693.0184804928132</v>
      </c>
      <c r="BA13" s="100" t="s">
        <v>695</v>
      </c>
      <c r="BB13" s="100" t="s">
        <v>695</v>
      </c>
      <c r="BC13" s="100" t="s">
        <v>695</v>
      </c>
      <c r="BD13" s="158">
        <v>1.274486542</v>
      </c>
      <c r="BE13" s="158">
        <v>1.8088287349999999</v>
      </c>
      <c r="BF13" s="162">
        <v>545</v>
      </c>
      <c r="BG13" s="162">
        <v>24</v>
      </c>
      <c r="BH13" s="162">
        <v>823</v>
      </c>
      <c r="BI13" s="162">
        <v>534</v>
      </c>
      <c r="BJ13" s="162">
        <v>274</v>
      </c>
      <c r="BK13" s="97"/>
      <c r="BL13" s="97"/>
      <c r="BM13" s="97"/>
      <c r="BN13" s="97"/>
    </row>
    <row r="14" spans="1:66" ht="12.75">
      <c r="A14" s="79" t="s">
        <v>683</v>
      </c>
      <c r="B14" s="79" t="s">
        <v>389</v>
      </c>
      <c r="C14" s="79" t="s">
        <v>255</v>
      </c>
      <c r="D14" s="99">
        <v>4536</v>
      </c>
      <c r="E14" s="99">
        <v>488</v>
      </c>
      <c r="F14" s="99" t="s">
        <v>417</v>
      </c>
      <c r="G14" s="99">
        <v>9</v>
      </c>
      <c r="H14" s="99">
        <v>8</v>
      </c>
      <c r="I14" s="99">
        <v>51</v>
      </c>
      <c r="J14" s="99">
        <v>269</v>
      </c>
      <c r="K14" s="99">
        <v>258</v>
      </c>
      <c r="L14" s="99">
        <v>750</v>
      </c>
      <c r="M14" s="99">
        <v>149</v>
      </c>
      <c r="N14" s="99">
        <v>74</v>
      </c>
      <c r="O14" s="99">
        <v>86</v>
      </c>
      <c r="P14" s="159">
        <v>86</v>
      </c>
      <c r="Q14" s="99">
        <v>7</v>
      </c>
      <c r="R14" s="99">
        <v>15</v>
      </c>
      <c r="S14" s="99">
        <v>18</v>
      </c>
      <c r="T14" s="99">
        <v>13</v>
      </c>
      <c r="U14" s="99" t="s">
        <v>695</v>
      </c>
      <c r="V14" s="99">
        <v>20</v>
      </c>
      <c r="W14" s="99" t="s">
        <v>695</v>
      </c>
      <c r="X14" s="99" t="s">
        <v>695</v>
      </c>
      <c r="Y14" s="99" t="s">
        <v>695</v>
      </c>
      <c r="Z14" s="99">
        <v>9</v>
      </c>
      <c r="AA14" s="99" t="s">
        <v>695</v>
      </c>
      <c r="AB14" s="99" t="s">
        <v>695</v>
      </c>
      <c r="AC14" s="99" t="s">
        <v>695</v>
      </c>
      <c r="AD14" s="98" t="s">
        <v>395</v>
      </c>
      <c r="AE14" s="100">
        <v>0.10758377425044091</v>
      </c>
      <c r="AF14" s="100">
        <v>0.12</v>
      </c>
      <c r="AG14" s="98">
        <v>198.4126984126984</v>
      </c>
      <c r="AH14" s="98">
        <v>176.3668430335097</v>
      </c>
      <c r="AI14" s="100">
        <v>0.011000000000000001</v>
      </c>
      <c r="AJ14" s="100">
        <v>0.713528</v>
      </c>
      <c r="AK14" s="100">
        <v>0.704918</v>
      </c>
      <c r="AL14" s="100">
        <v>0.681818</v>
      </c>
      <c r="AM14" s="100">
        <v>0.528369</v>
      </c>
      <c r="AN14" s="100">
        <v>0.556391</v>
      </c>
      <c r="AO14" s="98">
        <v>1895.9435626102293</v>
      </c>
      <c r="AP14" s="158">
        <v>1.3023658750000002</v>
      </c>
      <c r="AQ14" s="100">
        <v>0.08139534883720931</v>
      </c>
      <c r="AR14" s="100">
        <v>0.4666666666666667</v>
      </c>
      <c r="AS14" s="98">
        <v>396.8253968253968</v>
      </c>
      <c r="AT14" s="98">
        <v>286.59611992945327</v>
      </c>
      <c r="AU14" s="98" t="s">
        <v>695</v>
      </c>
      <c r="AV14" s="98">
        <v>440.9171075837742</v>
      </c>
      <c r="AW14" s="98" t="s">
        <v>695</v>
      </c>
      <c r="AX14" s="98" t="s">
        <v>695</v>
      </c>
      <c r="AY14" s="98" t="s">
        <v>695</v>
      </c>
      <c r="AZ14" s="98">
        <v>198.4126984126984</v>
      </c>
      <c r="BA14" s="100" t="s">
        <v>695</v>
      </c>
      <c r="BB14" s="100" t="s">
        <v>695</v>
      </c>
      <c r="BC14" s="100" t="s">
        <v>695</v>
      </c>
      <c r="BD14" s="158">
        <v>1.041724548</v>
      </c>
      <c r="BE14" s="158">
        <v>1.608411255</v>
      </c>
      <c r="BF14" s="162">
        <v>377</v>
      </c>
      <c r="BG14" s="162">
        <v>366</v>
      </c>
      <c r="BH14" s="162">
        <v>1100</v>
      </c>
      <c r="BI14" s="162">
        <v>282</v>
      </c>
      <c r="BJ14" s="162">
        <v>133</v>
      </c>
      <c r="BK14" s="97"/>
      <c r="BL14" s="97"/>
      <c r="BM14" s="97"/>
      <c r="BN14" s="97"/>
    </row>
    <row r="15" spans="1:66" ht="12.75">
      <c r="A15" s="79" t="s">
        <v>676</v>
      </c>
      <c r="B15" s="79" t="s">
        <v>382</v>
      </c>
      <c r="C15" s="79" t="s">
        <v>255</v>
      </c>
      <c r="D15" s="99">
        <v>2135</v>
      </c>
      <c r="E15" s="99">
        <v>204</v>
      </c>
      <c r="F15" s="99" t="s">
        <v>416</v>
      </c>
      <c r="G15" s="99">
        <v>7</v>
      </c>
      <c r="H15" s="99" t="s">
        <v>695</v>
      </c>
      <c r="I15" s="99">
        <v>32</v>
      </c>
      <c r="J15" s="99">
        <v>110</v>
      </c>
      <c r="K15" s="99">
        <v>105</v>
      </c>
      <c r="L15" s="99">
        <v>313</v>
      </c>
      <c r="M15" s="99">
        <v>70</v>
      </c>
      <c r="N15" s="99">
        <v>40</v>
      </c>
      <c r="O15" s="99">
        <v>8</v>
      </c>
      <c r="P15" s="159">
        <v>8</v>
      </c>
      <c r="Q15" s="99" t="s">
        <v>695</v>
      </c>
      <c r="R15" s="99">
        <v>9</v>
      </c>
      <c r="S15" s="99" t="s">
        <v>695</v>
      </c>
      <c r="T15" s="99" t="s">
        <v>695</v>
      </c>
      <c r="U15" s="99" t="s">
        <v>695</v>
      </c>
      <c r="V15" s="99" t="s">
        <v>695</v>
      </c>
      <c r="W15" s="99" t="s">
        <v>695</v>
      </c>
      <c r="X15" s="99" t="s">
        <v>695</v>
      </c>
      <c r="Y15" s="99" t="s">
        <v>695</v>
      </c>
      <c r="Z15" s="99">
        <v>8</v>
      </c>
      <c r="AA15" s="99" t="s">
        <v>695</v>
      </c>
      <c r="AB15" s="99" t="s">
        <v>695</v>
      </c>
      <c r="AC15" s="99" t="s">
        <v>695</v>
      </c>
      <c r="AD15" s="98" t="s">
        <v>395</v>
      </c>
      <c r="AE15" s="100">
        <v>0.09555035128805621</v>
      </c>
      <c r="AF15" s="100">
        <v>0.32</v>
      </c>
      <c r="AG15" s="98">
        <v>327.8688524590164</v>
      </c>
      <c r="AH15" s="98" t="s">
        <v>695</v>
      </c>
      <c r="AI15" s="100">
        <v>0.015</v>
      </c>
      <c r="AJ15" s="100">
        <v>0.621469</v>
      </c>
      <c r="AK15" s="100">
        <v>0.628743</v>
      </c>
      <c r="AL15" s="100">
        <v>0.657563</v>
      </c>
      <c r="AM15" s="100">
        <v>0.39548</v>
      </c>
      <c r="AN15" s="100">
        <v>0.470588</v>
      </c>
      <c r="AO15" s="98">
        <v>374.7072599531616</v>
      </c>
      <c r="AP15" s="158">
        <v>0.2596175575</v>
      </c>
      <c r="AQ15" s="100" t="s">
        <v>695</v>
      </c>
      <c r="AR15" s="100" t="s">
        <v>695</v>
      </c>
      <c r="AS15" s="98" t="s">
        <v>695</v>
      </c>
      <c r="AT15" s="98" t="s">
        <v>695</v>
      </c>
      <c r="AU15" s="98" t="s">
        <v>695</v>
      </c>
      <c r="AV15" s="98" t="s">
        <v>695</v>
      </c>
      <c r="AW15" s="98" t="s">
        <v>695</v>
      </c>
      <c r="AX15" s="98" t="s">
        <v>695</v>
      </c>
      <c r="AY15" s="98" t="s">
        <v>695</v>
      </c>
      <c r="AZ15" s="98">
        <v>374.7072599531616</v>
      </c>
      <c r="BA15" s="100" t="s">
        <v>695</v>
      </c>
      <c r="BB15" s="100" t="s">
        <v>695</v>
      </c>
      <c r="BC15" s="100" t="s">
        <v>695</v>
      </c>
      <c r="BD15" s="158">
        <v>0.1120844364</v>
      </c>
      <c r="BE15" s="158">
        <v>0.5115501022</v>
      </c>
      <c r="BF15" s="162">
        <v>177</v>
      </c>
      <c r="BG15" s="162">
        <v>167</v>
      </c>
      <c r="BH15" s="162">
        <v>476</v>
      </c>
      <c r="BI15" s="162">
        <v>177</v>
      </c>
      <c r="BJ15" s="162">
        <v>85</v>
      </c>
      <c r="BK15" s="97"/>
      <c r="BL15" s="97"/>
      <c r="BM15" s="97"/>
      <c r="BN15" s="97"/>
    </row>
    <row r="16" spans="1:66" ht="12.75">
      <c r="A16" s="79" t="s">
        <v>641</v>
      </c>
      <c r="B16" s="79" t="s">
        <v>345</v>
      </c>
      <c r="C16" s="79" t="s">
        <v>255</v>
      </c>
      <c r="D16" s="99">
        <v>2738</v>
      </c>
      <c r="E16" s="99">
        <v>420</v>
      </c>
      <c r="F16" s="99" t="s">
        <v>415</v>
      </c>
      <c r="G16" s="99">
        <v>12</v>
      </c>
      <c r="H16" s="99">
        <v>8</v>
      </c>
      <c r="I16" s="99">
        <v>15</v>
      </c>
      <c r="J16" s="99">
        <v>245</v>
      </c>
      <c r="K16" s="99" t="s">
        <v>695</v>
      </c>
      <c r="L16" s="99">
        <v>534</v>
      </c>
      <c r="M16" s="99">
        <v>167</v>
      </c>
      <c r="N16" s="99">
        <v>81</v>
      </c>
      <c r="O16" s="99">
        <v>27</v>
      </c>
      <c r="P16" s="159">
        <v>27</v>
      </c>
      <c r="Q16" s="99">
        <v>8</v>
      </c>
      <c r="R16" s="99">
        <v>14</v>
      </c>
      <c r="S16" s="99" t="s">
        <v>695</v>
      </c>
      <c r="T16" s="99">
        <v>6</v>
      </c>
      <c r="U16" s="99" t="s">
        <v>695</v>
      </c>
      <c r="V16" s="99" t="s">
        <v>695</v>
      </c>
      <c r="W16" s="99" t="s">
        <v>695</v>
      </c>
      <c r="X16" s="99" t="s">
        <v>695</v>
      </c>
      <c r="Y16" s="99">
        <v>8</v>
      </c>
      <c r="Z16" s="99">
        <v>20</v>
      </c>
      <c r="AA16" s="99" t="s">
        <v>695</v>
      </c>
      <c r="AB16" s="99" t="s">
        <v>695</v>
      </c>
      <c r="AC16" s="99" t="s">
        <v>695</v>
      </c>
      <c r="AD16" s="98" t="s">
        <v>395</v>
      </c>
      <c r="AE16" s="100">
        <v>0.15339663988312638</v>
      </c>
      <c r="AF16" s="100">
        <v>0.21</v>
      </c>
      <c r="AG16" s="98">
        <v>438.2761139517896</v>
      </c>
      <c r="AH16" s="98">
        <v>292.18407596785977</v>
      </c>
      <c r="AI16" s="100">
        <v>0.005</v>
      </c>
      <c r="AJ16" s="100">
        <v>0.667575</v>
      </c>
      <c r="AK16" s="100" t="s">
        <v>695</v>
      </c>
      <c r="AL16" s="100">
        <v>0.820276</v>
      </c>
      <c r="AM16" s="100">
        <v>0.456284</v>
      </c>
      <c r="AN16" s="100">
        <v>0.468208</v>
      </c>
      <c r="AO16" s="98">
        <v>986.1212563915267</v>
      </c>
      <c r="AP16" s="158">
        <v>0.5320519638</v>
      </c>
      <c r="AQ16" s="100">
        <v>0.2962962962962963</v>
      </c>
      <c r="AR16" s="100">
        <v>0.5714285714285714</v>
      </c>
      <c r="AS16" s="98" t="s">
        <v>695</v>
      </c>
      <c r="AT16" s="98">
        <v>219.1380569758948</v>
      </c>
      <c r="AU16" s="98" t="s">
        <v>695</v>
      </c>
      <c r="AV16" s="98" t="s">
        <v>695</v>
      </c>
      <c r="AW16" s="98" t="s">
        <v>695</v>
      </c>
      <c r="AX16" s="98" t="s">
        <v>695</v>
      </c>
      <c r="AY16" s="98">
        <v>292.18407596785977</v>
      </c>
      <c r="AZ16" s="98">
        <v>730.4601899196493</v>
      </c>
      <c r="BA16" s="100" t="s">
        <v>695</v>
      </c>
      <c r="BB16" s="100" t="s">
        <v>695</v>
      </c>
      <c r="BC16" s="100" t="s">
        <v>695</v>
      </c>
      <c r="BD16" s="158">
        <v>0.3506255722</v>
      </c>
      <c r="BE16" s="158">
        <v>0.774107666</v>
      </c>
      <c r="BF16" s="162">
        <v>367</v>
      </c>
      <c r="BG16" s="162" t="s">
        <v>695</v>
      </c>
      <c r="BH16" s="162">
        <v>651</v>
      </c>
      <c r="BI16" s="162">
        <v>366</v>
      </c>
      <c r="BJ16" s="162">
        <v>173</v>
      </c>
      <c r="BK16" s="97"/>
      <c r="BL16" s="97"/>
      <c r="BM16" s="97"/>
      <c r="BN16" s="97"/>
    </row>
    <row r="17" spans="1:66" ht="12.75">
      <c r="A17" s="79" t="s">
        <v>615</v>
      </c>
      <c r="B17" s="79" t="s">
        <v>319</v>
      </c>
      <c r="C17" s="79" t="s">
        <v>255</v>
      </c>
      <c r="D17" s="99">
        <v>8050</v>
      </c>
      <c r="E17" s="99">
        <v>1537</v>
      </c>
      <c r="F17" s="99" t="s">
        <v>417</v>
      </c>
      <c r="G17" s="99">
        <v>52</v>
      </c>
      <c r="H17" s="99">
        <v>22</v>
      </c>
      <c r="I17" s="99">
        <v>122</v>
      </c>
      <c r="J17" s="99">
        <v>908</v>
      </c>
      <c r="K17" s="99">
        <v>16</v>
      </c>
      <c r="L17" s="99">
        <v>1571</v>
      </c>
      <c r="M17" s="99">
        <v>653</v>
      </c>
      <c r="N17" s="99">
        <v>354</v>
      </c>
      <c r="O17" s="99">
        <v>213</v>
      </c>
      <c r="P17" s="159">
        <v>213</v>
      </c>
      <c r="Q17" s="99">
        <v>20</v>
      </c>
      <c r="R17" s="99">
        <v>34</v>
      </c>
      <c r="S17" s="99">
        <v>45</v>
      </c>
      <c r="T17" s="99">
        <v>32</v>
      </c>
      <c r="U17" s="99">
        <v>6</v>
      </c>
      <c r="V17" s="99">
        <v>36</v>
      </c>
      <c r="W17" s="99">
        <v>8</v>
      </c>
      <c r="X17" s="99">
        <v>7</v>
      </c>
      <c r="Y17" s="99">
        <v>31</v>
      </c>
      <c r="Z17" s="99">
        <v>69</v>
      </c>
      <c r="AA17" s="99" t="s">
        <v>695</v>
      </c>
      <c r="AB17" s="99" t="s">
        <v>695</v>
      </c>
      <c r="AC17" s="99" t="s">
        <v>695</v>
      </c>
      <c r="AD17" s="98" t="s">
        <v>395</v>
      </c>
      <c r="AE17" s="100">
        <v>0.19093167701863353</v>
      </c>
      <c r="AF17" s="100">
        <v>0.1</v>
      </c>
      <c r="AG17" s="98">
        <v>645.9627329192547</v>
      </c>
      <c r="AH17" s="98">
        <v>273.2919254658385</v>
      </c>
      <c r="AI17" s="100">
        <v>0.015</v>
      </c>
      <c r="AJ17" s="100">
        <v>0.744873</v>
      </c>
      <c r="AK17" s="100">
        <v>0.4</v>
      </c>
      <c r="AL17" s="100">
        <v>0.803992</v>
      </c>
      <c r="AM17" s="100">
        <v>0.565858</v>
      </c>
      <c r="AN17" s="100">
        <v>0.591973</v>
      </c>
      <c r="AO17" s="98">
        <v>2645.9627329192544</v>
      </c>
      <c r="AP17" s="158">
        <v>1.27393158</v>
      </c>
      <c r="AQ17" s="100">
        <v>0.09389671361502347</v>
      </c>
      <c r="AR17" s="100">
        <v>0.5882352941176471</v>
      </c>
      <c r="AS17" s="98">
        <v>559.0062111801242</v>
      </c>
      <c r="AT17" s="98">
        <v>397.51552795031057</v>
      </c>
      <c r="AU17" s="98">
        <v>74.53416149068323</v>
      </c>
      <c r="AV17" s="98">
        <v>447.2049689440994</v>
      </c>
      <c r="AW17" s="98">
        <v>99.37888198757764</v>
      </c>
      <c r="AX17" s="98">
        <v>86.95652173913044</v>
      </c>
      <c r="AY17" s="98">
        <v>385.09316770186336</v>
      </c>
      <c r="AZ17" s="98">
        <v>857.1428571428571</v>
      </c>
      <c r="BA17" s="100" t="s">
        <v>695</v>
      </c>
      <c r="BB17" s="100" t="s">
        <v>695</v>
      </c>
      <c r="BC17" s="100" t="s">
        <v>695</v>
      </c>
      <c r="BD17" s="158">
        <v>1.108582916</v>
      </c>
      <c r="BE17" s="158">
        <v>1.4569883730000002</v>
      </c>
      <c r="BF17" s="162">
        <v>1219</v>
      </c>
      <c r="BG17" s="162">
        <v>40</v>
      </c>
      <c r="BH17" s="162">
        <v>1954</v>
      </c>
      <c r="BI17" s="162">
        <v>1154</v>
      </c>
      <c r="BJ17" s="162">
        <v>598</v>
      </c>
      <c r="BK17" s="97"/>
      <c r="BL17" s="97"/>
      <c r="BM17" s="97"/>
      <c r="BN17" s="97"/>
    </row>
    <row r="18" spans="1:66" ht="12.75">
      <c r="A18" s="79" t="s">
        <v>602</v>
      </c>
      <c r="B18" s="79" t="s">
        <v>305</v>
      </c>
      <c r="C18" s="79" t="s">
        <v>255</v>
      </c>
      <c r="D18" s="99">
        <v>2385</v>
      </c>
      <c r="E18" s="99">
        <v>388</v>
      </c>
      <c r="F18" s="99" t="s">
        <v>417</v>
      </c>
      <c r="G18" s="99">
        <v>8</v>
      </c>
      <c r="H18" s="99" t="s">
        <v>695</v>
      </c>
      <c r="I18" s="99">
        <v>31</v>
      </c>
      <c r="J18" s="99">
        <v>209</v>
      </c>
      <c r="K18" s="99" t="s">
        <v>695</v>
      </c>
      <c r="L18" s="99">
        <v>473</v>
      </c>
      <c r="M18" s="99">
        <v>149</v>
      </c>
      <c r="N18" s="99">
        <v>76</v>
      </c>
      <c r="O18" s="99">
        <v>50</v>
      </c>
      <c r="P18" s="159">
        <v>50</v>
      </c>
      <c r="Q18" s="99">
        <v>7</v>
      </c>
      <c r="R18" s="99">
        <v>13</v>
      </c>
      <c r="S18" s="99">
        <v>9</v>
      </c>
      <c r="T18" s="99" t="s">
        <v>695</v>
      </c>
      <c r="U18" s="99" t="s">
        <v>695</v>
      </c>
      <c r="V18" s="99">
        <v>11</v>
      </c>
      <c r="W18" s="99" t="s">
        <v>695</v>
      </c>
      <c r="X18" s="99" t="s">
        <v>695</v>
      </c>
      <c r="Y18" s="99" t="s">
        <v>695</v>
      </c>
      <c r="Z18" s="99">
        <v>8</v>
      </c>
      <c r="AA18" s="99" t="s">
        <v>695</v>
      </c>
      <c r="AB18" s="99" t="s">
        <v>695</v>
      </c>
      <c r="AC18" s="99" t="s">
        <v>695</v>
      </c>
      <c r="AD18" s="98" t="s">
        <v>395</v>
      </c>
      <c r="AE18" s="100">
        <v>0.16268343815513628</v>
      </c>
      <c r="AF18" s="100">
        <v>0.1</v>
      </c>
      <c r="AG18" s="98">
        <v>335.42976939203356</v>
      </c>
      <c r="AH18" s="98" t="s">
        <v>695</v>
      </c>
      <c r="AI18" s="100">
        <v>0.013000000000000001</v>
      </c>
      <c r="AJ18" s="100">
        <v>0.683007</v>
      </c>
      <c r="AK18" s="100" t="s">
        <v>695</v>
      </c>
      <c r="AL18" s="100">
        <v>0.762903</v>
      </c>
      <c r="AM18" s="100">
        <v>0.553903</v>
      </c>
      <c r="AN18" s="100">
        <v>0.589147</v>
      </c>
      <c r="AO18" s="98">
        <v>2096.4360587002097</v>
      </c>
      <c r="AP18" s="158">
        <v>1.109580612</v>
      </c>
      <c r="AQ18" s="100">
        <v>0.14</v>
      </c>
      <c r="AR18" s="100">
        <v>0.5384615384615384</v>
      </c>
      <c r="AS18" s="98">
        <v>377.35849056603774</v>
      </c>
      <c r="AT18" s="98" t="s">
        <v>695</v>
      </c>
      <c r="AU18" s="98" t="s">
        <v>695</v>
      </c>
      <c r="AV18" s="98">
        <v>461.2159329140461</v>
      </c>
      <c r="AW18" s="98" t="s">
        <v>695</v>
      </c>
      <c r="AX18" s="98" t="s">
        <v>695</v>
      </c>
      <c r="AY18" s="98" t="s">
        <v>695</v>
      </c>
      <c r="AZ18" s="98">
        <v>335.42976939203356</v>
      </c>
      <c r="BA18" s="100" t="s">
        <v>695</v>
      </c>
      <c r="BB18" s="100" t="s">
        <v>695</v>
      </c>
      <c r="BC18" s="100" t="s">
        <v>695</v>
      </c>
      <c r="BD18" s="158">
        <v>0.8235520934999999</v>
      </c>
      <c r="BE18" s="158">
        <v>1.462843628</v>
      </c>
      <c r="BF18" s="162">
        <v>306</v>
      </c>
      <c r="BG18" s="162" t="s">
        <v>695</v>
      </c>
      <c r="BH18" s="162">
        <v>620</v>
      </c>
      <c r="BI18" s="162">
        <v>269</v>
      </c>
      <c r="BJ18" s="162">
        <v>129</v>
      </c>
      <c r="BK18" s="97"/>
      <c r="BL18" s="97"/>
      <c r="BM18" s="97"/>
      <c r="BN18" s="97"/>
    </row>
    <row r="19" spans="1:66" ht="12.75">
      <c r="A19" s="79" t="s">
        <v>582</v>
      </c>
      <c r="B19" s="79" t="s">
        <v>284</v>
      </c>
      <c r="C19" s="79" t="s">
        <v>255</v>
      </c>
      <c r="D19" s="99">
        <v>9798</v>
      </c>
      <c r="E19" s="99">
        <v>2646</v>
      </c>
      <c r="F19" s="99" t="s">
        <v>418</v>
      </c>
      <c r="G19" s="99">
        <v>83</v>
      </c>
      <c r="H19" s="99">
        <v>25</v>
      </c>
      <c r="I19" s="99">
        <v>238</v>
      </c>
      <c r="J19" s="99">
        <v>1286</v>
      </c>
      <c r="K19" s="99">
        <v>27</v>
      </c>
      <c r="L19" s="99">
        <v>1466</v>
      </c>
      <c r="M19" s="99">
        <v>927</v>
      </c>
      <c r="N19" s="99">
        <v>481</v>
      </c>
      <c r="O19" s="99">
        <v>239</v>
      </c>
      <c r="P19" s="159">
        <v>239</v>
      </c>
      <c r="Q19" s="99">
        <v>27</v>
      </c>
      <c r="R19" s="99">
        <v>59</v>
      </c>
      <c r="S19" s="99">
        <v>71</v>
      </c>
      <c r="T19" s="99">
        <v>37</v>
      </c>
      <c r="U19" s="99">
        <v>7</v>
      </c>
      <c r="V19" s="99">
        <v>29</v>
      </c>
      <c r="W19" s="99">
        <v>16</v>
      </c>
      <c r="X19" s="99">
        <v>12</v>
      </c>
      <c r="Y19" s="99">
        <v>37</v>
      </c>
      <c r="Z19" s="99">
        <v>34</v>
      </c>
      <c r="AA19" s="99" t="s">
        <v>695</v>
      </c>
      <c r="AB19" s="99" t="s">
        <v>695</v>
      </c>
      <c r="AC19" s="99" t="s">
        <v>695</v>
      </c>
      <c r="AD19" s="98" t="s">
        <v>395</v>
      </c>
      <c r="AE19" s="100">
        <v>0.2700551132884262</v>
      </c>
      <c r="AF19" s="100">
        <v>0.14</v>
      </c>
      <c r="AG19" s="98">
        <v>847.1116554398857</v>
      </c>
      <c r="AH19" s="98">
        <v>255.1541130843029</v>
      </c>
      <c r="AI19" s="100">
        <v>0.024</v>
      </c>
      <c r="AJ19" s="100">
        <v>0.77657</v>
      </c>
      <c r="AK19" s="100">
        <v>0.333333</v>
      </c>
      <c r="AL19" s="100">
        <v>0.75064</v>
      </c>
      <c r="AM19" s="100">
        <v>0.560799</v>
      </c>
      <c r="AN19" s="100">
        <v>0.583738</v>
      </c>
      <c r="AO19" s="98">
        <v>2439.273321085936</v>
      </c>
      <c r="AP19" s="158">
        <v>1.022961655</v>
      </c>
      <c r="AQ19" s="100">
        <v>0.11297071129707113</v>
      </c>
      <c r="AR19" s="100">
        <v>0.4576271186440678</v>
      </c>
      <c r="AS19" s="98">
        <v>724.6376811594203</v>
      </c>
      <c r="AT19" s="98">
        <v>377.6280873647683</v>
      </c>
      <c r="AU19" s="98">
        <v>71.44315166360482</v>
      </c>
      <c r="AV19" s="98">
        <v>295.9787711777914</v>
      </c>
      <c r="AW19" s="98">
        <v>163.29863237395386</v>
      </c>
      <c r="AX19" s="98">
        <v>122.4739742804654</v>
      </c>
      <c r="AY19" s="98">
        <v>377.6280873647683</v>
      </c>
      <c r="AZ19" s="98">
        <v>347.00959379465195</v>
      </c>
      <c r="BA19" s="100" t="s">
        <v>695</v>
      </c>
      <c r="BB19" s="100" t="s">
        <v>695</v>
      </c>
      <c r="BC19" s="100" t="s">
        <v>695</v>
      </c>
      <c r="BD19" s="158">
        <v>0.8973713684000001</v>
      </c>
      <c r="BE19" s="158">
        <v>1.161208801</v>
      </c>
      <c r="BF19" s="162">
        <v>1656</v>
      </c>
      <c r="BG19" s="162">
        <v>81</v>
      </c>
      <c r="BH19" s="162">
        <v>1953</v>
      </c>
      <c r="BI19" s="162">
        <v>1653</v>
      </c>
      <c r="BJ19" s="162">
        <v>824</v>
      </c>
      <c r="BK19" s="97"/>
      <c r="BL19" s="97"/>
      <c r="BM19" s="97"/>
      <c r="BN19" s="97"/>
    </row>
    <row r="20" spans="1:66" ht="12.75">
      <c r="A20" s="79" t="s">
        <v>650</v>
      </c>
      <c r="B20" s="79" t="s">
        <v>355</v>
      </c>
      <c r="C20" s="79" t="s">
        <v>255</v>
      </c>
      <c r="D20" s="99">
        <v>2736</v>
      </c>
      <c r="E20" s="99">
        <v>654</v>
      </c>
      <c r="F20" s="99" t="s">
        <v>417</v>
      </c>
      <c r="G20" s="99">
        <v>16</v>
      </c>
      <c r="H20" s="99">
        <v>10</v>
      </c>
      <c r="I20" s="99">
        <v>67</v>
      </c>
      <c r="J20" s="99">
        <v>345</v>
      </c>
      <c r="K20" s="99" t="s">
        <v>695</v>
      </c>
      <c r="L20" s="99">
        <v>445</v>
      </c>
      <c r="M20" s="99">
        <v>259</v>
      </c>
      <c r="N20" s="99">
        <v>142</v>
      </c>
      <c r="O20" s="99">
        <v>126</v>
      </c>
      <c r="P20" s="159">
        <v>126</v>
      </c>
      <c r="Q20" s="99">
        <v>7</v>
      </c>
      <c r="R20" s="99">
        <v>20</v>
      </c>
      <c r="S20" s="99">
        <v>23</v>
      </c>
      <c r="T20" s="99">
        <v>19</v>
      </c>
      <c r="U20" s="99">
        <v>6</v>
      </c>
      <c r="V20" s="99">
        <v>27</v>
      </c>
      <c r="W20" s="99" t="s">
        <v>695</v>
      </c>
      <c r="X20" s="99" t="s">
        <v>695</v>
      </c>
      <c r="Y20" s="99">
        <v>12</v>
      </c>
      <c r="Z20" s="99">
        <v>18</v>
      </c>
      <c r="AA20" s="99" t="s">
        <v>695</v>
      </c>
      <c r="AB20" s="99" t="s">
        <v>695</v>
      </c>
      <c r="AC20" s="99" t="s">
        <v>695</v>
      </c>
      <c r="AD20" s="98" t="s">
        <v>395</v>
      </c>
      <c r="AE20" s="100">
        <v>0.23903508771929824</v>
      </c>
      <c r="AF20" s="100">
        <v>0.1</v>
      </c>
      <c r="AG20" s="98">
        <v>584.7953216374269</v>
      </c>
      <c r="AH20" s="98">
        <v>365.4970760233918</v>
      </c>
      <c r="AI20" s="100">
        <v>0.024</v>
      </c>
      <c r="AJ20" s="100">
        <v>0.771812</v>
      </c>
      <c r="AK20" s="100" t="s">
        <v>695</v>
      </c>
      <c r="AL20" s="100">
        <v>0.797491</v>
      </c>
      <c r="AM20" s="100">
        <v>0.527495</v>
      </c>
      <c r="AN20" s="100">
        <v>0.570281</v>
      </c>
      <c r="AO20" s="98">
        <v>4605.263157894737</v>
      </c>
      <c r="AP20" s="158">
        <v>2.037814178</v>
      </c>
      <c r="AQ20" s="100">
        <v>0.05555555555555555</v>
      </c>
      <c r="AR20" s="100">
        <v>0.35</v>
      </c>
      <c r="AS20" s="98">
        <v>840.6432748538011</v>
      </c>
      <c r="AT20" s="98">
        <v>694.4444444444445</v>
      </c>
      <c r="AU20" s="98">
        <v>219.2982456140351</v>
      </c>
      <c r="AV20" s="98">
        <v>986.8421052631579</v>
      </c>
      <c r="AW20" s="98" t="s">
        <v>695</v>
      </c>
      <c r="AX20" s="98" t="s">
        <v>695</v>
      </c>
      <c r="AY20" s="98">
        <v>438.5964912280702</v>
      </c>
      <c r="AZ20" s="98">
        <v>657.8947368421053</v>
      </c>
      <c r="BA20" s="100" t="s">
        <v>695</v>
      </c>
      <c r="BB20" s="100" t="s">
        <v>695</v>
      </c>
      <c r="BC20" s="100" t="s">
        <v>695</v>
      </c>
      <c r="BD20" s="158">
        <v>1.6975535579999999</v>
      </c>
      <c r="BE20" s="158">
        <v>2.426277466</v>
      </c>
      <c r="BF20" s="162">
        <v>447</v>
      </c>
      <c r="BG20" s="162" t="s">
        <v>695</v>
      </c>
      <c r="BH20" s="162">
        <v>558</v>
      </c>
      <c r="BI20" s="162">
        <v>491</v>
      </c>
      <c r="BJ20" s="162">
        <v>249</v>
      </c>
      <c r="BK20" s="97"/>
      <c r="BL20" s="97"/>
      <c r="BM20" s="97"/>
      <c r="BN20" s="97"/>
    </row>
    <row r="21" spans="1:66" ht="12.75">
      <c r="A21" s="79" t="s">
        <v>589</v>
      </c>
      <c r="B21" s="79" t="s">
        <v>292</v>
      </c>
      <c r="C21" s="79" t="s">
        <v>255</v>
      </c>
      <c r="D21" s="99">
        <v>5550</v>
      </c>
      <c r="E21" s="99">
        <v>1281</v>
      </c>
      <c r="F21" s="99" t="s">
        <v>418</v>
      </c>
      <c r="G21" s="99">
        <v>41</v>
      </c>
      <c r="H21" s="99">
        <v>12</v>
      </c>
      <c r="I21" s="99">
        <v>95</v>
      </c>
      <c r="J21" s="99">
        <v>618</v>
      </c>
      <c r="K21" s="99" t="s">
        <v>695</v>
      </c>
      <c r="L21" s="99">
        <v>953</v>
      </c>
      <c r="M21" s="99">
        <v>378</v>
      </c>
      <c r="N21" s="99">
        <v>192</v>
      </c>
      <c r="O21" s="99">
        <v>263</v>
      </c>
      <c r="P21" s="159">
        <v>263</v>
      </c>
      <c r="Q21" s="99">
        <v>17</v>
      </c>
      <c r="R21" s="99">
        <v>31</v>
      </c>
      <c r="S21" s="99">
        <v>39</v>
      </c>
      <c r="T21" s="99">
        <v>46</v>
      </c>
      <c r="U21" s="99">
        <v>7</v>
      </c>
      <c r="V21" s="99">
        <v>66</v>
      </c>
      <c r="W21" s="99">
        <v>7</v>
      </c>
      <c r="X21" s="99" t="s">
        <v>695</v>
      </c>
      <c r="Y21" s="99">
        <v>23</v>
      </c>
      <c r="Z21" s="99">
        <v>39</v>
      </c>
      <c r="AA21" s="99" t="s">
        <v>695</v>
      </c>
      <c r="AB21" s="99" t="s">
        <v>695</v>
      </c>
      <c r="AC21" s="99" t="s">
        <v>695</v>
      </c>
      <c r="AD21" s="98" t="s">
        <v>395</v>
      </c>
      <c r="AE21" s="100">
        <v>0.2308108108108108</v>
      </c>
      <c r="AF21" s="100">
        <v>0.13</v>
      </c>
      <c r="AG21" s="98">
        <v>738.7387387387388</v>
      </c>
      <c r="AH21" s="98">
        <v>216.21621621621622</v>
      </c>
      <c r="AI21" s="100">
        <v>0.017</v>
      </c>
      <c r="AJ21" s="100">
        <v>0.762022</v>
      </c>
      <c r="AK21" s="100" t="s">
        <v>695</v>
      </c>
      <c r="AL21" s="100">
        <v>0.759363</v>
      </c>
      <c r="AM21" s="100">
        <v>0.490909</v>
      </c>
      <c r="AN21" s="100">
        <v>0.513369</v>
      </c>
      <c r="AO21" s="98">
        <v>4738.738738738739</v>
      </c>
      <c r="AP21" s="158">
        <v>2.149948425</v>
      </c>
      <c r="AQ21" s="100">
        <v>0.06463878326996197</v>
      </c>
      <c r="AR21" s="100">
        <v>0.5483870967741935</v>
      </c>
      <c r="AS21" s="98">
        <v>702.7027027027027</v>
      </c>
      <c r="AT21" s="98">
        <v>828.8288288288288</v>
      </c>
      <c r="AU21" s="98">
        <v>126.12612612612612</v>
      </c>
      <c r="AV21" s="98">
        <v>1189.1891891891892</v>
      </c>
      <c r="AW21" s="98">
        <v>126.12612612612612</v>
      </c>
      <c r="AX21" s="98" t="s">
        <v>695</v>
      </c>
      <c r="AY21" s="98">
        <v>414.4144144144144</v>
      </c>
      <c r="AZ21" s="98">
        <v>702.7027027027027</v>
      </c>
      <c r="BA21" s="100" t="s">
        <v>695</v>
      </c>
      <c r="BB21" s="100" t="s">
        <v>695</v>
      </c>
      <c r="BC21" s="100" t="s">
        <v>695</v>
      </c>
      <c r="BD21" s="158">
        <v>1.897940216</v>
      </c>
      <c r="BE21" s="158">
        <v>2.42610611</v>
      </c>
      <c r="BF21" s="162">
        <v>811</v>
      </c>
      <c r="BG21" s="162" t="s">
        <v>695</v>
      </c>
      <c r="BH21" s="162">
        <v>1255</v>
      </c>
      <c r="BI21" s="162">
        <v>770</v>
      </c>
      <c r="BJ21" s="162">
        <v>374</v>
      </c>
      <c r="BK21" s="97"/>
      <c r="BL21" s="97"/>
      <c r="BM21" s="97"/>
      <c r="BN21" s="97"/>
    </row>
    <row r="22" spans="1:66" ht="12.75">
      <c r="A22" s="79" t="s">
        <v>583</v>
      </c>
      <c r="B22" s="79" t="s">
        <v>285</v>
      </c>
      <c r="C22" s="79" t="s">
        <v>255</v>
      </c>
      <c r="D22" s="99">
        <v>6962</v>
      </c>
      <c r="E22" s="99">
        <v>1289</v>
      </c>
      <c r="F22" s="99" t="s">
        <v>417</v>
      </c>
      <c r="G22" s="99">
        <v>33</v>
      </c>
      <c r="H22" s="99">
        <v>18</v>
      </c>
      <c r="I22" s="99">
        <v>146</v>
      </c>
      <c r="J22" s="99">
        <v>724</v>
      </c>
      <c r="K22" s="99">
        <v>667</v>
      </c>
      <c r="L22" s="99">
        <v>1054</v>
      </c>
      <c r="M22" s="99">
        <v>439</v>
      </c>
      <c r="N22" s="99">
        <v>210</v>
      </c>
      <c r="O22" s="99">
        <v>186</v>
      </c>
      <c r="P22" s="159">
        <v>186</v>
      </c>
      <c r="Q22" s="99">
        <v>17</v>
      </c>
      <c r="R22" s="99">
        <v>33</v>
      </c>
      <c r="S22" s="99">
        <v>46</v>
      </c>
      <c r="T22" s="99">
        <v>19</v>
      </c>
      <c r="U22" s="99">
        <v>6</v>
      </c>
      <c r="V22" s="99">
        <v>44</v>
      </c>
      <c r="W22" s="99" t="s">
        <v>695</v>
      </c>
      <c r="X22" s="99" t="s">
        <v>695</v>
      </c>
      <c r="Y22" s="99">
        <v>15</v>
      </c>
      <c r="Z22" s="99">
        <v>40</v>
      </c>
      <c r="AA22" s="99" t="s">
        <v>695</v>
      </c>
      <c r="AB22" s="99" t="s">
        <v>695</v>
      </c>
      <c r="AC22" s="99" t="s">
        <v>695</v>
      </c>
      <c r="AD22" s="98" t="s">
        <v>395</v>
      </c>
      <c r="AE22" s="100">
        <v>0.18514794599253087</v>
      </c>
      <c r="AF22" s="100">
        <v>0.09</v>
      </c>
      <c r="AG22" s="98">
        <v>474.0017236426314</v>
      </c>
      <c r="AH22" s="98">
        <v>258.5463947141626</v>
      </c>
      <c r="AI22" s="100">
        <v>0.021</v>
      </c>
      <c r="AJ22" s="100">
        <v>0.828375</v>
      </c>
      <c r="AK22" s="100">
        <v>0.793103</v>
      </c>
      <c r="AL22" s="100">
        <v>0.771596</v>
      </c>
      <c r="AM22" s="100">
        <v>0.573856</v>
      </c>
      <c r="AN22" s="100">
        <v>0.59322</v>
      </c>
      <c r="AO22" s="98">
        <v>2671.6460787130136</v>
      </c>
      <c r="AP22" s="158">
        <v>1.412687988</v>
      </c>
      <c r="AQ22" s="100">
        <v>0.0913978494623656</v>
      </c>
      <c r="AR22" s="100">
        <v>0.5151515151515151</v>
      </c>
      <c r="AS22" s="98">
        <v>660.7296753806378</v>
      </c>
      <c r="AT22" s="98">
        <v>272.9100833093938</v>
      </c>
      <c r="AU22" s="98">
        <v>86.18213157138753</v>
      </c>
      <c r="AV22" s="98">
        <v>632.0022981901752</v>
      </c>
      <c r="AW22" s="98" t="s">
        <v>695</v>
      </c>
      <c r="AX22" s="98" t="s">
        <v>695</v>
      </c>
      <c r="AY22" s="98">
        <v>215.45532892846884</v>
      </c>
      <c r="AZ22" s="98">
        <v>574.5475438092502</v>
      </c>
      <c r="BA22" s="100" t="s">
        <v>695</v>
      </c>
      <c r="BB22" s="100" t="s">
        <v>695</v>
      </c>
      <c r="BC22" s="100" t="s">
        <v>695</v>
      </c>
      <c r="BD22" s="158">
        <v>1.216954956</v>
      </c>
      <c r="BE22" s="158">
        <v>1.630943146</v>
      </c>
      <c r="BF22" s="162">
        <v>874</v>
      </c>
      <c r="BG22" s="162">
        <v>841</v>
      </c>
      <c r="BH22" s="162">
        <v>1366</v>
      </c>
      <c r="BI22" s="162">
        <v>765</v>
      </c>
      <c r="BJ22" s="162">
        <v>354</v>
      </c>
      <c r="BK22" s="97"/>
      <c r="BL22" s="97"/>
      <c r="BM22" s="97"/>
      <c r="BN22" s="97"/>
    </row>
    <row r="23" spans="1:66" ht="12.75">
      <c r="A23" s="79" t="s">
        <v>604</v>
      </c>
      <c r="B23" s="79" t="s">
        <v>307</v>
      </c>
      <c r="C23" s="79" t="s">
        <v>255</v>
      </c>
      <c r="D23" s="99">
        <v>6300</v>
      </c>
      <c r="E23" s="99">
        <v>1097</v>
      </c>
      <c r="F23" s="99" t="s">
        <v>415</v>
      </c>
      <c r="G23" s="99">
        <v>33</v>
      </c>
      <c r="H23" s="99">
        <v>20</v>
      </c>
      <c r="I23" s="99">
        <v>121</v>
      </c>
      <c r="J23" s="99">
        <v>573</v>
      </c>
      <c r="K23" s="99">
        <v>554</v>
      </c>
      <c r="L23" s="99">
        <v>1049</v>
      </c>
      <c r="M23" s="99">
        <v>374</v>
      </c>
      <c r="N23" s="99">
        <v>207</v>
      </c>
      <c r="O23" s="99">
        <v>70</v>
      </c>
      <c r="P23" s="159">
        <v>70</v>
      </c>
      <c r="Q23" s="99">
        <v>20</v>
      </c>
      <c r="R23" s="99">
        <v>39</v>
      </c>
      <c r="S23" s="99">
        <v>9</v>
      </c>
      <c r="T23" s="99">
        <v>10</v>
      </c>
      <c r="U23" s="99">
        <v>6</v>
      </c>
      <c r="V23" s="99">
        <v>12</v>
      </c>
      <c r="W23" s="99" t="s">
        <v>695</v>
      </c>
      <c r="X23" s="99" t="s">
        <v>695</v>
      </c>
      <c r="Y23" s="99">
        <v>20</v>
      </c>
      <c r="Z23" s="99">
        <v>59</v>
      </c>
      <c r="AA23" s="99" t="s">
        <v>695</v>
      </c>
      <c r="AB23" s="99" t="s">
        <v>695</v>
      </c>
      <c r="AC23" s="99" t="s">
        <v>695</v>
      </c>
      <c r="AD23" s="98" t="s">
        <v>395</v>
      </c>
      <c r="AE23" s="100">
        <v>0.17412698412698413</v>
      </c>
      <c r="AF23" s="100">
        <v>0.21</v>
      </c>
      <c r="AG23" s="98">
        <v>523.8095238095239</v>
      </c>
      <c r="AH23" s="98">
        <v>317.46031746031747</v>
      </c>
      <c r="AI23" s="100">
        <v>0.019</v>
      </c>
      <c r="AJ23" s="100">
        <v>0.75</v>
      </c>
      <c r="AK23" s="100">
        <v>0.752717</v>
      </c>
      <c r="AL23" s="100">
        <v>0.729993</v>
      </c>
      <c r="AM23" s="100">
        <v>0.488889</v>
      </c>
      <c r="AN23" s="100">
        <v>0.557951</v>
      </c>
      <c r="AO23" s="98">
        <v>1111.111111111111</v>
      </c>
      <c r="AP23" s="158">
        <v>0.588792305</v>
      </c>
      <c r="AQ23" s="100">
        <v>0.2857142857142857</v>
      </c>
      <c r="AR23" s="100">
        <v>0.5128205128205128</v>
      </c>
      <c r="AS23" s="98">
        <v>142.85714285714286</v>
      </c>
      <c r="AT23" s="98">
        <v>158.73015873015873</v>
      </c>
      <c r="AU23" s="98">
        <v>95.23809523809524</v>
      </c>
      <c r="AV23" s="98">
        <v>190.47619047619048</v>
      </c>
      <c r="AW23" s="98" t="s">
        <v>695</v>
      </c>
      <c r="AX23" s="98" t="s">
        <v>695</v>
      </c>
      <c r="AY23" s="98">
        <v>317.46031746031747</v>
      </c>
      <c r="AZ23" s="98">
        <v>936.5079365079365</v>
      </c>
      <c r="BA23" s="100" t="s">
        <v>695</v>
      </c>
      <c r="BB23" s="100" t="s">
        <v>695</v>
      </c>
      <c r="BC23" s="100" t="s">
        <v>695</v>
      </c>
      <c r="BD23" s="158">
        <v>0.4589924622</v>
      </c>
      <c r="BE23" s="158">
        <v>0.743903656</v>
      </c>
      <c r="BF23" s="162">
        <v>764</v>
      </c>
      <c r="BG23" s="162">
        <v>736</v>
      </c>
      <c r="BH23" s="162">
        <v>1437</v>
      </c>
      <c r="BI23" s="162">
        <v>765</v>
      </c>
      <c r="BJ23" s="162">
        <v>371</v>
      </c>
      <c r="BK23" s="97"/>
      <c r="BL23" s="97"/>
      <c r="BM23" s="97"/>
      <c r="BN23" s="97"/>
    </row>
    <row r="24" spans="1:66" ht="12.75">
      <c r="A24" s="79" t="s">
        <v>671</v>
      </c>
      <c r="B24" s="79" t="s">
        <v>377</v>
      </c>
      <c r="C24" s="79" t="s">
        <v>255</v>
      </c>
      <c r="D24" s="99">
        <v>2550</v>
      </c>
      <c r="E24" s="99">
        <v>383</v>
      </c>
      <c r="F24" s="99" t="s">
        <v>415</v>
      </c>
      <c r="G24" s="99">
        <v>9</v>
      </c>
      <c r="H24" s="99" t="s">
        <v>695</v>
      </c>
      <c r="I24" s="99">
        <v>48</v>
      </c>
      <c r="J24" s="99">
        <v>179</v>
      </c>
      <c r="K24" s="99" t="s">
        <v>695</v>
      </c>
      <c r="L24" s="99">
        <v>447</v>
      </c>
      <c r="M24" s="99">
        <v>121</v>
      </c>
      <c r="N24" s="99">
        <v>45</v>
      </c>
      <c r="O24" s="99">
        <v>86</v>
      </c>
      <c r="P24" s="159">
        <v>86</v>
      </c>
      <c r="Q24" s="99" t="s">
        <v>695</v>
      </c>
      <c r="R24" s="99">
        <v>9</v>
      </c>
      <c r="S24" s="99">
        <v>19</v>
      </c>
      <c r="T24" s="99">
        <v>14</v>
      </c>
      <c r="U24" s="99" t="s">
        <v>695</v>
      </c>
      <c r="V24" s="99">
        <v>13</v>
      </c>
      <c r="W24" s="99" t="s">
        <v>695</v>
      </c>
      <c r="X24" s="99" t="s">
        <v>695</v>
      </c>
      <c r="Y24" s="99" t="s">
        <v>695</v>
      </c>
      <c r="Z24" s="99" t="s">
        <v>695</v>
      </c>
      <c r="AA24" s="99" t="s">
        <v>695</v>
      </c>
      <c r="AB24" s="99" t="s">
        <v>695</v>
      </c>
      <c r="AC24" s="99" t="s">
        <v>695</v>
      </c>
      <c r="AD24" s="98" t="s">
        <v>395</v>
      </c>
      <c r="AE24" s="100">
        <v>0.15019607843137256</v>
      </c>
      <c r="AF24" s="100">
        <v>0.23</v>
      </c>
      <c r="AG24" s="98">
        <v>352.94117647058823</v>
      </c>
      <c r="AH24" s="98" t="s">
        <v>695</v>
      </c>
      <c r="AI24" s="100">
        <v>0.019</v>
      </c>
      <c r="AJ24" s="100">
        <v>0.653285</v>
      </c>
      <c r="AK24" s="100" t="s">
        <v>695</v>
      </c>
      <c r="AL24" s="100">
        <v>0.808318</v>
      </c>
      <c r="AM24" s="100">
        <v>0.487903</v>
      </c>
      <c r="AN24" s="100">
        <v>0.401786</v>
      </c>
      <c r="AO24" s="98">
        <v>3372.549019607843</v>
      </c>
      <c r="AP24" s="158">
        <v>1.9694882200000001</v>
      </c>
      <c r="AQ24" s="100" t="s">
        <v>695</v>
      </c>
      <c r="AR24" s="100" t="s">
        <v>695</v>
      </c>
      <c r="AS24" s="98">
        <v>745.0980392156863</v>
      </c>
      <c r="AT24" s="98">
        <v>549.0196078431372</v>
      </c>
      <c r="AU24" s="98" t="s">
        <v>695</v>
      </c>
      <c r="AV24" s="98">
        <v>509.80392156862746</v>
      </c>
      <c r="AW24" s="98" t="s">
        <v>695</v>
      </c>
      <c r="AX24" s="98" t="s">
        <v>695</v>
      </c>
      <c r="AY24" s="98" t="s">
        <v>695</v>
      </c>
      <c r="AZ24" s="98" t="s">
        <v>695</v>
      </c>
      <c r="BA24" s="101" t="s">
        <v>695</v>
      </c>
      <c r="BB24" s="101" t="s">
        <v>695</v>
      </c>
      <c r="BC24" s="101" t="s">
        <v>695</v>
      </c>
      <c r="BD24" s="158">
        <v>1.575336456</v>
      </c>
      <c r="BE24" s="158">
        <v>2.432301941</v>
      </c>
      <c r="BF24" s="162">
        <v>274</v>
      </c>
      <c r="BG24" s="162" t="s">
        <v>695</v>
      </c>
      <c r="BH24" s="162">
        <v>553</v>
      </c>
      <c r="BI24" s="162">
        <v>248</v>
      </c>
      <c r="BJ24" s="162">
        <v>112</v>
      </c>
      <c r="BK24" s="97"/>
      <c r="BL24" s="97"/>
      <c r="BM24" s="97"/>
      <c r="BN24" s="97"/>
    </row>
    <row r="25" spans="1:66" ht="12.75">
      <c r="A25" s="79" t="s">
        <v>686</v>
      </c>
      <c r="B25" s="79" t="s">
        <v>392</v>
      </c>
      <c r="C25" s="79" t="s">
        <v>255</v>
      </c>
      <c r="D25" s="99">
        <v>3832</v>
      </c>
      <c r="E25" s="99">
        <v>241</v>
      </c>
      <c r="F25" s="99" t="s">
        <v>415</v>
      </c>
      <c r="G25" s="99" t="s">
        <v>695</v>
      </c>
      <c r="H25" s="99" t="s">
        <v>695</v>
      </c>
      <c r="I25" s="99">
        <v>22</v>
      </c>
      <c r="J25" s="99">
        <v>143</v>
      </c>
      <c r="K25" s="99">
        <v>139</v>
      </c>
      <c r="L25" s="99">
        <v>625</v>
      </c>
      <c r="M25" s="99">
        <v>78</v>
      </c>
      <c r="N25" s="99">
        <v>38</v>
      </c>
      <c r="O25" s="99">
        <v>44</v>
      </c>
      <c r="P25" s="159">
        <v>44</v>
      </c>
      <c r="Q25" s="99" t="s">
        <v>695</v>
      </c>
      <c r="R25" s="99">
        <v>6</v>
      </c>
      <c r="S25" s="99">
        <v>13</v>
      </c>
      <c r="T25" s="99" t="s">
        <v>695</v>
      </c>
      <c r="U25" s="99" t="s">
        <v>695</v>
      </c>
      <c r="V25" s="99">
        <v>6</v>
      </c>
      <c r="W25" s="99" t="s">
        <v>695</v>
      </c>
      <c r="X25" s="99" t="s">
        <v>695</v>
      </c>
      <c r="Y25" s="99">
        <v>11</v>
      </c>
      <c r="Z25" s="99" t="s">
        <v>695</v>
      </c>
      <c r="AA25" s="99" t="s">
        <v>695</v>
      </c>
      <c r="AB25" s="99" t="s">
        <v>695</v>
      </c>
      <c r="AC25" s="99" t="s">
        <v>695</v>
      </c>
      <c r="AD25" s="98" t="s">
        <v>395</v>
      </c>
      <c r="AE25" s="100">
        <v>0.06289144050104384</v>
      </c>
      <c r="AF25" s="100">
        <v>0.2</v>
      </c>
      <c r="AG25" s="98" t="s">
        <v>695</v>
      </c>
      <c r="AH25" s="98" t="s">
        <v>695</v>
      </c>
      <c r="AI25" s="100">
        <v>0.006</v>
      </c>
      <c r="AJ25" s="100">
        <v>0.572</v>
      </c>
      <c r="AK25" s="100">
        <v>0.57438</v>
      </c>
      <c r="AL25" s="100">
        <v>0.65445</v>
      </c>
      <c r="AM25" s="100">
        <v>0.42623</v>
      </c>
      <c r="AN25" s="100">
        <v>0.436782</v>
      </c>
      <c r="AO25" s="98">
        <v>1148.2254697286012</v>
      </c>
      <c r="AP25" s="158">
        <v>0.9885890198</v>
      </c>
      <c r="AQ25" s="100" t="s">
        <v>695</v>
      </c>
      <c r="AR25" s="100" t="s">
        <v>695</v>
      </c>
      <c r="AS25" s="98">
        <v>339.2484342379958</v>
      </c>
      <c r="AT25" s="98" t="s">
        <v>695</v>
      </c>
      <c r="AU25" s="98" t="s">
        <v>695</v>
      </c>
      <c r="AV25" s="98">
        <v>156.57620041753654</v>
      </c>
      <c r="AW25" s="98" t="s">
        <v>695</v>
      </c>
      <c r="AX25" s="98" t="s">
        <v>695</v>
      </c>
      <c r="AY25" s="98">
        <v>287.0563674321503</v>
      </c>
      <c r="AZ25" s="98" t="s">
        <v>695</v>
      </c>
      <c r="BA25" s="100" t="s">
        <v>695</v>
      </c>
      <c r="BB25" s="100" t="s">
        <v>695</v>
      </c>
      <c r="BC25" s="100" t="s">
        <v>695</v>
      </c>
      <c r="BD25" s="158">
        <v>0.718310318</v>
      </c>
      <c r="BE25" s="158">
        <v>1.327134552</v>
      </c>
      <c r="BF25" s="162">
        <v>250</v>
      </c>
      <c r="BG25" s="162">
        <v>242</v>
      </c>
      <c r="BH25" s="162">
        <v>955</v>
      </c>
      <c r="BI25" s="162">
        <v>183</v>
      </c>
      <c r="BJ25" s="162">
        <v>87</v>
      </c>
      <c r="BK25" s="97"/>
      <c r="BL25" s="97"/>
      <c r="BM25" s="97"/>
      <c r="BN25" s="97"/>
    </row>
    <row r="26" spans="1:66" ht="12.75">
      <c r="A26" s="79" t="s">
        <v>637</v>
      </c>
      <c r="B26" s="79" t="s">
        <v>341</v>
      </c>
      <c r="C26" s="79" t="s">
        <v>255</v>
      </c>
      <c r="D26" s="99">
        <v>2085</v>
      </c>
      <c r="E26" s="99">
        <v>450</v>
      </c>
      <c r="F26" s="99" t="s">
        <v>415</v>
      </c>
      <c r="G26" s="99">
        <v>13</v>
      </c>
      <c r="H26" s="99">
        <v>8</v>
      </c>
      <c r="I26" s="99">
        <v>49</v>
      </c>
      <c r="J26" s="99">
        <v>186</v>
      </c>
      <c r="K26" s="99" t="s">
        <v>695</v>
      </c>
      <c r="L26" s="99">
        <v>292</v>
      </c>
      <c r="M26" s="99">
        <v>129</v>
      </c>
      <c r="N26" s="99">
        <v>52</v>
      </c>
      <c r="O26" s="99">
        <v>66</v>
      </c>
      <c r="P26" s="159">
        <v>66</v>
      </c>
      <c r="Q26" s="99">
        <v>7</v>
      </c>
      <c r="R26" s="99">
        <v>14</v>
      </c>
      <c r="S26" s="99">
        <v>15</v>
      </c>
      <c r="T26" s="99">
        <v>12</v>
      </c>
      <c r="U26" s="99" t="s">
        <v>695</v>
      </c>
      <c r="V26" s="99">
        <v>7</v>
      </c>
      <c r="W26" s="99" t="s">
        <v>695</v>
      </c>
      <c r="X26" s="99" t="s">
        <v>695</v>
      </c>
      <c r="Y26" s="99">
        <v>6</v>
      </c>
      <c r="Z26" s="99">
        <v>21</v>
      </c>
      <c r="AA26" s="99" t="s">
        <v>695</v>
      </c>
      <c r="AB26" s="99" t="s">
        <v>695</v>
      </c>
      <c r="AC26" s="99" t="s">
        <v>695</v>
      </c>
      <c r="AD26" s="98" t="s">
        <v>395</v>
      </c>
      <c r="AE26" s="100">
        <v>0.2158273381294964</v>
      </c>
      <c r="AF26" s="100">
        <v>0.22</v>
      </c>
      <c r="AG26" s="98">
        <v>623.5011990407673</v>
      </c>
      <c r="AH26" s="98">
        <v>383.69304556354916</v>
      </c>
      <c r="AI26" s="100">
        <v>0.024</v>
      </c>
      <c r="AJ26" s="100">
        <v>0.707224</v>
      </c>
      <c r="AK26" s="100" t="s">
        <v>695</v>
      </c>
      <c r="AL26" s="100">
        <v>0.707022</v>
      </c>
      <c r="AM26" s="100">
        <v>0.421569</v>
      </c>
      <c r="AN26" s="100">
        <v>0.371429</v>
      </c>
      <c r="AO26" s="98">
        <v>3165.4676258992804</v>
      </c>
      <c r="AP26" s="158">
        <v>1.51917572</v>
      </c>
      <c r="AQ26" s="100">
        <v>0.10606060606060606</v>
      </c>
      <c r="AR26" s="100">
        <v>0.5</v>
      </c>
      <c r="AS26" s="98">
        <v>719.4244604316547</v>
      </c>
      <c r="AT26" s="98">
        <v>575.5395683453237</v>
      </c>
      <c r="AU26" s="98" t="s">
        <v>695</v>
      </c>
      <c r="AV26" s="98">
        <v>335.7314148681055</v>
      </c>
      <c r="AW26" s="98" t="s">
        <v>695</v>
      </c>
      <c r="AX26" s="98" t="s">
        <v>695</v>
      </c>
      <c r="AY26" s="98">
        <v>287.76978417266184</v>
      </c>
      <c r="AZ26" s="98">
        <v>1007.1942446043165</v>
      </c>
      <c r="BA26" s="100" t="s">
        <v>695</v>
      </c>
      <c r="BB26" s="100" t="s">
        <v>695</v>
      </c>
      <c r="BC26" s="100" t="s">
        <v>695</v>
      </c>
      <c r="BD26" s="158">
        <v>1.174930344</v>
      </c>
      <c r="BE26" s="158">
        <v>1.9327639769999998</v>
      </c>
      <c r="BF26" s="162">
        <v>263</v>
      </c>
      <c r="BG26" s="162" t="s">
        <v>695</v>
      </c>
      <c r="BH26" s="162">
        <v>413</v>
      </c>
      <c r="BI26" s="162">
        <v>306</v>
      </c>
      <c r="BJ26" s="162">
        <v>140</v>
      </c>
      <c r="BK26" s="97"/>
      <c r="BL26" s="97"/>
      <c r="BM26" s="97"/>
      <c r="BN26" s="97"/>
    </row>
    <row r="27" spans="1:66" ht="12.75">
      <c r="A27" s="79" t="s">
        <v>666</v>
      </c>
      <c r="B27" s="79" t="s">
        <v>372</v>
      </c>
      <c r="C27" s="79" t="s">
        <v>255</v>
      </c>
      <c r="D27" s="99">
        <v>2470</v>
      </c>
      <c r="E27" s="99">
        <v>239</v>
      </c>
      <c r="F27" s="99" t="s">
        <v>418</v>
      </c>
      <c r="G27" s="99" t="s">
        <v>695</v>
      </c>
      <c r="H27" s="99">
        <v>10</v>
      </c>
      <c r="I27" s="99">
        <v>37</v>
      </c>
      <c r="J27" s="99">
        <v>147</v>
      </c>
      <c r="K27" s="99" t="s">
        <v>695</v>
      </c>
      <c r="L27" s="99">
        <v>464</v>
      </c>
      <c r="M27" s="99">
        <v>55</v>
      </c>
      <c r="N27" s="99">
        <v>42</v>
      </c>
      <c r="O27" s="99">
        <v>16</v>
      </c>
      <c r="P27" s="159">
        <v>16</v>
      </c>
      <c r="Q27" s="99" t="s">
        <v>695</v>
      </c>
      <c r="R27" s="99">
        <v>7</v>
      </c>
      <c r="S27" s="99" t="s">
        <v>695</v>
      </c>
      <c r="T27" s="99" t="s">
        <v>695</v>
      </c>
      <c r="U27" s="99" t="s">
        <v>695</v>
      </c>
      <c r="V27" s="99" t="s">
        <v>695</v>
      </c>
      <c r="W27" s="99">
        <v>7</v>
      </c>
      <c r="X27" s="99" t="s">
        <v>695</v>
      </c>
      <c r="Y27" s="99">
        <v>29</v>
      </c>
      <c r="Z27" s="99">
        <v>20</v>
      </c>
      <c r="AA27" s="99" t="s">
        <v>695</v>
      </c>
      <c r="AB27" s="99" t="s">
        <v>695</v>
      </c>
      <c r="AC27" s="99" t="s">
        <v>695</v>
      </c>
      <c r="AD27" s="98" t="s">
        <v>395</v>
      </c>
      <c r="AE27" s="100">
        <v>0.09676113360323886</v>
      </c>
      <c r="AF27" s="100">
        <v>0.16</v>
      </c>
      <c r="AG27" s="98" t="s">
        <v>695</v>
      </c>
      <c r="AH27" s="98">
        <v>404.8582995951417</v>
      </c>
      <c r="AI27" s="100">
        <v>0.015</v>
      </c>
      <c r="AJ27" s="100">
        <v>0.588</v>
      </c>
      <c r="AK27" s="100" t="s">
        <v>695</v>
      </c>
      <c r="AL27" s="100">
        <v>0.760656</v>
      </c>
      <c r="AM27" s="100">
        <v>0.270936</v>
      </c>
      <c r="AN27" s="100">
        <v>0.43299</v>
      </c>
      <c r="AO27" s="98">
        <v>647.7732793522267</v>
      </c>
      <c r="AP27" s="158">
        <v>0.4371494293</v>
      </c>
      <c r="AQ27" s="100" t="s">
        <v>695</v>
      </c>
      <c r="AR27" s="100" t="s">
        <v>695</v>
      </c>
      <c r="AS27" s="98" t="s">
        <v>695</v>
      </c>
      <c r="AT27" s="98" t="s">
        <v>695</v>
      </c>
      <c r="AU27" s="98" t="s">
        <v>695</v>
      </c>
      <c r="AV27" s="98" t="s">
        <v>695</v>
      </c>
      <c r="AW27" s="98">
        <v>283.4008097165992</v>
      </c>
      <c r="AX27" s="98" t="s">
        <v>695</v>
      </c>
      <c r="AY27" s="98">
        <v>1174.089068825911</v>
      </c>
      <c r="AZ27" s="98">
        <v>809.7165991902834</v>
      </c>
      <c r="BA27" s="100" t="s">
        <v>695</v>
      </c>
      <c r="BB27" s="100" t="s">
        <v>695</v>
      </c>
      <c r="BC27" s="100" t="s">
        <v>695</v>
      </c>
      <c r="BD27" s="158">
        <v>0.24986866</v>
      </c>
      <c r="BE27" s="158">
        <v>0.7099032593</v>
      </c>
      <c r="BF27" s="162">
        <v>250</v>
      </c>
      <c r="BG27" s="162" t="s">
        <v>695</v>
      </c>
      <c r="BH27" s="162">
        <v>610</v>
      </c>
      <c r="BI27" s="162">
        <v>203</v>
      </c>
      <c r="BJ27" s="162">
        <v>97</v>
      </c>
      <c r="BK27" s="97"/>
      <c r="BL27" s="97"/>
      <c r="BM27" s="97"/>
      <c r="BN27" s="97"/>
    </row>
    <row r="28" spans="1:66" ht="12.75">
      <c r="A28" s="79" t="s">
        <v>581</v>
      </c>
      <c r="B28" s="79" t="s">
        <v>283</v>
      </c>
      <c r="C28" s="79" t="s">
        <v>255</v>
      </c>
      <c r="D28" s="99">
        <v>6098</v>
      </c>
      <c r="E28" s="99">
        <v>1094</v>
      </c>
      <c r="F28" s="99" t="s">
        <v>418</v>
      </c>
      <c r="G28" s="99">
        <v>22</v>
      </c>
      <c r="H28" s="99">
        <v>10</v>
      </c>
      <c r="I28" s="99">
        <v>55</v>
      </c>
      <c r="J28" s="99">
        <v>687</v>
      </c>
      <c r="K28" s="99">
        <v>648</v>
      </c>
      <c r="L28" s="99">
        <v>1206</v>
      </c>
      <c r="M28" s="99">
        <v>456</v>
      </c>
      <c r="N28" s="99">
        <v>230</v>
      </c>
      <c r="O28" s="99">
        <v>197</v>
      </c>
      <c r="P28" s="159">
        <v>197</v>
      </c>
      <c r="Q28" s="99">
        <v>20</v>
      </c>
      <c r="R28" s="99">
        <v>30</v>
      </c>
      <c r="S28" s="99">
        <v>38</v>
      </c>
      <c r="T28" s="99">
        <v>33</v>
      </c>
      <c r="U28" s="99">
        <v>10</v>
      </c>
      <c r="V28" s="99">
        <v>32</v>
      </c>
      <c r="W28" s="99" t="s">
        <v>695</v>
      </c>
      <c r="X28" s="99" t="s">
        <v>695</v>
      </c>
      <c r="Y28" s="99">
        <v>17</v>
      </c>
      <c r="Z28" s="99">
        <v>27</v>
      </c>
      <c r="AA28" s="99" t="s">
        <v>695</v>
      </c>
      <c r="AB28" s="99" t="s">
        <v>695</v>
      </c>
      <c r="AC28" s="99" t="s">
        <v>695</v>
      </c>
      <c r="AD28" s="98" t="s">
        <v>395</v>
      </c>
      <c r="AE28" s="100">
        <v>0.17940308297802557</v>
      </c>
      <c r="AF28" s="100">
        <v>0.13</v>
      </c>
      <c r="AG28" s="98">
        <v>360.77402427025254</v>
      </c>
      <c r="AH28" s="98">
        <v>163.98819285011479</v>
      </c>
      <c r="AI28" s="100">
        <v>0.009000000000000001</v>
      </c>
      <c r="AJ28" s="100">
        <v>0.826715</v>
      </c>
      <c r="AK28" s="100">
        <v>0.81407</v>
      </c>
      <c r="AL28" s="100">
        <v>0.836919</v>
      </c>
      <c r="AM28" s="100">
        <v>0.577947</v>
      </c>
      <c r="AN28" s="100">
        <v>0.572139</v>
      </c>
      <c r="AO28" s="98">
        <v>3230.5673991472613</v>
      </c>
      <c r="AP28" s="158">
        <v>1.652667999</v>
      </c>
      <c r="AQ28" s="100">
        <v>0.10152284263959391</v>
      </c>
      <c r="AR28" s="100">
        <v>0.6666666666666666</v>
      </c>
      <c r="AS28" s="98">
        <v>623.1551328304362</v>
      </c>
      <c r="AT28" s="98">
        <v>541.1610364053788</v>
      </c>
      <c r="AU28" s="98">
        <v>163.98819285011479</v>
      </c>
      <c r="AV28" s="98">
        <v>524.7622171203674</v>
      </c>
      <c r="AW28" s="98" t="s">
        <v>695</v>
      </c>
      <c r="AX28" s="98" t="s">
        <v>695</v>
      </c>
      <c r="AY28" s="98">
        <v>278.7799278451951</v>
      </c>
      <c r="AZ28" s="98">
        <v>442.76812069530996</v>
      </c>
      <c r="BA28" s="101" t="s">
        <v>695</v>
      </c>
      <c r="BB28" s="101" t="s">
        <v>695</v>
      </c>
      <c r="BC28" s="101" t="s">
        <v>695</v>
      </c>
      <c r="BD28" s="158">
        <v>1.4299324039999999</v>
      </c>
      <c r="BE28" s="158">
        <v>1.9002641299999998</v>
      </c>
      <c r="BF28" s="162">
        <v>831</v>
      </c>
      <c r="BG28" s="162">
        <v>796</v>
      </c>
      <c r="BH28" s="162">
        <v>1441</v>
      </c>
      <c r="BI28" s="162">
        <v>789</v>
      </c>
      <c r="BJ28" s="162">
        <v>402</v>
      </c>
      <c r="BK28" s="97"/>
      <c r="BL28" s="97"/>
      <c r="BM28" s="97"/>
      <c r="BN28" s="97"/>
    </row>
    <row r="29" spans="1:66" ht="12.75">
      <c r="A29" s="79" t="s">
        <v>687</v>
      </c>
      <c r="B29" s="79" t="s">
        <v>394</v>
      </c>
      <c r="C29" s="79" t="s">
        <v>255</v>
      </c>
      <c r="D29" s="99">
        <v>2084</v>
      </c>
      <c r="E29" s="99">
        <v>272</v>
      </c>
      <c r="F29" s="99" t="s">
        <v>418</v>
      </c>
      <c r="G29" s="99">
        <v>9</v>
      </c>
      <c r="H29" s="99" t="s">
        <v>695</v>
      </c>
      <c r="I29" s="99">
        <v>25</v>
      </c>
      <c r="J29" s="99">
        <v>174</v>
      </c>
      <c r="K29" s="99" t="s">
        <v>695</v>
      </c>
      <c r="L29" s="99">
        <v>483</v>
      </c>
      <c r="M29" s="99">
        <v>82</v>
      </c>
      <c r="N29" s="99">
        <v>68</v>
      </c>
      <c r="O29" s="99">
        <v>21</v>
      </c>
      <c r="P29" s="159">
        <v>21</v>
      </c>
      <c r="Q29" s="99" t="s">
        <v>695</v>
      </c>
      <c r="R29" s="99">
        <v>8</v>
      </c>
      <c r="S29" s="99">
        <v>8</v>
      </c>
      <c r="T29" s="99">
        <v>7</v>
      </c>
      <c r="U29" s="99" t="s">
        <v>695</v>
      </c>
      <c r="V29" s="99" t="s">
        <v>695</v>
      </c>
      <c r="W29" s="99">
        <v>12</v>
      </c>
      <c r="X29" s="99" t="s">
        <v>695</v>
      </c>
      <c r="Y29" s="99">
        <v>13</v>
      </c>
      <c r="Z29" s="99">
        <v>9</v>
      </c>
      <c r="AA29" s="99" t="s">
        <v>695</v>
      </c>
      <c r="AB29" s="99" t="s">
        <v>695</v>
      </c>
      <c r="AC29" s="99" t="s">
        <v>695</v>
      </c>
      <c r="AD29" s="98" t="s">
        <v>395</v>
      </c>
      <c r="AE29" s="100">
        <v>0.13051823416506717</v>
      </c>
      <c r="AF29" s="100">
        <v>0.13</v>
      </c>
      <c r="AG29" s="98">
        <v>431.86180422264874</v>
      </c>
      <c r="AH29" s="98" t="s">
        <v>695</v>
      </c>
      <c r="AI29" s="100">
        <v>0.012</v>
      </c>
      <c r="AJ29" s="100">
        <v>0.679688</v>
      </c>
      <c r="AK29" s="100" t="s">
        <v>695</v>
      </c>
      <c r="AL29" s="100">
        <v>0.83564</v>
      </c>
      <c r="AM29" s="100">
        <v>0.401961</v>
      </c>
      <c r="AN29" s="100">
        <v>0.586207</v>
      </c>
      <c r="AO29" s="98">
        <v>1007.6775431861804</v>
      </c>
      <c r="AP29" s="158">
        <v>0.5891202164</v>
      </c>
      <c r="AQ29" s="100" t="s">
        <v>695</v>
      </c>
      <c r="AR29" s="100" t="s">
        <v>695</v>
      </c>
      <c r="AS29" s="98">
        <v>383.8771593090211</v>
      </c>
      <c r="AT29" s="98">
        <v>335.89251439539345</v>
      </c>
      <c r="AU29" s="98" t="s">
        <v>695</v>
      </c>
      <c r="AV29" s="98" t="s">
        <v>695</v>
      </c>
      <c r="AW29" s="98">
        <v>575.8157389635317</v>
      </c>
      <c r="AX29" s="98" t="s">
        <v>695</v>
      </c>
      <c r="AY29" s="98">
        <v>623.8003838771593</v>
      </c>
      <c r="AZ29" s="98">
        <v>431.86180422264874</v>
      </c>
      <c r="BA29" s="100" t="s">
        <v>695</v>
      </c>
      <c r="BB29" s="100" t="s">
        <v>695</v>
      </c>
      <c r="BC29" s="100" t="s">
        <v>695</v>
      </c>
      <c r="BD29" s="158">
        <v>0.3646747208</v>
      </c>
      <c r="BE29" s="158">
        <v>0.9005328369</v>
      </c>
      <c r="BF29" s="162">
        <v>256</v>
      </c>
      <c r="BG29" s="162" t="s">
        <v>695</v>
      </c>
      <c r="BH29" s="162">
        <v>578</v>
      </c>
      <c r="BI29" s="162">
        <v>204</v>
      </c>
      <c r="BJ29" s="162">
        <v>116</v>
      </c>
      <c r="BK29" s="97"/>
      <c r="BL29" s="97"/>
      <c r="BM29" s="97"/>
      <c r="BN29" s="97"/>
    </row>
    <row r="30" spans="1:66" ht="12.75">
      <c r="A30" s="79" t="s">
        <v>701</v>
      </c>
      <c r="B30" s="79" t="s">
        <v>369</v>
      </c>
      <c r="C30" s="79" t="s">
        <v>255</v>
      </c>
      <c r="D30" s="99">
        <v>1826</v>
      </c>
      <c r="E30" s="99">
        <v>419</v>
      </c>
      <c r="F30" s="99" t="s">
        <v>418</v>
      </c>
      <c r="G30" s="99">
        <v>15</v>
      </c>
      <c r="H30" s="99">
        <v>7</v>
      </c>
      <c r="I30" s="99">
        <v>47</v>
      </c>
      <c r="J30" s="99">
        <v>193</v>
      </c>
      <c r="K30" s="99">
        <v>186</v>
      </c>
      <c r="L30" s="99">
        <v>320</v>
      </c>
      <c r="M30" s="99">
        <v>137</v>
      </c>
      <c r="N30" s="99">
        <v>67</v>
      </c>
      <c r="O30" s="99">
        <v>104</v>
      </c>
      <c r="P30" s="159">
        <v>104</v>
      </c>
      <c r="Q30" s="99">
        <v>9</v>
      </c>
      <c r="R30" s="99">
        <v>12</v>
      </c>
      <c r="S30" s="99">
        <v>14</v>
      </c>
      <c r="T30" s="99">
        <v>19</v>
      </c>
      <c r="U30" s="99">
        <v>9</v>
      </c>
      <c r="V30" s="99">
        <v>21</v>
      </c>
      <c r="W30" s="99" t="s">
        <v>695</v>
      </c>
      <c r="X30" s="99" t="s">
        <v>695</v>
      </c>
      <c r="Y30" s="99">
        <v>7</v>
      </c>
      <c r="Z30" s="99">
        <v>17</v>
      </c>
      <c r="AA30" s="99" t="s">
        <v>695</v>
      </c>
      <c r="AB30" s="99" t="s">
        <v>695</v>
      </c>
      <c r="AC30" s="99" t="s">
        <v>695</v>
      </c>
      <c r="AD30" s="98" t="s">
        <v>395</v>
      </c>
      <c r="AE30" s="100">
        <v>0.2294633077765608</v>
      </c>
      <c r="AF30" s="100">
        <v>0.14</v>
      </c>
      <c r="AG30" s="98">
        <v>821.4676889375685</v>
      </c>
      <c r="AH30" s="98">
        <v>383.3515881708653</v>
      </c>
      <c r="AI30" s="100">
        <v>0.026000000000000002</v>
      </c>
      <c r="AJ30" s="100">
        <v>0.762846</v>
      </c>
      <c r="AK30" s="100">
        <v>0.75</v>
      </c>
      <c r="AL30" s="100">
        <v>0.844327</v>
      </c>
      <c r="AM30" s="100">
        <v>0.552419</v>
      </c>
      <c r="AN30" s="100">
        <v>0.567797</v>
      </c>
      <c r="AO30" s="98">
        <v>5695.509309967141</v>
      </c>
      <c r="AP30" s="158">
        <v>2.567748413</v>
      </c>
      <c r="AQ30" s="100">
        <v>0.08653846153846154</v>
      </c>
      <c r="AR30" s="100">
        <v>0.75</v>
      </c>
      <c r="AS30" s="98">
        <v>766.7031763417306</v>
      </c>
      <c r="AT30" s="98">
        <v>1040.5257393209201</v>
      </c>
      <c r="AU30" s="98">
        <v>492.88061336254106</v>
      </c>
      <c r="AV30" s="98">
        <v>1150.0547645125957</v>
      </c>
      <c r="AW30" s="98" t="s">
        <v>695</v>
      </c>
      <c r="AX30" s="98" t="s">
        <v>695</v>
      </c>
      <c r="AY30" s="98">
        <v>383.3515881708653</v>
      </c>
      <c r="AZ30" s="98">
        <v>930.9967141292442</v>
      </c>
      <c r="BA30" s="100" t="s">
        <v>695</v>
      </c>
      <c r="BB30" s="100" t="s">
        <v>695</v>
      </c>
      <c r="BC30" s="100" t="s">
        <v>695</v>
      </c>
      <c r="BD30" s="158">
        <v>2.0980366520000002</v>
      </c>
      <c r="BE30" s="158">
        <v>3.1112570190000004</v>
      </c>
      <c r="BF30" s="162">
        <v>253</v>
      </c>
      <c r="BG30" s="162">
        <v>248</v>
      </c>
      <c r="BH30" s="162">
        <v>379</v>
      </c>
      <c r="BI30" s="162">
        <v>248</v>
      </c>
      <c r="BJ30" s="162">
        <v>118</v>
      </c>
      <c r="BK30" s="97"/>
      <c r="BL30" s="97"/>
      <c r="BM30" s="97"/>
      <c r="BN30" s="97"/>
    </row>
    <row r="31" spans="1:66" ht="12.75">
      <c r="A31" s="79" t="s">
        <v>634</v>
      </c>
      <c r="B31" s="79" t="s">
        <v>338</v>
      </c>
      <c r="C31" s="79" t="s">
        <v>255</v>
      </c>
      <c r="D31" s="99">
        <v>2002</v>
      </c>
      <c r="E31" s="99">
        <v>297</v>
      </c>
      <c r="F31" s="99" t="s">
        <v>418</v>
      </c>
      <c r="G31" s="99">
        <v>9</v>
      </c>
      <c r="H31" s="99">
        <v>6</v>
      </c>
      <c r="I31" s="99">
        <v>30</v>
      </c>
      <c r="J31" s="99">
        <v>154</v>
      </c>
      <c r="K31" s="99">
        <v>8</v>
      </c>
      <c r="L31" s="99">
        <v>315</v>
      </c>
      <c r="M31" s="99">
        <v>76</v>
      </c>
      <c r="N31" s="99">
        <v>55</v>
      </c>
      <c r="O31" s="99">
        <v>23</v>
      </c>
      <c r="P31" s="159">
        <v>23</v>
      </c>
      <c r="Q31" s="99" t="s">
        <v>695</v>
      </c>
      <c r="R31" s="99">
        <v>7</v>
      </c>
      <c r="S31" s="99" t="s">
        <v>695</v>
      </c>
      <c r="T31" s="99" t="s">
        <v>695</v>
      </c>
      <c r="U31" s="99" t="s">
        <v>695</v>
      </c>
      <c r="V31" s="99">
        <v>11</v>
      </c>
      <c r="W31" s="99">
        <v>19</v>
      </c>
      <c r="X31" s="99" t="s">
        <v>695</v>
      </c>
      <c r="Y31" s="99">
        <v>13</v>
      </c>
      <c r="Z31" s="99">
        <v>10</v>
      </c>
      <c r="AA31" s="99" t="s">
        <v>695</v>
      </c>
      <c r="AB31" s="99" t="s">
        <v>695</v>
      </c>
      <c r="AC31" s="99" t="s">
        <v>695</v>
      </c>
      <c r="AD31" s="98" t="s">
        <v>395</v>
      </c>
      <c r="AE31" s="100">
        <v>0.14835164835164835</v>
      </c>
      <c r="AF31" s="100">
        <v>0.17</v>
      </c>
      <c r="AG31" s="98">
        <v>449.55044955044957</v>
      </c>
      <c r="AH31" s="98">
        <v>299.7002997002997</v>
      </c>
      <c r="AI31" s="100">
        <v>0.015</v>
      </c>
      <c r="AJ31" s="100">
        <v>0.736842</v>
      </c>
      <c r="AK31" s="100">
        <v>0.888889</v>
      </c>
      <c r="AL31" s="100">
        <v>0.734266</v>
      </c>
      <c r="AM31" s="100">
        <v>0.348624</v>
      </c>
      <c r="AN31" s="100">
        <v>0.466102</v>
      </c>
      <c r="AO31" s="98">
        <v>1148.8511488511488</v>
      </c>
      <c r="AP31" s="158">
        <v>0.6760257721</v>
      </c>
      <c r="AQ31" s="100" t="s">
        <v>695</v>
      </c>
      <c r="AR31" s="100" t="s">
        <v>695</v>
      </c>
      <c r="AS31" s="98" t="s">
        <v>695</v>
      </c>
      <c r="AT31" s="98" t="s">
        <v>695</v>
      </c>
      <c r="AU31" s="98" t="s">
        <v>695</v>
      </c>
      <c r="AV31" s="98">
        <v>549.4505494505495</v>
      </c>
      <c r="AW31" s="98">
        <v>949.050949050949</v>
      </c>
      <c r="AX31" s="98" t="s">
        <v>695</v>
      </c>
      <c r="AY31" s="98">
        <v>649.3506493506494</v>
      </c>
      <c r="AZ31" s="98">
        <v>499.5004995004995</v>
      </c>
      <c r="BA31" s="100" t="s">
        <v>695</v>
      </c>
      <c r="BB31" s="100" t="s">
        <v>695</v>
      </c>
      <c r="BC31" s="100" t="s">
        <v>695</v>
      </c>
      <c r="BD31" s="158">
        <v>0.42854232789999996</v>
      </c>
      <c r="BE31" s="158">
        <v>1.014370575</v>
      </c>
      <c r="BF31" s="162">
        <v>209</v>
      </c>
      <c r="BG31" s="162">
        <v>9</v>
      </c>
      <c r="BH31" s="162">
        <v>429</v>
      </c>
      <c r="BI31" s="162">
        <v>218</v>
      </c>
      <c r="BJ31" s="162">
        <v>118</v>
      </c>
      <c r="BK31" s="97"/>
      <c r="BL31" s="97"/>
      <c r="BM31" s="97"/>
      <c r="BN31" s="97"/>
    </row>
    <row r="32" spans="1:66" ht="12.75">
      <c r="A32" s="79" t="s">
        <v>699</v>
      </c>
      <c r="B32" s="79" t="s">
        <v>310</v>
      </c>
      <c r="C32" s="79" t="s">
        <v>255</v>
      </c>
      <c r="D32" s="99">
        <v>32938</v>
      </c>
      <c r="E32" s="99">
        <v>7641</v>
      </c>
      <c r="F32" s="99" t="s">
        <v>417</v>
      </c>
      <c r="G32" s="99">
        <v>174</v>
      </c>
      <c r="H32" s="99">
        <v>92</v>
      </c>
      <c r="I32" s="99">
        <v>526</v>
      </c>
      <c r="J32" s="99">
        <v>3706</v>
      </c>
      <c r="K32" s="99">
        <v>46</v>
      </c>
      <c r="L32" s="99">
        <v>5968</v>
      </c>
      <c r="M32" s="99">
        <v>2592</v>
      </c>
      <c r="N32" s="99">
        <v>1329</v>
      </c>
      <c r="O32" s="99">
        <v>978</v>
      </c>
      <c r="P32" s="159">
        <v>978</v>
      </c>
      <c r="Q32" s="99">
        <v>103</v>
      </c>
      <c r="R32" s="99">
        <v>174</v>
      </c>
      <c r="S32" s="99">
        <v>176</v>
      </c>
      <c r="T32" s="99">
        <v>136</v>
      </c>
      <c r="U32" s="99">
        <v>38</v>
      </c>
      <c r="V32" s="99">
        <v>218</v>
      </c>
      <c r="W32" s="99">
        <v>25</v>
      </c>
      <c r="X32" s="99">
        <v>22</v>
      </c>
      <c r="Y32" s="99">
        <v>90</v>
      </c>
      <c r="Z32" s="99">
        <v>222</v>
      </c>
      <c r="AA32" s="99" t="s">
        <v>695</v>
      </c>
      <c r="AB32" s="99" t="s">
        <v>695</v>
      </c>
      <c r="AC32" s="99" t="s">
        <v>695</v>
      </c>
      <c r="AD32" s="98" t="s">
        <v>395</v>
      </c>
      <c r="AE32" s="100">
        <v>0.2319812981966118</v>
      </c>
      <c r="AF32" s="100">
        <v>0.11</v>
      </c>
      <c r="AG32" s="98">
        <v>528.2652255753234</v>
      </c>
      <c r="AH32" s="98">
        <v>279.31264800534336</v>
      </c>
      <c r="AI32" s="100">
        <v>0.016</v>
      </c>
      <c r="AJ32" s="100">
        <v>0.776939</v>
      </c>
      <c r="AK32" s="100">
        <v>0.418182</v>
      </c>
      <c r="AL32" s="100">
        <v>0.782381</v>
      </c>
      <c r="AM32" s="100">
        <v>0.556821</v>
      </c>
      <c r="AN32" s="100">
        <v>0.580096</v>
      </c>
      <c r="AO32" s="98">
        <v>2969.2148885785414</v>
      </c>
      <c r="AP32" s="158">
        <v>1.345011749</v>
      </c>
      <c r="AQ32" s="100">
        <v>0.10531697341513292</v>
      </c>
      <c r="AR32" s="100">
        <v>0.5919540229885057</v>
      </c>
      <c r="AS32" s="98">
        <v>534.337239662396</v>
      </c>
      <c r="AT32" s="98">
        <v>412.8969579209424</v>
      </c>
      <c r="AU32" s="98">
        <v>115.36826765438096</v>
      </c>
      <c r="AV32" s="98">
        <v>661.8495354909223</v>
      </c>
      <c r="AW32" s="98">
        <v>75.90017608840853</v>
      </c>
      <c r="AX32" s="98">
        <v>66.7921549577995</v>
      </c>
      <c r="AY32" s="98">
        <v>273.2406339182707</v>
      </c>
      <c r="AZ32" s="98">
        <v>673.9935636650677</v>
      </c>
      <c r="BA32" s="100" t="s">
        <v>695</v>
      </c>
      <c r="BB32" s="100" t="s">
        <v>695</v>
      </c>
      <c r="BC32" s="100" t="s">
        <v>695</v>
      </c>
      <c r="BD32" s="158">
        <v>1.2620255280000001</v>
      </c>
      <c r="BE32" s="158">
        <v>1.432021179</v>
      </c>
      <c r="BF32" s="162">
        <v>4770</v>
      </c>
      <c r="BG32" s="162">
        <v>110</v>
      </c>
      <c r="BH32" s="162">
        <v>7628</v>
      </c>
      <c r="BI32" s="162">
        <v>4655</v>
      </c>
      <c r="BJ32" s="162">
        <v>2291</v>
      </c>
      <c r="BK32" s="97"/>
      <c r="BL32" s="97"/>
      <c r="BM32" s="97"/>
      <c r="BN32" s="97"/>
    </row>
    <row r="33" spans="1:66" ht="12.75">
      <c r="A33" s="79" t="s">
        <v>700</v>
      </c>
      <c r="B33" s="79" t="s">
        <v>347</v>
      </c>
      <c r="C33" s="79" t="s">
        <v>255</v>
      </c>
      <c r="D33" s="99">
        <v>3918</v>
      </c>
      <c r="E33" s="99">
        <v>907</v>
      </c>
      <c r="F33" s="99" t="s">
        <v>417</v>
      </c>
      <c r="G33" s="99">
        <v>27</v>
      </c>
      <c r="H33" s="99">
        <v>22</v>
      </c>
      <c r="I33" s="99">
        <v>85</v>
      </c>
      <c r="J33" s="99">
        <v>546</v>
      </c>
      <c r="K33" s="99">
        <v>539</v>
      </c>
      <c r="L33" s="99">
        <v>782</v>
      </c>
      <c r="M33" s="99">
        <v>403</v>
      </c>
      <c r="N33" s="99">
        <v>206</v>
      </c>
      <c r="O33" s="99">
        <v>124</v>
      </c>
      <c r="P33" s="159">
        <v>124</v>
      </c>
      <c r="Q33" s="99">
        <v>15</v>
      </c>
      <c r="R33" s="99">
        <v>28</v>
      </c>
      <c r="S33" s="99">
        <v>23</v>
      </c>
      <c r="T33" s="99">
        <v>19</v>
      </c>
      <c r="U33" s="99">
        <v>7</v>
      </c>
      <c r="V33" s="99">
        <v>19</v>
      </c>
      <c r="W33" s="99" t="s">
        <v>695</v>
      </c>
      <c r="X33" s="99" t="s">
        <v>695</v>
      </c>
      <c r="Y33" s="99">
        <v>15</v>
      </c>
      <c r="Z33" s="99">
        <v>31</v>
      </c>
      <c r="AA33" s="99" t="s">
        <v>695</v>
      </c>
      <c r="AB33" s="99" t="s">
        <v>695</v>
      </c>
      <c r="AC33" s="99" t="s">
        <v>695</v>
      </c>
      <c r="AD33" s="98" t="s">
        <v>395</v>
      </c>
      <c r="AE33" s="100">
        <v>0.23149566105155692</v>
      </c>
      <c r="AF33" s="100">
        <v>0.09</v>
      </c>
      <c r="AG33" s="98">
        <v>689.1271056661562</v>
      </c>
      <c r="AH33" s="98">
        <v>561.5109749872383</v>
      </c>
      <c r="AI33" s="100">
        <v>0.022000000000000002</v>
      </c>
      <c r="AJ33" s="100">
        <v>0.842593</v>
      </c>
      <c r="AK33" s="100">
        <v>0.838258</v>
      </c>
      <c r="AL33" s="100">
        <v>0.852781</v>
      </c>
      <c r="AM33" s="100">
        <v>0.630673</v>
      </c>
      <c r="AN33" s="100">
        <v>0.662379</v>
      </c>
      <c r="AO33" s="98">
        <v>3164.8800408371617</v>
      </c>
      <c r="AP33" s="158">
        <v>1.370978394</v>
      </c>
      <c r="AQ33" s="100">
        <v>0.12096774193548387</v>
      </c>
      <c r="AR33" s="100">
        <v>0.5357142857142857</v>
      </c>
      <c r="AS33" s="98">
        <v>587.034201123022</v>
      </c>
      <c r="AT33" s="98">
        <v>484.9412965798877</v>
      </c>
      <c r="AU33" s="98">
        <v>178.66258295048493</v>
      </c>
      <c r="AV33" s="98">
        <v>484.9412965798877</v>
      </c>
      <c r="AW33" s="98" t="s">
        <v>695</v>
      </c>
      <c r="AX33" s="98" t="s">
        <v>695</v>
      </c>
      <c r="AY33" s="98">
        <v>382.84839203675347</v>
      </c>
      <c r="AZ33" s="98">
        <v>791.2200102092904</v>
      </c>
      <c r="BA33" s="101" t="s">
        <v>695</v>
      </c>
      <c r="BB33" s="101" t="s">
        <v>695</v>
      </c>
      <c r="BC33" s="101" t="s">
        <v>695</v>
      </c>
      <c r="BD33" s="158">
        <v>1.140308914</v>
      </c>
      <c r="BE33" s="158">
        <v>1.6346076969999999</v>
      </c>
      <c r="BF33" s="162">
        <v>648</v>
      </c>
      <c r="BG33" s="162">
        <v>643</v>
      </c>
      <c r="BH33" s="162">
        <v>917</v>
      </c>
      <c r="BI33" s="162">
        <v>639</v>
      </c>
      <c r="BJ33" s="162">
        <v>311</v>
      </c>
      <c r="BK33" s="97"/>
      <c r="BL33" s="97"/>
      <c r="BM33" s="97"/>
      <c r="BN33" s="97"/>
    </row>
    <row r="34" spans="1:66" ht="12.75">
      <c r="A34" s="79" t="s">
        <v>698</v>
      </c>
      <c r="B34" s="79" t="s">
        <v>291</v>
      </c>
      <c r="C34" s="79" t="s">
        <v>255</v>
      </c>
      <c r="D34" s="99">
        <v>8407</v>
      </c>
      <c r="E34" s="99">
        <v>1498</v>
      </c>
      <c r="F34" s="99" t="s">
        <v>418</v>
      </c>
      <c r="G34" s="99">
        <v>31</v>
      </c>
      <c r="H34" s="99">
        <v>37</v>
      </c>
      <c r="I34" s="99">
        <v>175</v>
      </c>
      <c r="J34" s="99">
        <v>987</v>
      </c>
      <c r="K34" s="99">
        <v>914</v>
      </c>
      <c r="L34" s="99">
        <v>1519</v>
      </c>
      <c r="M34" s="99">
        <v>553</v>
      </c>
      <c r="N34" s="99">
        <v>271</v>
      </c>
      <c r="O34" s="99">
        <v>202</v>
      </c>
      <c r="P34" s="159">
        <v>202</v>
      </c>
      <c r="Q34" s="99">
        <v>23</v>
      </c>
      <c r="R34" s="99">
        <v>42</v>
      </c>
      <c r="S34" s="99">
        <v>39</v>
      </c>
      <c r="T34" s="99">
        <v>40</v>
      </c>
      <c r="U34" s="99">
        <v>6</v>
      </c>
      <c r="V34" s="99">
        <v>37</v>
      </c>
      <c r="W34" s="99" t="s">
        <v>695</v>
      </c>
      <c r="X34" s="99">
        <v>7</v>
      </c>
      <c r="Y34" s="99">
        <v>31</v>
      </c>
      <c r="Z34" s="99">
        <v>54</v>
      </c>
      <c r="AA34" s="99" t="s">
        <v>695</v>
      </c>
      <c r="AB34" s="99" t="s">
        <v>695</v>
      </c>
      <c r="AC34" s="99" t="s">
        <v>695</v>
      </c>
      <c r="AD34" s="98" t="s">
        <v>395</v>
      </c>
      <c r="AE34" s="100">
        <v>0.1781848459616986</v>
      </c>
      <c r="AF34" s="100">
        <v>0.14</v>
      </c>
      <c r="AG34" s="98">
        <v>368.74033543475673</v>
      </c>
      <c r="AH34" s="98">
        <v>440.1094326156774</v>
      </c>
      <c r="AI34" s="100">
        <v>0.021</v>
      </c>
      <c r="AJ34" s="100">
        <v>0.863517</v>
      </c>
      <c r="AK34" s="100">
        <v>0.809566</v>
      </c>
      <c r="AL34" s="100">
        <v>0.755346</v>
      </c>
      <c r="AM34" s="100">
        <v>0.525166</v>
      </c>
      <c r="AN34" s="100">
        <v>0.529297</v>
      </c>
      <c r="AO34" s="98">
        <v>2402.7596050909956</v>
      </c>
      <c r="AP34" s="158">
        <v>1.220421143</v>
      </c>
      <c r="AQ34" s="100">
        <v>0.11386138613861387</v>
      </c>
      <c r="AR34" s="100">
        <v>0.5476190476190477</v>
      </c>
      <c r="AS34" s="98">
        <v>463.8991316759843</v>
      </c>
      <c r="AT34" s="98">
        <v>475.79398120613774</v>
      </c>
      <c r="AU34" s="98">
        <v>71.36909718092066</v>
      </c>
      <c r="AV34" s="98">
        <v>440.1094326156774</v>
      </c>
      <c r="AW34" s="98" t="s">
        <v>695</v>
      </c>
      <c r="AX34" s="98">
        <v>83.2639467110741</v>
      </c>
      <c r="AY34" s="98">
        <v>368.74033543475673</v>
      </c>
      <c r="AZ34" s="98">
        <v>642.321874628286</v>
      </c>
      <c r="BA34" s="100" t="s">
        <v>695</v>
      </c>
      <c r="BB34" s="100" t="s">
        <v>695</v>
      </c>
      <c r="BC34" s="100" t="s">
        <v>695</v>
      </c>
      <c r="BD34" s="158">
        <v>1.057915344</v>
      </c>
      <c r="BE34" s="158">
        <v>1.400825653</v>
      </c>
      <c r="BF34" s="162">
        <v>1143</v>
      </c>
      <c r="BG34" s="162">
        <v>1129</v>
      </c>
      <c r="BH34" s="162">
        <v>2011</v>
      </c>
      <c r="BI34" s="162">
        <v>1053</v>
      </c>
      <c r="BJ34" s="162">
        <v>512</v>
      </c>
      <c r="BK34" s="97"/>
      <c r="BL34" s="97"/>
      <c r="BM34" s="97"/>
      <c r="BN34" s="97"/>
    </row>
    <row r="35" spans="1:66" ht="12.75">
      <c r="A35" s="79" t="s">
        <v>587</v>
      </c>
      <c r="B35" s="79" t="s">
        <v>289</v>
      </c>
      <c r="C35" s="79" t="s">
        <v>255</v>
      </c>
      <c r="D35" s="99">
        <v>4450</v>
      </c>
      <c r="E35" s="99">
        <v>828</v>
      </c>
      <c r="F35" s="99" t="s">
        <v>415</v>
      </c>
      <c r="G35" s="99">
        <v>17</v>
      </c>
      <c r="H35" s="99">
        <v>11</v>
      </c>
      <c r="I35" s="99">
        <v>63</v>
      </c>
      <c r="J35" s="99">
        <v>396</v>
      </c>
      <c r="K35" s="99">
        <v>392</v>
      </c>
      <c r="L35" s="99">
        <v>698</v>
      </c>
      <c r="M35" s="99">
        <v>179</v>
      </c>
      <c r="N35" s="99">
        <v>136</v>
      </c>
      <c r="O35" s="99">
        <v>103</v>
      </c>
      <c r="P35" s="159">
        <v>103</v>
      </c>
      <c r="Q35" s="99">
        <v>9</v>
      </c>
      <c r="R35" s="99">
        <v>15</v>
      </c>
      <c r="S35" s="99">
        <v>18</v>
      </c>
      <c r="T35" s="99">
        <v>13</v>
      </c>
      <c r="U35" s="99">
        <v>8</v>
      </c>
      <c r="V35" s="99">
        <v>27</v>
      </c>
      <c r="W35" s="99">
        <v>37</v>
      </c>
      <c r="X35" s="99">
        <v>19</v>
      </c>
      <c r="Y35" s="99">
        <v>49</v>
      </c>
      <c r="Z35" s="99">
        <v>22</v>
      </c>
      <c r="AA35" s="99" t="s">
        <v>695</v>
      </c>
      <c r="AB35" s="99" t="s">
        <v>695</v>
      </c>
      <c r="AC35" s="99" t="s">
        <v>695</v>
      </c>
      <c r="AD35" s="98" t="s">
        <v>395</v>
      </c>
      <c r="AE35" s="100">
        <v>0.18606741573033708</v>
      </c>
      <c r="AF35" s="100">
        <v>0.23</v>
      </c>
      <c r="AG35" s="98">
        <v>382.02247191011236</v>
      </c>
      <c r="AH35" s="98">
        <v>247.19101123595505</v>
      </c>
      <c r="AI35" s="100">
        <v>0.013999999999999999</v>
      </c>
      <c r="AJ35" s="100">
        <v>0.75717</v>
      </c>
      <c r="AK35" s="100">
        <v>0.762646</v>
      </c>
      <c r="AL35" s="100">
        <v>0.75623</v>
      </c>
      <c r="AM35" s="100">
        <v>0.356574</v>
      </c>
      <c r="AN35" s="100">
        <v>0.465753</v>
      </c>
      <c r="AO35" s="98">
        <v>2314.6067415730336</v>
      </c>
      <c r="AP35" s="158">
        <v>1.22454567</v>
      </c>
      <c r="AQ35" s="100">
        <v>0.08737864077669903</v>
      </c>
      <c r="AR35" s="100">
        <v>0.6</v>
      </c>
      <c r="AS35" s="98">
        <v>404.4943820224719</v>
      </c>
      <c r="AT35" s="98">
        <v>292.13483146067415</v>
      </c>
      <c r="AU35" s="98">
        <v>179.77528089887642</v>
      </c>
      <c r="AV35" s="98">
        <v>606.7415730337078</v>
      </c>
      <c r="AW35" s="98">
        <v>831.4606741573034</v>
      </c>
      <c r="AX35" s="98">
        <v>426.96629213483146</v>
      </c>
      <c r="AY35" s="98">
        <v>1101.123595505618</v>
      </c>
      <c r="AZ35" s="98">
        <v>494.3820224719101</v>
      </c>
      <c r="BA35" s="100" t="s">
        <v>695</v>
      </c>
      <c r="BB35" s="100" t="s">
        <v>695</v>
      </c>
      <c r="BC35" s="100" t="s">
        <v>695</v>
      </c>
      <c r="BD35" s="158">
        <v>0.999513855</v>
      </c>
      <c r="BE35" s="158">
        <v>1.485117798</v>
      </c>
      <c r="BF35" s="162">
        <v>523</v>
      </c>
      <c r="BG35" s="162">
        <v>514</v>
      </c>
      <c r="BH35" s="162">
        <v>923</v>
      </c>
      <c r="BI35" s="162">
        <v>502</v>
      </c>
      <c r="BJ35" s="162">
        <v>292</v>
      </c>
      <c r="BK35" s="97"/>
      <c r="BL35" s="97"/>
      <c r="BM35" s="97"/>
      <c r="BN35" s="97"/>
    </row>
    <row r="36" spans="1:66" ht="12.75">
      <c r="A36" s="79" t="s">
        <v>664</v>
      </c>
      <c r="B36" s="79" t="s">
        <v>370</v>
      </c>
      <c r="C36" s="79" t="s">
        <v>255</v>
      </c>
      <c r="D36" s="99">
        <v>2280</v>
      </c>
      <c r="E36" s="99">
        <v>446</v>
      </c>
      <c r="F36" s="99" t="s">
        <v>418</v>
      </c>
      <c r="G36" s="99">
        <v>15</v>
      </c>
      <c r="H36" s="99">
        <v>6</v>
      </c>
      <c r="I36" s="99">
        <v>37</v>
      </c>
      <c r="J36" s="99">
        <v>254</v>
      </c>
      <c r="K36" s="99">
        <v>247</v>
      </c>
      <c r="L36" s="99">
        <v>376</v>
      </c>
      <c r="M36" s="99">
        <v>116</v>
      </c>
      <c r="N36" s="99">
        <v>81</v>
      </c>
      <c r="O36" s="99" t="s">
        <v>695</v>
      </c>
      <c r="P36" s="159" t="s">
        <v>695</v>
      </c>
      <c r="Q36" s="99" t="s">
        <v>695</v>
      </c>
      <c r="R36" s="99">
        <v>9</v>
      </c>
      <c r="S36" s="99" t="s">
        <v>695</v>
      </c>
      <c r="T36" s="99" t="s">
        <v>695</v>
      </c>
      <c r="U36" s="99" t="s">
        <v>695</v>
      </c>
      <c r="V36" s="99" t="s">
        <v>695</v>
      </c>
      <c r="W36" s="99">
        <v>10</v>
      </c>
      <c r="X36" s="99" t="s">
        <v>695</v>
      </c>
      <c r="Y36" s="99">
        <v>22</v>
      </c>
      <c r="Z36" s="99">
        <v>20</v>
      </c>
      <c r="AA36" s="99" t="s">
        <v>695</v>
      </c>
      <c r="AB36" s="99" t="s">
        <v>695</v>
      </c>
      <c r="AC36" s="99" t="s">
        <v>695</v>
      </c>
      <c r="AD36" s="98" t="s">
        <v>395</v>
      </c>
      <c r="AE36" s="100">
        <v>0.1956140350877193</v>
      </c>
      <c r="AF36" s="100">
        <v>0.14</v>
      </c>
      <c r="AG36" s="98">
        <v>657.8947368421053</v>
      </c>
      <c r="AH36" s="98">
        <v>263.1578947368421</v>
      </c>
      <c r="AI36" s="100">
        <v>0.016</v>
      </c>
      <c r="AJ36" s="100">
        <v>0.77439</v>
      </c>
      <c r="AK36" s="100">
        <v>0.767081</v>
      </c>
      <c r="AL36" s="100">
        <v>0.737255</v>
      </c>
      <c r="AM36" s="100">
        <v>0.328612</v>
      </c>
      <c r="AN36" s="100">
        <v>0.487952</v>
      </c>
      <c r="AO36" s="98" t="s">
        <v>695</v>
      </c>
      <c r="AP36" s="158" t="s">
        <v>695</v>
      </c>
      <c r="AQ36" s="100" t="s">
        <v>695</v>
      </c>
      <c r="AR36" s="100" t="s">
        <v>695</v>
      </c>
      <c r="AS36" s="98" t="s">
        <v>695</v>
      </c>
      <c r="AT36" s="98" t="s">
        <v>695</v>
      </c>
      <c r="AU36" s="98" t="s">
        <v>695</v>
      </c>
      <c r="AV36" s="98" t="s">
        <v>695</v>
      </c>
      <c r="AW36" s="98">
        <v>438.5964912280702</v>
      </c>
      <c r="AX36" s="98" t="s">
        <v>695</v>
      </c>
      <c r="AY36" s="98">
        <v>964.9122807017544</v>
      </c>
      <c r="AZ36" s="98">
        <v>877.1929824561404</v>
      </c>
      <c r="BA36" s="100" t="s">
        <v>695</v>
      </c>
      <c r="BB36" s="100" t="s">
        <v>695</v>
      </c>
      <c r="BC36" s="100" t="s">
        <v>695</v>
      </c>
      <c r="BD36" s="158" t="s">
        <v>695</v>
      </c>
      <c r="BE36" s="158" t="s">
        <v>695</v>
      </c>
      <c r="BF36" s="162">
        <v>328</v>
      </c>
      <c r="BG36" s="162">
        <v>322</v>
      </c>
      <c r="BH36" s="162">
        <v>510</v>
      </c>
      <c r="BI36" s="162">
        <v>353</v>
      </c>
      <c r="BJ36" s="162">
        <v>166</v>
      </c>
      <c r="BK36" s="97"/>
      <c r="BL36" s="97"/>
      <c r="BM36" s="97"/>
      <c r="BN36" s="97"/>
    </row>
    <row r="37" spans="1:66" ht="12.75">
      <c r="A37" s="79" t="s">
        <v>679</v>
      </c>
      <c r="B37" s="79" t="s">
        <v>385</v>
      </c>
      <c r="C37" s="79" t="s">
        <v>255</v>
      </c>
      <c r="D37" s="99">
        <v>4226</v>
      </c>
      <c r="E37" s="99">
        <v>563</v>
      </c>
      <c r="F37" s="99" t="s">
        <v>415</v>
      </c>
      <c r="G37" s="99">
        <v>8</v>
      </c>
      <c r="H37" s="99">
        <v>7</v>
      </c>
      <c r="I37" s="99">
        <v>39</v>
      </c>
      <c r="J37" s="99">
        <v>365</v>
      </c>
      <c r="K37" s="99">
        <v>356</v>
      </c>
      <c r="L37" s="99">
        <v>691</v>
      </c>
      <c r="M37" s="99">
        <v>149</v>
      </c>
      <c r="N37" s="99">
        <v>127</v>
      </c>
      <c r="O37" s="99">
        <v>24</v>
      </c>
      <c r="P37" s="159">
        <v>24</v>
      </c>
      <c r="Q37" s="99" t="s">
        <v>695</v>
      </c>
      <c r="R37" s="99">
        <v>7</v>
      </c>
      <c r="S37" s="99">
        <v>12</v>
      </c>
      <c r="T37" s="99" t="s">
        <v>695</v>
      </c>
      <c r="U37" s="99" t="s">
        <v>695</v>
      </c>
      <c r="V37" s="99" t="s">
        <v>695</v>
      </c>
      <c r="W37" s="99">
        <v>15</v>
      </c>
      <c r="X37" s="99">
        <v>7</v>
      </c>
      <c r="Y37" s="99">
        <v>19</v>
      </c>
      <c r="Z37" s="99">
        <v>27</v>
      </c>
      <c r="AA37" s="99" t="s">
        <v>695</v>
      </c>
      <c r="AB37" s="99" t="s">
        <v>695</v>
      </c>
      <c r="AC37" s="99" t="s">
        <v>695</v>
      </c>
      <c r="AD37" s="98" t="s">
        <v>395</v>
      </c>
      <c r="AE37" s="100">
        <v>0.13322290582110743</v>
      </c>
      <c r="AF37" s="100">
        <v>0.23</v>
      </c>
      <c r="AG37" s="98">
        <v>189.30430667297682</v>
      </c>
      <c r="AH37" s="98">
        <v>165.6412683388547</v>
      </c>
      <c r="AI37" s="100">
        <v>0.009000000000000001</v>
      </c>
      <c r="AJ37" s="100">
        <v>0.758836</v>
      </c>
      <c r="AK37" s="100">
        <v>0.759062</v>
      </c>
      <c r="AL37" s="100">
        <v>0.726604</v>
      </c>
      <c r="AM37" s="100">
        <v>0.328918</v>
      </c>
      <c r="AN37" s="100">
        <v>0.488462</v>
      </c>
      <c r="AO37" s="98">
        <v>567.9129200189304</v>
      </c>
      <c r="AP37" s="158">
        <v>0.3404790878</v>
      </c>
      <c r="AQ37" s="100" t="s">
        <v>695</v>
      </c>
      <c r="AR37" s="100" t="s">
        <v>695</v>
      </c>
      <c r="AS37" s="98">
        <v>283.9564600094652</v>
      </c>
      <c r="AT37" s="98" t="s">
        <v>695</v>
      </c>
      <c r="AU37" s="98" t="s">
        <v>695</v>
      </c>
      <c r="AV37" s="98" t="s">
        <v>695</v>
      </c>
      <c r="AW37" s="98">
        <v>354.9455750118315</v>
      </c>
      <c r="AX37" s="98">
        <v>165.6412683388547</v>
      </c>
      <c r="AY37" s="98">
        <v>449.59772834831995</v>
      </c>
      <c r="AZ37" s="98">
        <v>638.9020350212967</v>
      </c>
      <c r="BA37" s="100" t="s">
        <v>695</v>
      </c>
      <c r="BB37" s="100" t="s">
        <v>695</v>
      </c>
      <c r="BC37" s="100" t="s">
        <v>695</v>
      </c>
      <c r="BD37" s="158">
        <v>0.2181513786</v>
      </c>
      <c r="BE37" s="158">
        <v>0.5066059113</v>
      </c>
      <c r="BF37" s="162">
        <v>481</v>
      </c>
      <c r="BG37" s="162">
        <v>469</v>
      </c>
      <c r="BH37" s="162">
        <v>951</v>
      </c>
      <c r="BI37" s="162">
        <v>453</v>
      </c>
      <c r="BJ37" s="162">
        <v>260</v>
      </c>
      <c r="BK37" s="97"/>
      <c r="BL37" s="97"/>
      <c r="BM37" s="97"/>
      <c r="BN37" s="97"/>
    </row>
    <row r="38" spans="1:66" ht="12.75">
      <c r="A38" s="79" t="s">
        <v>661</v>
      </c>
      <c r="B38" s="79" t="s">
        <v>366</v>
      </c>
      <c r="C38" s="79" t="s">
        <v>255</v>
      </c>
      <c r="D38" s="99">
        <v>3628</v>
      </c>
      <c r="E38" s="99">
        <v>574</v>
      </c>
      <c r="F38" s="99" t="s">
        <v>415</v>
      </c>
      <c r="G38" s="99">
        <v>15</v>
      </c>
      <c r="H38" s="99">
        <v>15</v>
      </c>
      <c r="I38" s="99">
        <v>48</v>
      </c>
      <c r="J38" s="99">
        <v>320</v>
      </c>
      <c r="K38" s="99">
        <v>7</v>
      </c>
      <c r="L38" s="99">
        <v>631</v>
      </c>
      <c r="M38" s="99">
        <v>156</v>
      </c>
      <c r="N38" s="99">
        <v>134</v>
      </c>
      <c r="O38" s="99">
        <v>61</v>
      </c>
      <c r="P38" s="159">
        <v>61</v>
      </c>
      <c r="Q38" s="99" t="s">
        <v>695</v>
      </c>
      <c r="R38" s="99">
        <v>8</v>
      </c>
      <c r="S38" s="99">
        <v>13</v>
      </c>
      <c r="T38" s="99">
        <v>15</v>
      </c>
      <c r="U38" s="99" t="s">
        <v>695</v>
      </c>
      <c r="V38" s="99" t="s">
        <v>695</v>
      </c>
      <c r="W38" s="99">
        <v>16</v>
      </c>
      <c r="X38" s="99">
        <v>13</v>
      </c>
      <c r="Y38" s="99">
        <v>22</v>
      </c>
      <c r="Z38" s="99">
        <v>8</v>
      </c>
      <c r="AA38" s="99" t="s">
        <v>695</v>
      </c>
      <c r="AB38" s="99" t="s">
        <v>695</v>
      </c>
      <c r="AC38" s="99" t="s">
        <v>695</v>
      </c>
      <c r="AD38" s="98" t="s">
        <v>395</v>
      </c>
      <c r="AE38" s="100">
        <v>0.1582138919514884</v>
      </c>
      <c r="AF38" s="100">
        <v>0.2</v>
      </c>
      <c r="AG38" s="98">
        <v>413.45093715545755</v>
      </c>
      <c r="AH38" s="98">
        <v>413.45093715545755</v>
      </c>
      <c r="AI38" s="100">
        <v>0.013000000000000001</v>
      </c>
      <c r="AJ38" s="100">
        <v>0.711111</v>
      </c>
      <c r="AK38" s="100">
        <v>0.35</v>
      </c>
      <c r="AL38" s="100">
        <v>0.76764</v>
      </c>
      <c r="AM38" s="100">
        <v>0.371429</v>
      </c>
      <c r="AN38" s="100">
        <v>0.533865</v>
      </c>
      <c r="AO38" s="98">
        <v>1681.367144432194</v>
      </c>
      <c r="AP38" s="158">
        <v>0.9263014221</v>
      </c>
      <c r="AQ38" s="100" t="s">
        <v>695</v>
      </c>
      <c r="AR38" s="100" t="s">
        <v>695</v>
      </c>
      <c r="AS38" s="98">
        <v>358.3241455347299</v>
      </c>
      <c r="AT38" s="98">
        <v>413.45093715545755</v>
      </c>
      <c r="AU38" s="98" t="s">
        <v>695</v>
      </c>
      <c r="AV38" s="98" t="s">
        <v>695</v>
      </c>
      <c r="AW38" s="98">
        <v>441.0143329658214</v>
      </c>
      <c r="AX38" s="98">
        <v>358.3241455347299</v>
      </c>
      <c r="AY38" s="98">
        <v>606.3947078280044</v>
      </c>
      <c r="AZ38" s="98">
        <v>220.5071664829107</v>
      </c>
      <c r="BA38" s="100" t="s">
        <v>695</v>
      </c>
      <c r="BB38" s="100" t="s">
        <v>695</v>
      </c>
      <c r="BC38" s="100" t="s">
        <v>695</v>
      </c>
      <c r="BD38" s="158">
        <v>0.7085472106999999</v>
      </c>
      <c r="BE38" s="158">
        <v>1.189872971</v>
      </c>
      <c r="BF38" s="162">
        <v>450</v>
      </c>
      <c r="BG38" s="162">
        <v>20</v>
      </c>
      <c r="BH38" s="162">
        <v>822</v>
      </c>
      <c r="BI38" s="162">
        <v>420</v>
      </c>
      <c r="BJ38" s="162">
        <v>251</v>
      </c>
      <c r="BK38" s="97"/>
      <c r="BL38" s="97"/>
      <c r="BM38" s="97"/>
      <c r="BN38" s="97"/>
    </row>
    <row r="39" spans="1:66" ht="12.75">
      <c r="A39" s="79" t="s">
        <v>653</v>
      </c>
      <c r="B39" s="79" t="s">
        <v>358</v>
      </c>
      <c r="C39" s="79" t="s">
        <v>255</v>
      </c>
      <c r="D39" s="99">
        <v>1783</v>
      </c>
      <c r="E39" s="99">
        <v>172</v>
      </c>
      <c r="F39" s="99" t="s">
        <v>418</v>
      </c>
      <c r="G39" s="99">
        <v>7</v>
      </c>
      <c r="H39" s="99" t="s">
        <v>695</v>
      </c>
      <c r="I39" s="99">
        <v>10</v>
      </c>
      <c r="J39" s="99">
        <v>116</v>
      </c>
      <c r="K39" s="99" t="s">
        <v>695</v>
      </c>
      <c r="L39" s="99">
        <v>321</v>
      </c>
      <c r="M39" s="99">
        <v>61</v>
      </c>
      <c r="N39" s="99">
        <v>53</v>
      </c>
      <c r="O39" s="99" t="s">
        <v>695</v>
      </c>
      <c r="P39" s="159" t="s">
        <v>695</v>
      </c>
      <c r="Q39" s="99" t="s">
        <v>695</v>
      </c>
      <c r="R39" s="99" t="s">
        <v>695</v>
      </c>
      <c r="S39" s="99" t="s">
        <v>695</v>
      </c>
      <c r="T39" s="99" t="s">
        <v>695</v>
      </c>
      <c r="U39" s="99" t="s">
        <v>695</v>
      </c>
      <c r="V39" s="99" t="s">
        <v>695</v>
      </c>
      <c r="W39" s="99" t="s">
        <v>695</v>
      </c>
      <c r="X39" s="99" t="s">
        <v>695</v>
      </c>
      <c r="Y39" s="99">
        <v>7</v>
      </c>
      <c r="Z39" s="99" t="s">
        <v>695</v>
      </c>
      <c r="AA39" s="99" t="s">
        <v>695</v>
      </c>
      <c r="AB39" s="99" t="s">
        <v>695</v>
      </c>
      <c r="AC39" s="99" t="s">
        <v>695</v>
      </c>
      <c r="AD39" s="98" t="s">
        <v>395</v>
      </c>
      <c r="AE39" s="100">
        <v>0.09646662927650028</v>
      </c>
      <c r="AF39" s="100">
        <v>0.14</v>
      </c>
      <c r="AG39" s="98">
        <v>392.5967470555244</v>
      </c>
      <c r="AH39" s="98" t="s">
        <v>695</v>
      </c>
      <c r="AI39" s="100">
        <v>0.006</v>
      </c>
      <c r="AJ39" s="100">
        <v>0.674419</v>
      </c>
      <c r="AK39" s="100" t="s">
        <v>695</v>
      </c>
      <c r="AL39" s="100">
        <v>0.734554</v>
      </c>
      <c r="AM39" s="100">
        <v>0.354651</v>
      </c>
      <c r="AN39" s="100">
        <v>0.509615</v>
      </c>
      <c r="AO39" s="98" t="s">
        <v>695</v>
      </c>
      <c r="AP39" s="158" t="s">
        <v>695</v>
      </c>
      <c r="AQ39" s="100" t="s">
        <v>695</v>
      </c>
      <c r="AR39" s="100" t="s">
        <v>695</v>
      </c>
      <c r="AS39" s="98" t="s">
        <v>695</v>
      </c>
      <c r="AT39" s="98" t="s">
        <v>695</v>
      </c>
      <c r="AU39" s="98" t="s">
        <v>695</v>
      </c>
      <c r="AV39" s="98" t="s">
        <v>695</v>
      </c>
      <c r="AW39" s="98" t="s">
        <v>695</v>
      </c>
      <c r="AX39" s="98" t="s">
        <v>695</v>
      </c>
      <c r="AY39" s="98">
        <v>392.5967470555244</v>
      </c>
      <c r="AZ39" s="98" t="s">
        <v>695</v>
      </c>
      <c r="BA39" s="100" t="s">
        <v>695</v>
      </c>
      <c r="BB39" s="100" t="s">
        <v>695</v>
      </c>
      <c r="BC39" s="100" t="s">
        <v>695</v>
      </c>
      <c r="BD39" s="158" t="s">
        <v>695</v>
      </c>
      <c r="BE39" s="158" t="s">
        <v>695</v>
      </c>
      <c r="BF39" s="162">
        <v>172</v>
      </c>
      <c r="BG39" s="162" t="s">
        <v>695</v>
      </c>
      <c r="BH39" s="162">
        <v>437</v>
      </c>
      <c r="BI39" s="162">
        <v>172</v>
      </c>
      <c r="BJ39" s="162">
        <v>104</v>
      </c>
      <c r="BK39" s="97"/>
      <c r="BL39" s="97"/>
      <c r="BM39" s="97"/>
      <c r="BN39" s="97"/>
    </row>
    <row r="40" spans="1:66" ht="12.75">
      <c r="A40" s="79" t="s">
        <v>682</v>
      </c>
      <c r="B40" s="79" t="s">
        <v>388</v>
      </c>
      <c r="C40" s="79" t="s">
        <v>255</v>
      </c>
      <c r="D40" s="99">
        <v>3274</v>
      </c>
      <c r="E40" s="99">
        <v>534</v>
      </c>
      <c r="F40" s="99" t="s">
        <v>416</v>
      </c>
      <c r="G40" s="99">
        <v>16</v>
      </c>
      <c r="H40" s="99">
        <v>12</v>
      </c>
      <c r="I40" s="99">
        <v>56</v>
      </c>
      <c r="J40" s="99">
        <v>272</v>
      </c>
      <c r="K40" s="99">
        <v>250</v>
      </c>
      <c r="L40" s="99">
        <v>498</v>
      </c>
      <c r="M40" s="99">
        <v>133</v>
      </c>
      <c r="N40" s="99">
        <v>116</v>
      </c>
      <c r="O40" s="99">
        <v>51</v>
      </c>
      <c r="P40" s="159">
        <v>51</v>
      </c>
      <c r="Q40" s="99" t="s">
        <v>695</v>
      </c>
      <c r="R40" s="99">
        <v>13</v>
      </c>
      <c r="S40" s="99">
        <v>17</v>
      </c>
      <c r="T40" s="99">
        <v>6</v>
      </c>
      <c r="U40" s="99" t="s">
        <v>695</v>
      </c>
      <c r="V40" s="99">
        <v>10</v>
      </c>
      <c r="W40" s="99">
        <v>20</v>
      </c>
      <c r="X40" s="99">
        <v>8</v>
      </c>
      <c r="Y40" s="99">
        <v>13</v>
      </c>
      <c r="Z40" s="99">
        <v>21</v>
      </c>
      <c r="AA40" s="99" t="s">
        <v>695</v>
      </c>
      <c r="AB40" s="99" t="s">
        <v>695</v>
      </c>
      <c r="AC40" s="99" t="s">
        <v>695</v>
      </c>
      <c r="AD40" s="98" t="s">
        <v>395</v>
      </c>
      <c r="AE40" s="100">
        <v>0.16310323762981063</v>
      </c>
      <c r="AF40" s="100">
        <v>0.25</v>
      </c>
      <c r="AG40" s="98">
        <v>488.69883934025654</v>
      </c>
      <c r="AH40" s="98">
        <v>366.52412950519243</v>
      </c>
      <c r="AI40" s="100">
        <v>0.017</v>
      </c>
      <c r="AJ40" s="100">
        <v>0.774929</v>
      </c>
      <c r="AK40" s="100">
        <v>0.730994</v>
      </c>
      <c r="AL40" s="100">
        <v>0.754545</v>
      </c>
      <c r="AM40" s="100">
        <v>0.343669</v>
      </c>
      <c r="AN40" s="100">
        <v>0.485356</v>
      </c>
      <c r="AO40" s="98">
        <v>1557.7275503970677</v>
      </c>
      <c r="AP40" s="158">
        <v>0.8989064026</v>
      </c>
      <c r="AQ40" s="100" t="s">
        <v>695</v>
      </c>
      <c r="AR40" s="100" t="s">
        <v>695</v>
      </c>
      <c r="AS40" s="98">
        <v>519.2425167990226</v>
      </c>
      <c r="AT40" s="98">
        <v>183.26206475259622</v>
      </c>
      <c r="AU40" s="98" t="s">
        <v>695</v>
      </c>
      <c r="AV40" s="98">
        <v>305.43677458766035</v>
      </c>
      <c r="AW40" s="98">
        <v>610.8735491753207</v>
      </c>
      <c r="AX40" s="98">
        <v>244.34941967012827</v>
      </c>
      <c r="AY40" s="98">
        <v>397.06780696395845</v>
      </c>
      <c r="AZ40" s="98">
        <v>641.4172266340868</v>
      </c>
      <c r="BA40" s="100" t="s">
        <v>695</v>
      </c>
      <c r="BB40" s="100" t="s">
        <v>695</v>
      </c>
      <c r="BC40" s="100" t="s">
        <v>695</v>
      </c>
      <c r="BD40" s="158">
        <v>0.6692948151</v>
      </c>
      <c r="BE40" s="158">
        <v>1.181895905</v>
      </c>
      <c r="BF40" s="162">
        <v>351</v>
      </c>
      <c r="BG40" s="162">
        <v>342</v>
      </c>
      <c r="BH40" s="162">
        <v>660</v>
      </c>
      <c r="BI40" s="162">
        <v>387</v>
      </c>
      <c r="BJ40" s="162">
        <v>239</v>
      </c>
      <c r="BK40" s="97"/>
      <c r="BL40" s="97"/>
      <c r="BM40" s="97"/>
      <c r="BN40" s="97"/>
    </row>
    <row r="41" spans="1:66" ht="12.75">
      <c r="A41" s="79" t="s">
        <v>624</v>
      </c>
      <c r="B41" s="79" t="s">
        <v>328</v>
      </c>
      <c r="C41" s="79" t="s">
        <v>255</v>
      </c>
      <c r="D41" s="99">
        <v>14588</v>
      </c>
      <c r="E41" s="99">
        <v>2708</v>
      </c>
      <c r="F41" s="99" t="s">
        <v>415</v>
      </c>
      <c r="G41" s="99">
        <v>71</v>
      </c>
      <c r="H41" s="99">
        <v>50</v>
      </c>
      <c r="I41" s="99">
        <v>272</v>
      </c>
      <c r="J41" s="99">
        <v>1435</v>
      </c>
      <c r="K41" s="99">
        <v>1371</v>
      </c>
      <c r="L41" s="99">
        <v>2655</v>
      </c>
      <c r="M41" s="99">
        <v>932</v>
      </c>
      <c r="N41" s="99">
        <v>456</v>
      </c>
      <c r="O41" s="99">
        <v>290</v>
      </c>
      <c r="P41" s="159">
        <v>290</v>
      </c>
      <c r="Q41" s="99">
        <v>43</v>
      </c>
      <c r="R41" s="99">
        <v>86</v>
      </c>
      <c r="S41" s="99">
        <v>48</v>
      </c>
      <c r="T41" s="99">
        <v>39</v>
      </c>
      <c r="U41" s="99">
        <v>17</v>
      </c>
      <c r="V41" s="99">
        <v>61</v>
      </c>
      <c r="W41" s="99">
        <v>15</v>
      </c>
      <c r="X41" s="99">
        <v>8</v>
      </c>
      <c r="Y41" s="99">
        <v>39</v>
      </c>
      <c r="Z41" s="99">
        <v>99</v>
      </c>
      <c r="AA41" s="99" t="s">
        <v>695</v>
      </c>
      <c r="AB41" s="99" t="s">
        <v>695</v>
      </c>
      <c r="AC41" s="99" t="s">
        <v>695</v>
      </c>
      <c r="AD41" s="98" t="s">
        <v>395</v>
      </c>
      <c r="AE41" s="100">
        <v>0.1856320263230052</v>
      </c>
      <c r="AF41" s="100">
        <v>0.21</v>
      </c>
      <c r="AG41" s="98">
        <v>486.70139840965174</v>
      </c>
      <c r="AH41" s="98">
        <v>342.74746366876883</v>
      </c>
      <c r="AI41" s="100">
        <v>0.019</v>
      </c>
      <c r="AJ41" s="100">
        <v>0.766151</v>
      </c>
      <c r="AK41" s="100">
        <v>0.768498</v>
      </c>
      <c r="AL41" s="100">
        <v>0.77113</v>
      </c>
      <c r="AM41" s="100">
        <v>0.52067</v>
      </c>
      <c r="AN41" s="100">
        <v>0.53271</v>
      </c>
      <c r="AO41" s="98">
        <v>1987.9352892788593</v>
      </c>
      <c r="AP41" s="158">
        <v>1.020402756</v>
      </c>
      <c r="AQ41" s="100">
        <v>0.1482758620689655</v>
      </c>
      <c r="AR41" s="100">
        <v>0.5</v>
      </c>
      <c r="AS41" s="98">
        <v>329.0375651220181</v>
      </c>
      <c r="AT41" s="98">
        <v>267.3430216616397</v>
      </c>
      <c r="AU41" s="98">
        <v>116.53413764738141</v>
      </c>
      <c r="AV41" s="98">
        <v>418.151905675898</v>
      </c>
      <c r="AW41" s="98">
        <v>102.82423910063065</v>
      </c>
      <c r="AX41" s="98">
        <v>54.839594187003016</v>
      </c>
      <c r="AY41" s="98">
        <v>267.3430216616397</v>
      </c>
      <c r="AZ41" s="98">
        <v>678.6399780641623</v>
      </c>
      <c r="BA41" s="100" t="s">
        <v>695</v>
      </c>
      <c r="BB41" s="100" t="s">
        <v>695</v>
      </c>
      <c r="BC41" s="100" t="s">
        <v>695</v>
      </c>
      <c r="BD41" s="158">
        <v>0.9063288116</v>
      </c>
      <c r="BE41" s="158">
        <v>1.144861374</v>
      </c>
      <c r="BF41" s="162">
        <v>1873</v>
      </c>
      <c r="BG41" s="162">
        <v>1784</v>
      </c>
      <c r="BH41" s="162">
        <v>3443</v>
      </c>
      <c r="BI41" s="162">
        <v>1790</v>
      </c>
      <c r="BJ41" s="162">
        <v>856</v>
      </c>
      <c r="BK41" s="97"/>
      <c r="BL41" s="97"/>
      <c r="BM41" s="97"/>
      <c r="BN41" s="97"/>
    </row>
    <row r="42" spans="1:66" ht="12.75">
      <c r="A42" s="79" t="s">
        <v>657</v>
      </c>
      <c r="B42" s="79" t="s">
        <v>362</v>
      </c>
      <c r="C42" s="79" t="s">
        <v>255</v>
      </c>
      <c r="D42" s="99">
        <v>5983</v>
      </c>
      <c r="E42" s="99">
        <v>452</v>
      </c>
      <c r="F42" s="99" t="s">
        <v>417</v>
      </c>
      <c r="G42" s="99">
        <v>27</v>
      </c>
      <c r="H42" s="99">
        <v>10</v>
      </c>
      <c r="I42" s="99">
        <v>70</v>
      </c>
      <c r="J42" s="99">
        <v>331</v>
      </c>
      <c r="K42" s="99">
        <v>10</v>
      </c>
      <c r="L42" s="99">
        <v>1281</v>
      </c>
      <c r="M42" s="99">
        <v>143</v>
      </c>
      <c r="N42" s="99">
        <v>107</v>
      </c>
      <c r="O42" s="99">
        <v>64</v>
      </c>
      <c r="P42" s="159">
        <v>64</v>
      </c>
      <c r="Q42" s="99" t="s">
        <v>695</v>
      </c>
      <c r="R42" s="99">
        <v>12</v>
      </c>
      <c r="S42" s="99">
        <v>29</v>
      </c>
      <c r="T42" s="99">
        <v>10</v>
      </c>
      <c r="U42" s="99" t="s">
        <v>695</v>
      </c>
      <c r="V42" s="99">
        <v>6</v>
      </c>
      <c r="W42" s="99">
        <v>25</v>
      </c>
      <c r="X42" s="99">
        <v>13</v>
      </c>
      <c r="Y42" s="99">
        <v>30</v>
      </c>
      <c r="Z42" s="99">
        <v>14</v>
      </c>
      <c r="AA42" s="99" t="s">
        <v>695</v>
      </c>
      <c r="AB42" s="99" t="s">
        <v>695</v>
      </c>
      <c r="AC42" s="99" t="s">
        <v>695</v>
      </c>
      <c r="AD42" s="98" t="s">
        <v>395</v>
      </c>
      <c r="AE42" s="100">
        <v>0.07554738425539027</v>
      </c>
      <c r="AF42" s="100">
        <v>0.12</v>
      </c>
      <c r="AG42" s="98">
        <v>451.2786227644994</v>
      </c>
      <c r="AH42" s="98">
        <v>167.1402306535183</v>
      </c>
      <c r="AI42" s="100">
        <v>0.012</v>
      </c>
      <c r="AJ42" s="100">
        <v>0.65415</v>
      </c>
      <c r="AK42" s="100">
        <v>0.555556</v>
      </c>
      <c r="AL42" s="100">
        <v>0.769369</v>
      </c>
      <c r="AM42" s="100">
        <v>0.338863</v>
      </c>
      <c r="AN42" s="100">
        <v>0.5</v>
      </c>
      <c r="AO42" s="98">
        <v>1069.6974761825172</v>
      </c>
      <c r="AP42" s="158">
        <v>0.7736257935</v>
      </c>
      <c r="AQ42" s="100" t="s">
        <v>695</v>
      </c>
      <c r="AR42" s="100" t="s">
        <v>695</v>
      </c>
      <c r="AS42" s="98">
        <v>484.70666889520305</v>
      </c>
      <c r="AT42" s="98">
        <v>167.1402306535183</v>
      </c>
      <c r="AU42" s="98" t="s">
        <v>695</v>
      </c>
      <c r="AV42" s="98">
        <v>100.28413839211098</v>
      </c>
      <c r="AW42" s="98">
        <v>417.85057663379575</v>
      </c>
      <c r="AX42" s="98">
        <v>217.2822998495738</v>
      </c>
      <c r="AY42" s="98">
        <v>501.4206919605549</v>
      </c>
      <c r="AZ42" s="98">
        <v>233.99632291492563</v>
      </c>
      <c r="BA42" s="101" t="s">
        <v>695</v>
      </c>
      <c r="BB42" s="101" t="s">
        <v>695</v>
      </c>
      <c r="BC42" s="101" t="s">
        <v>695</v>
      </c>
      <c r="BD42" s="158">
        <v>0.5957861328</v>
      </c>
      <c r="BE42" s="158">
        <v>0.9879028320000001</v>
      </c>
      <c r="BF42" s="162">
        <v>506</v>
      </c>
      <c r="BG42" s="162">
        <v>18</v>
      </c>
      <c r="BH42" s="162">
        <v>1665</v>
      </c>
      <c r="BI42" s="162">
        <v>422</v>
      </c>
      <c r="BJ42" s="162">
        <v>214</v>
      </c>
      <c r="BK42" s="97"/>
      <c r="BL42" s="97"/>
      <c r="BM42" s="97"/>
      <c r="BN42" s="97"/>
    </row>
    <row r="43" spans="1:66" ht="12.75">
      <c r="A43" s="79" t="s">
        <v>684</v>
      </c>
      <c r="B43" s="79" t="s">
        <v>390</v>
      </c>
      <c r="C43" s="79" t="s">
        <v>255</v>
      </c>
      <c r="D43" s="99">
        <v>3599</v>
      </c>
      <c r="E43" s="99">
        <v>698</v>
      </c>
      <c r="F43" s="99" t="s">
        <v>415</v>
      </c>
      <c r="G43" s="99">
        <v>21</v>
      </c>
      <c r="H43" s="99">
        <v>23</v>
      </c>
      <c r="I43" s="99">
        <v>38</v>
      </c>
      <c r="J43" s="99">
        <v>275</v>
      </c>
      <c r="K43" s="99">
        <v>18</v>
      </c>
      <c r="L43" s="99">
        <v>659</v>
      </c>
      <c r="M43" s="99">
        <v>198</v>
      </c>
      <c r="N43" s="99">
        <v>94</v>
      </c>
      <c r="O43" s="99">
        <v>101</v>
      </c>
      <c r="P43" s="159">
        <v>101</v>
      </c>
      <c r="Q43" s="99">
        <v>11</v>
      </c>
      <c r="R43" s="99">
        <v>22</v>
      </c>
      <c r="S43" s="99">
        <v>18</v>
      </c>
      <c r="T43" s="99" t="s">
        <v>695</v>
      </c>
      <c r="U43" s="99">
        <v>6</v>
      </c>
      <c r="V43" s="99">
        <v>36</v>
      </c>
      <c r="W43" s="99" t="s">
        <v>695</v>
      </c>
      <c r="X43" s="99" t="s">
        <v>695</v>
      </c>
      <c r="Y43" s="99">
        <v>10</v>
      </c>
      <c r="Z43" s="99">
        <v>15</v>
      </c>
      <c r="AA43" s="99" t="s">
        <v>695</v>
      </c>
      <c r="AB43" s="99" t="s">
        <v>695</v>
      </c>
      <c r="AC43" s="99" t="s">
        <v>695</v>
      </c>
      <c r="AD43" s="98" t="s">
        <v>395</v>
      </c>
      <c r="AE43" s="100">
        <v>0.19394276187829954</v>
      </c>
      <c r="AF43" s="100">
        <v>0.2</v>
      </c>
      <c r="AG43" s="98">
        <v>583.4954153931648</v>
      </c>
      <c r="AH43" s="98">
        <v>639.066407335371</v>
      </c>
      <c r="AI43" s="100">
        <v>0.011000000000000001</v>
      </c>
      <c r="AJ43" s="100">
        <v>0.613839</v>
      </c>
      <c r="AK43" s="100">
        <v>0.45</v>
      </c>
      <c r="AL43" s="100">
        <v>0.810578</v>
      </c>
      <c r="AM43" s="100">
        <v>0.477108</v>
      </c>
      <c r="AN43" s="100">
        <v>0.451923</v>
      </c>
      <c r="AO43" s="98">
        <v>2806.3350930814113</v>
      </c>
      <c r="AP43" s="158">
        <v>1.412809601</v>
      </c>
      <c r="AQ43" s="100">
        <v>0.10891089108910891</v>
      </c>
      <c r="AR43" s="100">
        <v>0.5</v>
      </c>
      <c r="AS43" s="98">
        <v>500.1389274798555</v>
      </c>
      <c r="AT43" s="98" t="s">
        <v>695</v>
      </c>
      <c r="AU43" s="98">
        <v>166.7129758266185</v>
      </c>
      <c r="AV43" s="98">
        <v>1000.277854959711</v>
      </c>
      <c r="AW43" s="98" t="s">
        <v>695</v>
      </c>
      <c r="AX43" s="98" t="s">
        <v>695</v>
      </c>
      <c r="AY43" s="98">
        <v>277.85495971103086</v>
      </c>
      <c r="AZ43" s="98">
        <v>416.78243956654626</v>
      </c>
      <c r="BA43" s="100" t="s">
        <v>695</v>
      </c>
      <c r="BB43" s="100" t="s">
        <v>695</v>
      </c>
      <c r="BC43" s="100" t="s">
        <v>695</v>
      </c>
      <c r="BD43" s="158">
        <v>1.150756607</v>
      </c>
      <c r="BE43" s="158">
        <v>1.7166917419999999</v>
      </c>
      <c r="BF43" s="162">
        <v>448</v>
      </c>
      <c r="BG43" s="162">
        <v>40</v>
      </c>
      <c r="BH43" s="162">
        <v>813</v>
      </c>
      <c r="BI43" s="162">
        <v>415</v>
      </c>
      <c r="BJ43" s="162">
        <v>208</v>
      </c>
      <c r="BK43" s="97"/>
      <c r="BL43" s="97"/>
      <c r="BM43" s="97"/>
      <c r="BN43" s="97"/>
    </row>
    <row r="44" spans="1:66" ht="12.75">
      <c r="A44" s="79" t="s">
        <v>588</v>
      </c>
      <c r="B44" s="79" t="s">
        <v>290</v>
      </c>
      <c r="C44" s="79" t="s">
        <v>255</v>
      </c>
      <c r="D44" s="99">
        <v>7060</v>
      </c>
      <c r="E44" s="99">
        <v>1025</v>
      </c>
      <c r="F44" s="99" t="s">
        <v>418</v>
      </c>
      <c r="G44" s="99">
        <v>41</v>
      </c>
      <c r="H44" s="99">
        <v>19</v>
      </c>
      <c r="I44" s="99">
        <v>149</v>
      </c>
      <c r="J44" s="99">
        <v>635</v>
      </c>
      <c r="K44" s="99">
        <v>6</v>
      </c>
      <c r="L44" s="99">
        <v>1388</v>
      </c>
      <c r="M44" s="99">
        <v>300</v>
      </c>
      <c r="N44" s="99">
        <v>262</v>
      </c>
      <c r="O44" s="99">
        <v>207</v>
      </c>
      <c r="P44" s="159">
        <v>207</v>
      </c>
      <c r="Q44" s="99">
        <v>8</v>
      </c>
      <c r="R44" s="99">
        <v>16</v>
      </c>
      <c r="S44" s="99">
        <v>37</v>
      </c>
      <c r="T44" s="99">
        <v>34</v>
      </c>
      <c r="U44" s="99" t="s">
        <v>695</v>
      </c>
      <c r="V44" s="99">
        <v>44</v>
      </c>
      <c r="W44" s="99">
        <v>56</v>
      </c>
      <c r="X44" s="99">
        <v>33</v>
      </c>
      <c r="Y44" s="99">
        <v>79</v>
      </c>
      <c r="Z44" s="99">
        <v>47</v>
      </c>
      <c r="AA44" s="99" t="s">
        <v>695</v>
      </c>
      <c r="AB44" s="99" t="s">
        <v>695</v>
      </c>
      <c r="AC44" s="99" t="s">
        <v>695</v>
      </c>
      <c r="AD44" s="98" t="s">
        <v>395</v>
      </c>
      <c r="AE44" s="100">
        <v>0.14518413597733712</v>
      </c>
      <c r="AF44" s="100">
        <v>0.13</v>
      </c>
      <c r="AG44" s="98">
        <v>580.7365439093485</v>
      </c>
      <c r="AH44" s="98">
        <v>269.1218130311615</v>
      </c>
      <c r="AI44" s="100">
        <v>0.021</v>
      </c>
      <c r="AJ44" s="100">
        <v>0.754157</v>
      </c>
      <c r="AK44" s="100">
        <v>0.6</v>
      </c>
      <c r="AL44" s="100">
        <v>0.814554</v>
      </c>
      <c r="AM44" s="100">
        <v>0.388098</v>
      </c>
      <c r="AN44" s="100">
        <v>0.579646</v>
      </c>
      <c r="AO44" s="98">
        <v>2932.011331444759</v>
      </c>
      <c r="AP44" s="158">
        <v>1.644643555</v>
      </c>
      <c r="AQ44" s="100">
        <v>0.03864734299516908</v>
      </c>
      <c r="AR44" s="100">
        <v>0.5</v>
      </c>
      <c r="AS44" s="98">
        <v>524.0793201133145</v>
      </c>
      <c r="AT44" s="98">
        <v>481.5864022662889</v>
      </c>
      <c r="AU44" s="98" t="s">
        <v>695</v>
      </c>
      <c r="AV44" s="98">
        <v>623.2294617563739</v>
      </c>
      <c r="AW44" s="98">
        <v>793.2011331444759</v>
      </c>
      <c r="AX44" s="98">
        <v>467.4220963172805</v>
      </c>
      <c r="AY44" s="98">
        <v>1118.9801699716713</v>
      </c>
      <c r="AZ44" s="98">
        <v>665.7223796033994</v>
      </c>
      <c r="BA44" s="100" t="s">
        <v>695</v>
      </c>
      <c r="BB44" s="100" t="s">
        <v>695</v>
      </c>
      <c r="BC44" s="100" t="s">
        <v>695</v>
      </c>
      <c r="BD44" s="158">
        <v>1.428216248</v>
      </c>
      <c r="BE44" s="158">
        <v>1.8846018979999999</v>
      </c>
      <c r="BF44" s="162">
        <v>842</v>
      </c>
      <c r="BG44" s="162">
        <v>10</v>
      </c>
      <c r="BH44" s="162">
        <v>1704</v>
      </c>
      <c r="BI44" s="162">
        <v>773</v>
      </c>
      <c r="BJ44" s="162">
        <v>452</v>
      </c>
      <c r="BK44" s="97"/>
      <c r="BL44" s="97"/>
      <c r="BM44" s="97"/>
      <c r="BN44" s="97"/>
    </row>
    <row r="45" spans="1:66" ht="12.75">
      <c r="A45" s="79" t="s">
        <v>614</v>
      </c>
      <c r="B45" s="79" t="s">
        <v>318</v>
      </c>
      <c r="C45" s="79" t="s">
        <v>255</v>
      </c>
      <c r="D45" s="99">
        <v>8628</v>
      </c>
      <c r="E45" s="99">
        <v>1307</v>
      </c>
      <c r="F45" s="99" t="s">
        <v>416</v>
      </c>
      <c r="G45" s="99">
        <v>46</v>
      </c>
      <c r="H45" s="99">
        <v>18</v>
      </c>
      <c r="I45" s="99">
        <v>126</v>
      </c>
      <c r="J45" s="99">
        <v>593</v>
      </c>
      <c r="K45" s="99" t="s">
        <v>695</v>
      </c>
      <c r="L45" s="99">
        <v>1302</v>
      </c>
      <c r="M45" s="99">
        <v>364</v>
      </c>
      <c r="N45" s="99">
        <v>173</v>
      </c>
      <c r="O45" s="99">
        <v>144</v>
      </c>
      <c r="P45" s="159">
        <v>144</v>
      </c>
      <c r="Q45" s="99">
        <v>17</v>
      </c>
      <c r="R45" s="99">
        <v>40</v>
      </c>
      <c r="S45" s="99">
        <v>35</v>
      </c>
      <c r="T45" s="99">
        <v>18</v>
      </c>
      <c r="U45" s="99">
        <v>9</v>
      </c>
      <c r="V45" s="99">
        <v>20</v>
      </c>
      <c r="W45" s="99">
        <v>9</v>
      </c>
      <c r="X45" s="99">
        <v>9</v>
      </c>
      <c r="Y45" s="99">
        <v>28</v>
      </c>
      <c r="Z45" s="99">
        <v>50</v>
      </c>
      <c r="AA45" s="99" t="s">
        <v>695</v>
      </c>
      <c r="AB45" s="99" t="s">
        <v>695</v>
      </c>
      <c r="AC45" s="99" t="s">
        <v>695</v>
      </c>
      <c r="AD45" s="98" t="s">
        <v>395</v>
      </c>
      <c r="AE45" s="100">
        <v>0.15148354195642094</v>
      </c>
      <c r="AF45" s="100">
        <v>0.24</v>
      </c>
      <c r="AG45" s="98">
        <v>533.1478905887807</v>
      </c>
      <c r="AH45" s="98">
        <v>208.6230876216968</v>
      </c>
      <c r="AI45" s="100">
        <v>0.015</v>
      </c>
      <c r="AJ45" s="100">
        <v>0.646674</v>
      </c>
      <c r="AK45" s="100" t="s">
        <v>695</v>
      </c>
      <c r="AL45" s="100">
        <v>0.706457</v>
      </c>
      <c r="AM45" s="100">
        <v>0.45614</v>
      </c>
      <c r="AN45" s="100">
        <v>0.454068</v>
      </c>
      <c r="AO45" s="98">
        <v>1668.9847009735745</v>
      </c>
      <c r="AP45" s="158">
        <v>0.9703456116</v>
      </c>
      <c r="AQ45" s="100">
        <v>0.11805555555555555</v>
      </c>
      <c r="AR45" s="100">
        <v>0.425</v>
      </c>
      <c r="AS45" s="98">
        <v>405.6560037088549</v>
      </c>
      <c r="AT45" s="98">
        <v>208.6230876216968</v>
      </c>
      <c r="AU45" s="98">
        <v>104.3115438108484</v>
      </c>
      <c r="AV45" s="98">
        <v>231.80343069077423</v>
      </c>
      <c r="AW45" s="98">
        <v>104.3115438108484</v>
      </c>
      <c r="AX45" s="98">
        <v>104.3115438108484</v>
      </c>
      <c r="AY45" s="98">
        <v>324.52480296708393</v>
      </c>
      <c r="AZ45" s="98">
        <v>579.5085767269355</v>
      </c>
      <c r="BA45" s="100" t="s">
        <v>695</v>
      </c>
      <c r="BB45" s="100" t="s">
        <v>695</v>
      </c>
      <c r="BC45" s="100" t="s">
        <v>695</v>
      </c>
      <c r="BD45" s="158">
        <v>0.8183344269</v>
      </c>
      <c r="BE45" s="158">
        <v>1.142403488</v>
      </c>
      <c r="BF45" s="162">
        <v>917</v>
      </c>
      <c r="BG45" s="162" t="s">
        <v>695</v>
      </c>
      <c r="BH45" s="162">
        <v>1843</v>
      </c>
      <c r="BI45" s="162">
        <v>798</v>
      </c>
      <c r="BJ45" s="162">
        <v>381</v>
      </c>
      <c r="BK45" s="97"/>
      <c r="BL45" s="97"/>
      <c r="BM45" s="97"/>
      <c r="BN45" s="97"/>
    </row>
    <row r="46" spans="1:66" ht="12.75">
      <c r="A46" s="79" t="s">
        <v>636</v>
      </c>
      <c r="B46" s="79" t="s">
        <v>340</v>
      </c>
      <c r="C46" s="79" t="s">
        <v>255</v>
      </c>
      <c r="D46" s="99">
        <v>6619</v>
      </c>
      <c r="E46" s="99">
        <v>1247</v>
      </c>
      <c r="F46" s="99" t="s">
        <v>417</v>
      </c>
      <c r="G46" s="99">
        <v>33</v>
      </c>
      <c r="H46" s="99">
        <v>13</v>
      </c>
      <c r="I46" s="99">
        <v>171</v>
      </c>
      <c r="J46" s="99">
        <v>737</v>
      </c>
      <c r="K46" s="99">
        <v>10</v>
      </c>
      <c r="L46" s="99">
        <v>1258</v>
      </c>
      <c r="M46" s="99">
        <v>558</v>
      </c>
      <c r="N46" s="99">
        <v>279</v>
      </c>
      <c r="O46" s="99">
        <v>187</v>
      </c>
      <c r="P46" s="159">
        <v>187</v>
      </c>
      <c r="Q46" s="99">
        <v>21</v>
      </c>
      <c r="R46" s="99">
        <v>32</v>
      </c>
      <c r="S46" s="99">
        <v>42</v>
      </c>
      <c r="T46" s="99">
        <v>36</v>
      </c>
      <c r="U46" s="99">
        <v>9</v>
      </c>
      <c r="V46" s="99">
        <v>19</v>
      </c>
      <c r="W46" s="99">
        <v>11</v>
      </c>
      <c r="X46" s="99">
        <v>8</v>
      </c>
      <c r="Y46" s="99">
        <v>16</v>
      </c>
      <c r="Z46" s="99">
        <v>26</v>
      </c>
      <c r="AA46" s="99" t="s">
        <v>695</v>
      </c>
      <c r="AB46" s="99" t="s">
        <v>695</v>
      </c>
      <c r="AC46" s="99" t="s">
        <v>695</v>
      </c>
      <c r="AD46" s="98" t="s">
        <v>395</v>
      </c>
      <c r="AE46" s="100">
        <v>0.18839703882761746</v>
      </c>
      <c r="AF46" s="100">
        <v>0.09</v>
      </c>
      <c r="AG46" s="98">
        <v>498.56473787581206</v>
      </c>
      <c r="AH46" s="98">
        <v>196.4042906783502</v>
      </c>
      <c r="AI46" s="100">
        <v>0.026000000000000002</v>
      </c>
      <c r="AJ46" s="100">
        <v>0.734064</v>
      </c>
      <c r="AK46" s="100">
        <v>0.434783</v>
      </c>
      <c r="AL46" s="100">
        <v>0.788221</v>
      </c>
      <c r="AM46" s="100">
        <v>0.56535</v>
      </c>
      <c r="AN46" s="100">
        <v>0.570552</v>
      </c>
      <c r="AO46" s="98">
        <v>2825.2001812962685</v>
      </c>
      <c r="AP46" s="158">
        <v>1.368399811</v>
      </c>
      <c r="AQ46" s="100">
        <v>0.11229946524064172</v>
      </c>
      <c r="AR46" s="100">
        <v>0.65625</v>
      </c>
      <c r="AS46" s="98">
        <v>634.5369391146698</v>
      </c>
      <c r="AT46" s="98">
        <v>543.8888049554313</v>
      </c>
      <c r="AU46" s="98">
        <v>135.97220123885782</v>
      </c>
      <c r="AV46" s="98">
        <v>287.0524248375888</v>
      </c>
      <c r="AW46" s="98">
        <v>166.18824595860403</v>
      </c>
      <c r="AX46" s="98">
        <v>120.86417887898475</v>
      </c>
      <c r="AY46" s="98">
        <v>241.7283577579695</v>
      </c>
      <c r="AZ46" s="98">
        <v>392.8085813567004</v>
      </c>
      <c r="BA46" s="100" t="s">
        <v>695</v>
      </c>
      <c r="BB46" s="100" t="s">
        <v>695</v>
      </c>
      <c r="BC46" s="100" t="s">
        <v>695</v>
      </c>
      <c r="BD46" s="158">
        <v>1.179291687</v>
      </c>
      <c r="BE46" s="158">
        <v>1.5792060849999998</v>
      </c>
      <c r="BF46" s="162">
        <v>1004</v>
      </c>
      <c r="BG46" s="162">
        <v>23</v>
      </c>
      <c r="BH46" s="162">
        <v>1596</v>
      </c>
      <c r="BI46" s="162">
        <v>987</v>
      </c>
      <c r="BJ46" s="162">
        <v>489</v>
      </c>
      <c r="BK46" s="97"/>
      <c r="BL46" s="97"/>
      <c r="BM46" s="97"/>
      <c r="BN46" s="97"/>
    </row>
    <row r="47" spans="1:66" ht="12.75">
      <c r="A47" s="79" t="s">
        <v>633</v>
      </c>
      <c r="B47" s="79" t="s">
        <v>337</v>
      </c>
      <c r="C47" s="79" t="s">
        <v>255</v>
      </c>
      <c r="D47" s="99">
        <v>8514</v>
      </c>
      <c r="E47" s="99">
        <v>1490</v>
      </c>
      <c r="F47" s="99" t="s">
        <v>417</v>
      </c>
      <c r="G47" s="99">
        <v>23</v>
      </c>
      <c r="H47" s="99">
        <v>13</v>
      </c>
      <c r="I47" s="99">
        <v>155</v>
      </c>
      <c r="J47" s="99">
        <v>962</v>
      </c>
      <c r="K47" s="99">
        <v>10</v>
      </c>
      <c r="L47" s="99">
        <v>1736</v>
      </c>
      <c r="M47" s="99">
        <v>722</v>
      </c>
      <c r="N47" s="99">
        <v>353</v>
      </c>
      <c r="O47" s="99">
        <v>225</v>
      </c>
      <c r="P47" s="159">
        <v>225</v>
      </c>
      <c r="Q47" s="99">
        <v>16</v>
      </c>
      <c r="R47" s="99">
        <v>34</v>
      </c>
      <c r="S47" s="99">
        <v>54</v>
      </c>
      <c r="T47" s="99">
        <v>23</v>
      </c>
      <c r="U47" s="99">
        <v>9</v>
      </c>
      <c r="V47" s="99">
        <v>77</v>
      </c>
      <c r="W47" s="99">
        <v>8</v>
      </c>
      <c r="X47" s="99">
        <v>6</v>
      </c>
      <c r="Y47" s="99">
        <v>18</v>
      </c>
      <c r="Z47" s="99">
        <v>32</v>
      </c>
      <c r="AA47" s="99" t="s">
        <v>695</v>
      </c>
      <c r="AB47" s="99" t="s">
        <v>695</v>
      </c>
      <c r="AC47" s="99" t="s">
        <v>695</v>
      </c>
      <c r="AD47" s="98" t="s">
        <v>395</v>
      </c>
      <c r="AE47" s="100">
        <v>0.17500587268029127</v>
      </c>
      <c r="AF47" s="100">
        <v>0.1</v>
      </c>
      <c r="AG47" s="98">
        <v>270.14329339910734</v>
      </c>
      <c r="AH47" s="98">
        <v>152.6896875734085</v>
      </c>
      <c r="AI47" s="100">
        <v>0.018000000000000002</v>
      </c>
      <c r="AJ47" s="100">
        <v>0.803005</v>
      </c>
      <c r="AK47" s="100">
        <v>0.30303</v>
      </c>
      <c r="AL47" s="100">
        <v>0.827849</v>
      </c>
      <c r="AM47" s="100">
        <v>0.607744</v>
      </c>
      <c r="AN47" s="100">
        <v>0.64652</v>
      </c>
      <c r="AO47" s="98">
        <v>2642.706131078224</v>
      </c>
      <c r="AP47" s="158">
        <v>1.3577989199999998</v>
      </c>
      <c r="AQ47" s="100">
        <v>0.07111111111111111</v>
      </c>
      <c r="AR47" s="100">
        <v>0.47058823529411764</v>
      </c>
      <c r="AS47" s="98">
        <v>634.2494714587738</v>
      </c>
      <c r="AT47" s="98">
        <v>270.14329339910734</v>
      </c>
      <c r="AU47" s="98">
        <v>105.70824524312897</v>
      </c>
      <c r="AV47" s="98">
        <v>904.3927648578812</v>
      </c>
      <c r="AW47" s="98">
        <v>93.96288466055908</v>
      </c>
      <c r="AX47" s="98">
        <v>70.47216349541931</v>
      </c>
      <c r="AY47" s="98">
        <v>211.41649048625794</v>
      </c>
      <c r="AZ47" s="98">
        <v>375.85153864223633</v>
      </c>
      <c r="BA47" s="100" t="s">
        <v>695</v>
      </c>
      <c r="BB47" s="100" t="s">
        <v>695</v>
      </c>
      <c r="BC47" s="100" t="s">
        <v>695</v>
      </c>
      <c r="BD47" s="158">
        <v>1.186166077</v>
      </c>
      <c r="BE47" s="158">
        <v>1.5472880549999999</v>
      </c>
      <c r="BF47" s="162">
        <v>1198</v>
      </c>
      <c r="BG47" s="162">
        <v>33</v>
      </c>
      <c r="BH47" s="162">
        <v>2097</v>
      </c>
      <c r="BI47" s="162">
        <v>1188</v>
      </c>
      <c r="BJ47" s="162">
        <v>546</v>
      </c>
      <c r="BK47" s="97"/>
      <c r="BL47" s="97"/>
      <c r="BM47" s="97"/>
      <c r="BN47" s="97"/>
    </row>
    <row r="48" spans="1:66" ht="12.75">
      <c r="A48" s="79" t="s">
        <v>621</v>
      </c>
      <c r="B48" s="79" t="s">
        <v>325</v>
      </c>
      <c r="C48" s="79" t="s">
        <v>255</v>
      </c>
      <c r="D48" s="99">
        <v>7630</v>
      </c>
      <c r="E48" s="99">
        <v>1319</v>
      </c>
      <c r="F48" s="99" t="s">
        <v>418</v>
      </c>
      <c r="G48" s="99">
        <v>22</v>
      </c>
      <c r="H48" s="99">
        <v>21</v>
      </c>
      <c r="I48" s="99">
        <v>135</v>
      </c>
      <c r="J48" s="99">
        <v>717</v>
      </c>
      <c r="K48" s="99">
        <v>281</v>
      </c>
      <c r="L48" s="99">
        <v>1341</v>
      </c>
      <c r="M48" s="99">
        <v>471</v>
      </c>
      <c r="N48" s="99">
        <v>220</v>
      </c>
      <c r="O48" s="99">
        <v>251</v>
      </c>
      <c r="P48" s="159">
        <v>251</v>
      </c>
      <c r="Q48" s="99">
        <v>26</v>
      </c>
      <c r="R48" s="99">
        <v>42</v>
      </c>
      <c r="S48" s="99">
        <v>34</v>
      </c>
      <c r="T48" s="99">
        <v>50</v>
      </c>
      <c r="U48" s="99">
        <v>8</v>
      </c>
      <c r="V48" s="99">
        <v>39</v>
      </c>
      <c r="W48" s="99" t="s">
        <v>695</v>
      </c>
      <c r="X48" s="99">
        <v>6</v>
      </c>
      <c r="Y48" s="99">
        <v>23</v>
      </c>
      <c r="Z48" s="99">
        <v>62</v>
      </c>
      <c r="AA48" s="99" t="s">
        <v>695</v>
      </c>
      <c r="AB48" s="99" t="s">
        <v>695</v>
      </c>
      <c r="AC48" s="99" t="s">
        <v>695</v>
      </c>
      <c r="AD48" s="98" t="s">
        <v>395</v>
      </c>
      <c r="AE48" s="100">
        <v>0.172870249017038</v>
      </c>
      <c r="AF48" s="100">
        <v>0.16</v>
      </c>
      <c r="AG48" s="98">
        <v>288.33551769331586</v>
      </c>
      <c r="AH48" s="98">
        <v>275.22935779816515</v>
      </c>
      <c r="AI48" s="100">
        <v>0.018000000000000002</v>
      </c>
      <c r="AJ48" s="100">
        <v>0.739938</v>
      </c>
      <c r="AK48" s="100">
        <v>0.793785</v>
      </c>
      <c r="AL48" s="100">
        <v>0.807831</v>
      </c>
      <c r="AM48" s="100">
        <v>0.562724</v>
      </c>
      <c r="AN48" s="100">
        <v>0.588235</v>
      </c>
      <c r="AO48" s="98">
        <v>3289.646133682831</v>
      </c>
      <c r="AP48" s="158">
        <v>1.785104523</v>
      </c>
      <c r="AQ48" s="100">
        <v>0.10358565737051793</v>
      </c>
      <c r="AR48" s="100">
        <v>0.6190476190476191</v>
      </c>
      <c r="AS48" s="98">
        <v>445.6094364351245</v>
      </c>
      <c r="AT48" s="98">
        <v>655.307994757536</v>
      </c>
      <c r="AU48" s="98">
        <v>104.84927916120577</v>
      </c>
      <c r="AV48" s="98">
        <v>511.1402359108781</v>
      </c>
      <c r="AW48" s="98" t="s">
        <v>695</v>
      </c>
      <c r="AX48" s="98">
        <v>78.63695937090432</v>
      </c>
      <c r="AY48" s="98">
        <v>301.4416775884666</v>
      </c>
      <c r="AZ48" s="98">
        <v>812.5819134993446</v>
      </c>
      <c r="BA48" s="100" t="s">
        <v>695</v>
      </c>
      <c r="BB48" s="100" t="s">
        <v>695</v>
      </c>
      <c r="BC48" s="100" t="s">
        <v>695</v>
      </c>
      <c r="BD48" s="158">
        <v>1.571077271</v>
      </c>
      <c r="BE48" s="158">
        <v>2.020151825</v>
      </c>
      <c r="BF48" s="162">
        <v>969</v>
      </c>
      <c r="BG48" s="162">
        <v>354</v>
      </c>
      <c r="BH48" s="162">
        <v>1660</v>
      </c>
      <c r="BI48" s="162">
        <v>837</v>
      </c>
      <c r="BJ48" s="162">
        <v>374</v>
      </c>
      <c r="BK48" s="97"/>
      <c r="BL48" s="97"/>
      <c r="BM48" s="97"/>
      <c r="BN48" s="97"/>
    </row>
    <row r="49" spans="1:66" ht="12.75">
      <c r="A49" s="79" t="s">
        <v>596</v>
      </c>
      <c r="B49" s="79" t="s">
        <v>299</v>
      </c>
      <c r="C49" s="79" t="s">
        <v>255</v>
      </c>
      <c r="D49" s="99">
        <v>3496</v>
      </c>
      <c r="E49" s="99">
        <v>543</v>
      </c>
      <c r="F49" s="99" t="s">
        <v>418</v>
      </c>
      <c r="G49" s="99">
        <v>16</v>
      </c>
      <c r="H49" s="99">
        <v>8</v>
      </c>
      <c r="I49" s="99">
        <v>60</v>
      </c>
      <c r="J49" s="99">
        <v>270</v>
      </c>
      <c r="K49" s="99" t="s">
        <v>695</v>
      </c>
      <c r="L49" s="99">
        <v>579</v>
      </c>
      <c r="M49" s="99">
        <v>163</v>
      </c>
      <c r="N49" s="99">
        <v>77</v>
      </c>
      <c r="O49" s="99">
        <v>118</v>
      </c>
      <c r="P49" s="159">
        <v>118</v>
      </c>
      <c r="Q49" s="99">
        <v>6</v>
      </c>
      <c r="R49" s="99">
        <v>14</v>
      </c>
      <c r="S49" s="99">
        <v>33</v>
      </c>
      <c r="T49" s="99">
        <v>31</v>
      </c>
      <c r="U49" s="99">
        <v>6</v>
      </c>
      <c r="V49" s="99">
        <v>13</v>
      </c>
      <c r="W49" s="99" t="s">
        <v>695</v>
      </c>
      <c r="X49" s="99">
        <v>6</v>
      </c>
      <c r="Y49" s="99">
        <v>13</v>
      </c>
      <c r="Z49" s="99">
        <v>26</v>
      </c>
      <c r="AA49" s="99" t="s">
        <v>695</v>
      </c>
      <c r="AB49" s="99" t="s">
        <v>695</v>
      </c>
      <c r="AC49" s="99" t="s">
        <v>695</v>
      </c>
      <c r="AD49" s="98" t="s">
        <v>395</v>
      </c>
      <c r="AE49" s="100">
        <v>0.15532036613272313</v>
      </c>
      <c r="AF49" s="100">
        <v>0.13</v>
      </c>
      <c r="AG49" s="98">
        <v>457.66590389016017</v>
      </c>
      <c r="AH49" s="98">
        <v>228.83295194508008</v>
      </c>
      <c r="AI49" s="100">
        <v>0.017</v>
      </c>
      <c r="AJ49" s="100">
        <v>0.718085</v>
      </c>
      <c r="AK49" s="100" t="s">
        <v>695</v>
      </c>
      <c r="AL49" s="100">
        <v>0.711302</v>
      </c>
      <c r="AM49" s="100">
        <v>0.432361</v>
      </c>
      <c r="AN49" s="100">
        <v>0.418478</v>
      </c>
      <c r="AO49" s="98">
        <v>3375.2860411899314</v>
      </c>
      <c r="AP49" s="158">
        <v>1.936299133</v>
      </c>
      <c r="AQ49" s="100">
        <v>0.05084745762711865</v>
      </c>
      <c r="AR49" s="100">
        <v>0.42857142857142855</v>
      </c>
      <c r="AS49" s="98">
        <v>943.9359267734553</v>
      </c>
      <c r="AT49" s="98">
        <v>886.7276887871853</v>
      </c>
      <c r="AU49" s="98">
        <v>171.62471395881008</v>
      </c>
      <c r="AV49" s="98">
        <v>371.85354691075514</v>
      </c>
      <c r="AW49" s="98" t="s">
        <v>695</v>
      </c>
      <c r="AX49" s="98">
        <v>171.62471395881008</v>
      </c>
      <c r="AY49" s="98">
        <v>371.85354691075514</v>
      </c>
      <c r="AZ49" s="98">
        <v>743.7070938215103</v>
      </c>
      <c r="BA49" s="100" t="s">
        <v>695</v>
      </c>
      <c r="BB49" s="100" t="s">
        <v>695</v>
      </c>
      <c r="BC49" s="100" t="s">
        <v>695</v>
      </c>
      <c r="BD49" s="158">
        <v>1.602725983</v>
      </c>
      <c r="BE49" s="158">
        <v>2.318825226</v>
      </c>
      <c r="BF49" s="162">
        <v>376</v>
      </c>
      <c r="BG49" s="162" t="s">
        <v>695</v>
      </c>
      <c r="BH49" s="162">
        <v>814</v>
      </c>
      <c r="BI49" s="162">
        <v>377</v>
      </c>
      <c r="BJ49" s="162">
        <v>184</v>
      </c>
      <c r="BK49" s="97"/>
      <c r="BL49" s="97"/>
      <c r="BM49" s="97"/>
      <c r="BN49" s="97"/>
    </row>
    <row r="50" spans="1:66" ht="12.75">
      <c r="A50" s="79" t="s">
        <v>619</v>
      </c>
      <c r="B50" s="79" t="s">
        <v>323</v>
      </c>
      <c r="C50" s="79" t="s">
        <v>255</v>
      </c>
      <c r="D50" s="99">
        <v>14260</v>
      </c>
      <c r="E50" s="99">
        <v>3708</v>
      </c>
      <c r="F50" s="99" t="s">
        <v>417</v>
      </c>
      <c r="G50" s="99">
        <v>77</v>
      </c>
      <c r="H50" s="99">
        <v>31</v>
      </c>
      <c r="I50" s="99">
        <v>333</v>
      </c>
      <c r="J50" s="99">
        <v>1668</v>
      </c>
      <c r="K50" s="99">
        <v>16</v>
      </c>
      <c r="L50" s="99">
        <v>2491</v>
      </c>
      <c r="M50" s="99">
        <v>1280</v>
      </c>
      <c r="N50" s="99">
        <v>648</v>
      </c>
      <c r="O50" s="99">
        <v>476</v>
      </c>
      <c r="P50" s="159">
        <v>476</v>
      </c>
      <c r="Q50" s="99">
        <v>48</v>
      </c>
      <c r="R50" s="99">
        <v>81</v>
      </c>
      <c r="S50" s="99">
        <v>77</v>
      </c>
      <c r="T50" s="99">
        <v>80</v>
      </c>
      <c r="U50" s="99">
        <v>13</v>
      </c>
      <c r="V50" s="99">
        <v>133</v>
      </c>
      <c r="W50" s="99">
        <v>45</v>
      </c>
      <c r="X50" s="99">
        <v>17</v>
      </c>
      <c r="Y50" s="99">
        <v>49</v>
      </c>
      <c r="Z50" s="99">
        <v>71</v>
      </c>
      <c r="AA50" s="99" t="s">
        <v>695</v>
      </c>
      <c r="AB50" s="99" t="s">
        <v>695</v>
      </c>
      <c r="AC50" s="99" t="s">
        <v>695</v>
      </c>
      <c r="AD50" s="98" t="s">
        <v>395</v>
      </c>
      <c r="AE50" s="100">
        <v>0.26002805049088357</v>
      </c>
      <c r="AF50" s="100">
        <v>0.09</v>
      </c>
      <c r="AG50" s="98">
        <v>539.9719495091164</v>
      </c>
      <c r="AH50" s="98">
        <v>217.3913043478261</v>
      </c>
      <c r="AI50" s="100">
        <v>0.023</v>
      </c>
      <c r="AJ50" s="100">
        <v>0.740346</v>
      </c>
      <c r="AK50" s="100">
        <v>0.258065</v>
      </c>
      <c r="AL50" s="100">
        <v>0.777466</v>
      </c>
      <c r="AM50" s="100">
        <v>0.577617</v>
      </c>
      <c r="AN50" s="100">
        <v>0.605042</v>
      </c>
      <c r="AO50" s="98">
        <v>3338.008415147265</v>
      </c>
      <c r="AP50" s="158">
        <v>1.424605865</v>
      </c>
      <c r="AQ50" s="100">
        <v>0.10084033613445378</v>
      </c>
      <c r="AR50" s="100">
        <v>0.5925925925925926</v>
      </c>
      <c r="AS50" s="98">
        <v>539.9719495091164</v>
      </c>
      <c r="AT50" s="98">
        <v>561.0098176718093</v>
      </c>
      <c r="AU50" s="98">
        <v>91.164095371669</v>
      </c>
      <c r="AV50" s="98">
        <v>932.6788218793829</v>
      </c>
      <c r="AW50" s="98">
        <v>315.5680224403927</v>
      </c>
      <c r="AX50" s="98">
        <v>119.21458625525946</v>
      </c>
      <c r="AY50" s="98">
        <v>343.61851332398317</v>
      </c>
      <c r="AZ50" s="98">
        <v>497.8962131837307</v>
      </c>
      <c r="BA50" s="100" t="s">
        <v>695</v>
      </c>
      <c r="BB50" s="100" t="s">
        <v>695</v>
      </c>
      <c r="BC50" s="100" t="s">
        <v>695</v>
      </c>
      <c r="BD50" s="158">
        <v>1.299482269</v>
      </c>
      <c r="BE50" s="158">
        <v>1.558524933</v>
      </c>
      <c r="BF50" s="162">
        <v>2253</v>
      </c>
      <c r="BG50" s="162">
        <v>62</v>
      </c>
      <c r="BH50" s="162">
        <v>3204</v>
      </c>
      <c r="BI50" s="162">
        <v>2216</v>
      </c>
      <c r="BJ50" s="162">
        <v>1071</v>
      </c>
      <c r="BK50" s="97"/>
      <c r="BL50" s="97"/>
      <c r="BM50" s="97"/>
      <c r="BN50" s="97"/>
    </row>
    <row r="51" spans="1:66" ht="12.75">
      <c r="A51" s="79" t="s">
        <v>670</v>
      </c>
      <c r="B51" s="79" t="s">
        <v>376</v>
      </c>
      <c r="C51" s="79" t="s">
        <v>255</v>
      </c>
      <c r="D51" s="99">
        <v>10104</v>
      </c>
      <c r="E51" s="99">
        <v>945</v>
      </c>
      <c r="F51" s="99" t="s">
        <v>419</v>
      </c>
      <c r="G51" s="99">
        <v>34</v>
      </c>
      <c r="H51" s="99">
        <v>13</v>
      </c>
      <c r="I51" s="99">
        <v>122</v>
      </c>
      <c r="J51" s="99">
        <v>722</v>
      </c>
      <c r="K51" s="99">
        <v>12</v>
      </c>
      <c r="L51" s="99">
        <v>2216</v>
      </c>
      <c r="M51" s="99">
        <v>461</v>
      </c>
      <c r="N51" s="99">
        <v>229</v>
      </c>
      <c r="O51" s="99">
        <v>218</v>
      </c>
      <c r="P51" s="159">
        <v>218</v>
      </c>
      <c r="Q51" s="99">
        <v>18</v>
      </c>
      <c r="R51" s="99">
        <v>30</v>
      </c>
      <c r="S51" s="99">
        <v>49</v>
      </c>
      <c r="T51" s="99">
        <v>37</v>
      </c>
      <c r="U51" s="99">
        <v>8</v>
      </c>
      <c r="V51" s="99">
        <v>31</v>
      </c>
      <c r="W51" s="99">
        <v>12</v>
      </c>
      <c r="X51" s="99">
        <v>12</v>
      </c>
      <c r="Y51" s="99">
        <v>28</v>
      </c>
      <c r="Z51" s="99">
        <v>28</v>
      </c>
      <c r="AA51" s="99" t="s">
        <v>695</v>
      </c>
      <c r="AB51" s="99" t="s">
        <v>695</v>
      </c>
      <c r="AC51" s="99" t="s">
        <v>695</v>
      </c>
      <c r="AD51" s="98" t="s">
        <v>395</v>
      </c>
      <c r="AE51" s="100">
        <v>0.09352731591448932</v>
      </c>
      <c r="AF51" s="100">
        <v>0.08</v>
      </c>
      <c r="AG51" s="98">
        <v>336.5003958828187</v>
      </c>
      <c r="AH51" s="98">
        <v>128.66191607284244</v>
      </c>
      <c r="AI51" s="100">
        <v>0.012</v>
      </c>
      <c r="AJ51" s="100">
        <v>0.728557</v>
      </c>
      <c r="AK51" s="100">
        <v>0.352941</v>
      </c>
      <c r="AL51" s="100">
        <v>0.862592</v>
      </c>
      <c r="AM51" s="100">
        <v>0.570545</v>
      </c>
      <c r="AN51" s="100">
        <v>0.610667</v>
      </c>
      <c r="AO51" s="98">
        <v>2157.561361836896</v>
      </c>
      <c r="AP51" s="158">
        <v>1.415306396</v>
      </c>
      <c r="AQ51" s="100">
        <v>0.08256880733944955</v>
      </c>
      <c r="AR51" s="100">
        <v>0.6</v>
      </c>
      <c r="AS51" s="98">
        <v>484.95645288994456</v>
      </c>
      <c r="AT51" s="98">
        <v>366.19160728424384</v>
      </c>
      <c r="AU51" s="98">
        <v>79.1765637371338</v>
      </c>
      <c r="AV51" s="98">
        <v>306.8091844813935</v>
      </c>
      <c r="AW51" s="98">
        <v>118.76484560570071</v>
      </c>
      <c r="AX51" s="98">
        <v>118.76484560570071</v>
      </c>
      <c r="AY51" s="98">
        <v>277.11797307996835</v>
      </c>
      <c r="AZ51" s="98">
        <v>277.11797307996835</v>
      </c>
      <c r="BA51" s="100" t="s">
        <v>695</v>
      </c>
      <c r="BB51" s="100" t="s">
        <v>695</v>
      </c>
      <c r="BC51" s="100" t="s">
        <v>695</v>
      </c>
      <c r="BD51" s="158">
        <v>1.233653488</v>
      </c>
      <c r="BE51" s="158">
        <v>1.616176453</v>
      </c>
      <c r="BF51" s="162">
        <v>991</v>
      </c>
      <c r="BG51" s="162">
        <v>34</v>
      </c>
      <c r="BH51" s="162">
        <v>2569</v>
      </c>
      <c r="BI51" s="162">
        <v>808</v>
      </c>
      <c r="BJ51" s="162">
        <v>375</v>
      </c>
      <c r="BK51" s="97"/>
      <c r="BL51" s="97"/>
      <c r="BM51" s="97"/>
      <c r="BN51" s="97"/>
    </row>
    <row r="52" spans="1:66" ht="12.75">
      <c r="A52" s="79" t="s">
        <v>638</v>
      </c>
      <c r="B52" s="79" t="s">
        <v>342</v>
      </c>
      <c r="C52" s="79" t="s">
        <v>255</v>
      </c>
      <c r="D52" s="99">
        <v>5274</v>
      </c>
      <c r="E52" s="99">
        <v>973</v>
      </c>
      <c r="F52" s="99" t="s">
        <v>418</v>
      </c>
      <c r="G52" s="99">
        <v>24</v>
      </c>
      <c r="H52" s="99">
        <v>19</v>
      </c>
      <c r="I52" s="99">
        <v>110</v>
      </c>
      <c r="J52" s="99">
        <v>503</v>
      </c>
      <c r="K52" s="99" t="s">
        <v>695</v>
      </c>
      <c r="L52" s="99">
        <v>886</v>
      </c>
      <c r="M52" s="99">
        <v>321</v>
      </c>
      <c r="N52" s="99">
        <v>142</v>
      </c>
      <c r="O52" s="99">
        <v>294</v>
      </c>
      <c r="P52" s="159">
        <v>294</v>
      </c>
      <c r="Q52" s="99">
        <v>20</v>
      </c>
      <c r="R52" s="99">
        <v>26</v>
      </c>
      <c r="S52" s="99">
        <v>37</v>
      </c>
      <c r="T52" s="99">
        <v>51</v>
      </c>
      <c r="U52" s="99">
        <v>8</v>
      </c>
      <c r="V52" s="99">
        <v>51</v>
      </c>
      <c r="W52" s="99" t="s">
        <v>695</v>
      </c>
      <c r="X52" s="99">
        <v>7</v>
      </c>
      <c r="Y52" s="99">
        <v>16</v>
      </c>
      <c r="Z52" s="99">
        <v>35</v>
      </c>
      <c r="AA52" s="99" t="s">
        <v>695</v>
      </c>
      <c r="AB52" s="99" t="s">
        <v>695</v>
      </c>
      <c r="AC52" s="99" t="s">
        <v>695</v>
      </c>
      <c r="AD52" s="98" t="s">
        <v>395</v>
      </c>
      <c r="AE52" s="100">
        <v>0.1844899507015548</v>
      </c>
      <c r="AF52" s="100">
        <v>0.14</v>
      </c>
      <c r="AG52" s="98">
        <v>455.06257110352675</v>
      </c>
      <c r="AH52" s="98">
        <v>360.257868790292</v>
      </c>
      <c r="AI52" s="100">
        <v>0.021</v>
      </c>
      <c r="AJ52" s="100">
        <v>0.736457</v>
      </c>
      <c r="AK52" s="100" t="s">
        <v>695</v>
      </c>
      <c r="AL52" s="100">
        <v>0.773124</v>
      </c>
      <c r="AM52" s="100">
        <v>0.506309</v>
      </c>
      <c r="AN52" s="100">
        <v>0.501767</v>
      </c>
      <c r="AO52" s="98">
        <v>5574.516496018203</v>
      </c>
      <c r="AP52" s="158">
        <v>2.8625994869999998</v>
      </c>
      <c r="AQ52" s="100">
        <v>0.06802721088435375</v>
      </c>
      <c r="AR52" s="100">
        <v>0.7692307692307693</v>
      </c>
      <c r="AS52" s="98">
        <v>701.554797117937</v>
      </c>
      <c r="AT52" s="98">
        <v>967.0079635949943</v>
      </c>
      <c r="AU52" s="98">
        <v>151.68752370117556</v>
      </c>
      <c r="AV52" s="98">
        <v>967.0079635949943</v>
      </c>
      <c r="AW52" s="98" t="s">
        <v>695</v>
      </c>
      <c r="AX52" s="98">
        <v>132.72658323852863</v>
      </c>
      <c r="AY52" s="98">
        <v>303.37504740235113</v>
      </c>
      <c r="AZ52" s="98">
        <v>663.6329161926432</v>
      </c>
      <c r="BA52" s="100" t="s">
        <v>695</v>
      </c>
      <c r="BB52" s="100" t="s">
        <v>695</v>
      </c>
      <c r="BC52" s="100" t="s">
        <v>695</v>
      </c>
      <c r="BD52" s="158">
        <v>2.54470047</v>
      </c>
      <c r="BE52" s="158">
        <v>3.209230957</v>
      </c>
      <c r="BF52" s="162">
        <v>683</v>
      </c>
      <c r="BG52" s="162" t="s">
        <v>695</v>
      </c>
      <c r="BH52" s="162">
        <v>1146</v>
      </c>
      <c r="BI52" s="162">
        <v>634</v>
      </c>
      <c r="BJ52" s="162">
        <v>283</v>
      </c>
      <c r="BK52" s="97"/>
      <c r="BL52" s="97"/>
      <c r="BM52" s="97"/>
      <c r="BN52" s="97"/>
    </row>
    <row r="53" spans="1:66" ht="12.75">
      <c r="A53" s="79" t="s">
        <v>674</v>
      </c>
      <c r="B53" s="79" t="s">
        <v>380</v>
      </c>
      <c r="C53" s="79" t="s">
        <v>255</v>
      </c>
      <c r="D53" s="99">
        <v>2773</v>
      </c>
      <c r="E53" s="99">
        <v>184</v>
      </c>
      <c r="F53" s="99" t="s">
        <v>418</v>
      </c>
      <c r="G53" s="99" t="s">
        <v>695</v>
      </c>
      <c r="H53" s="99" t="s">
        <v>695</v>
      </c>
      <c r="I53" s="99">
        <v>17</v>
      </c>
      <c r="J53" s="99">
        <v>129</v>
      </c>
      <c r="K53" s="99" t="s">
        <v>695</v>
      </c>
      <c r="L53" s="99">
        <v>541</v>
      </c>
      <c r="M53" s="99">
        <v>48</v>
      </c>
      <c r="N53" s="99">
        <v>39</v>
      </c>
      <c r="O53" s="99">
        <v>8</v>
      </c>
      <c r="P53" s="159">
        <v>8</v>
      </c>
      <c r="Q53" s="99" t="s">
        <v>695</v>
      </c>
      <c r="R53" s="99" t="s">
        <v>695</v>
      </c>
      <c r="S53" s="99" t="s">
        <v>695</v>
      </c>
      <c r="T53" s="99" t="s">
        <v>695</v>
      </c>
      <c r="U53" s="99" t="s">
        <v>695</v>
      </c>
      <c r="V53" s="99" t="s">
        <v>695</v>
      </c>
      <c r="W53" s="99">
        <v>16</v>
      </c>
      <c r="X53" s="99" t="s">
        <v>695</v>
      </c>
      <c r="Y53" s="99">
        <v>32</v>
      </c>
      <c r="Z53" s="99">
        <v>8</v>
      </c>
      <c r="AA53" s="99" t="s">
        <v>695</v>
      </c>
      <c r="AB53" s="99" t="s">
        <v>695</v>
      </c>
      <c r="AC53" s="99" t="s">
        <v>695</v>
      </c>
      <c r="AD53" s="98" t="s">
        <v>395</v>
      </c>
      <c r="AE53" s="100">
        <v>0.06635412910205554</v>
      </c>
      <c r="AF53" s="100">
        <v>0.15</v>
      </c>
      <c r="AG53" s="98" t="s">
        <v>695</v>
      </c>
      <c r="AH53" s="98" t="s">
        <v>695</v>
      </c>
      <c r="AI53" s="100">
        <v>0.006</v>
      </c>
      <c r="AJ53" s="100">
        <v>0.570796</v>
      </c>
      <c r="AK53" s="100" t="s">
        <v>695</v>
      </c>
      <c r="AL53" s="100">
        <v>0.801481</v>
      </c>
      <c r="AM53" s="100">
        <v>0.274286</v>
      </c>
      <c r="AN53" s="100">
        <v>0.402062</v>
      </c>
      <c r="AO53" s="98">
        <v>288.49621348719796</v>
      </c>
      <c r="AP53" s="158">
        <v>0.2187845421</v>
      </c>
      <c r="AQ53" s="100" t="s">
        <v>695</v>
      </c>
      <c r="AR53" s="100" t="s">
        <v>695</v>
      </c>
      <c r="AS53" s="98" t="s">
        <v>695</v>
      </c>
      <c r="AT53" s="98" t="s">
        <v>695</v>
      </c>
      <c r="AU53" s="98" t="s">
        <v>695</v>
      </c>
      <c r="AV53" s="98" t="s">
        <v>695</v>
      </c>
      <c r="AW53" s="98">
        <v>576.9924269743959</v>
      </c>
      <c r="AX53" s="98" t="s">
        <v>695</v>
      </c>
      <c r="AY53" s="98">
        <v>1153.9848539487919</v>
      </c>
      <c r="AZ53" s="98">
        <v>288.49621348719796</v>
      </c>
      <c r="BA53" s="100" t="s">
        <v>695</v>
      </c>
      <c r="BB53" s="100" t="s">
        <v>695</v>
      </c>
      <c r="BC53" s="100" t="s">
        <v>695</v>
      </c>
      <c r="BD53" s="158">
        <v>0.09445563316</v>
      </c>
      <c r="BE53" s="158">
        <v>0.4310927582</v>
      </c>
      <c r="BF53" s="162">
        <v>226</v>
      </c>
      <c r="BG53" s="162" t="s">
        <v>695</v>
      </c>
      <c r="BH53" s="162">
        <v>675</v>
      </c>
      <c r="BI53" s="162">
        <v>175</v>
      </c>
      <c r="BJ53" s="162">
        <v>97</v>
      </c>
      <c r="BK53" s="97"/>
      <c r="BL53" s="97"/>
      <c r="BM53" s="97"/>
      <c r="BN53" s="97"/>
    </row>
    <row r="54" spans="1:66" ht="12.75">
      <c r="A54" s="79" t="s">
        <v>644</v>
      </c>
      <c r="B54" s="79" t="s">
        <v>349</v>
      </c>
      <c r="C54" s="79" t="s">
        <v>255</v>
      </c>
      <c r="D54" s="99">
        <v>8628</v>
      </c>
      <c r="E54" s="99">
        <v>1786</v>
      </c>
      <c r="F54" s="99" t="s">
        <v>418</v>
      </c>
      <c r="G54" s="99">
        <v>43</v>
      </c>
      <c r="H54" s="99">
        <v>26</v>
      </c>
      <c r="I54" s="99">
        <v>190</v>
      </c>
      <c r="J54" s="99">
        <v>903</v>
      </c>
      <c r="K54" s="99" t="s">
        <v>695</v>
      </c>
      <c r="L54" s="99">
        <v>1584</v>
      </c>
      <c r="M54" s="99">
        <v>509</v>
      </c>
      <c r="N54" s="99">
        <v>411</v>
      </c>
      <c r="O54" s="99">
        <v>151</v>
      </c>
      <c r="P54" s="159">
        <v>151</v>
      </c>
      <c r="Q54" s="99">
        <v>16</v>
      </c>
      <c r="R54" s="99">
        <v>29</v>
      </c>
      <c r="S54" s="99">
        <v>45</v>
      </c>
      <c r="T54" s="99">
        <v>25</v>
      </c>
      <c r="U54" s="99" t="s">
        <v>695</v>
      </c>
      <c r="V54" s="99">
        <v>22</v>
      </c>
      <c r="W54" s="99">
        <v>52</v>
      </c>
      <c r="X54" s="99">
        <v>32</v>
      </c>
      <c r="Y54" s="99">
        <v>79</v>
      </c>
      <c r="Z54" s="99">
        <v>47</v>
      </c>
      <c r="AA54" s="99" t="s">
        <v>695</v>
      </c>
      <c r="AB54" s="99" t="s">
        <v>695</v>
      </c>
      <c r="AC54" s="99" t="s">
        <v>695</v>
      </c>
      <c r="AD54" s="98" t="s">
        <v>395</v>
      </c>
      <c r="AE54" s="100">
        <v>0.2070004636068614</v>
      </c>
      <c r="AF54" s="100">
        <v>0.13</v>
      </c>
      <c r="AG54" s="98">
        <v>498.3773759851646</v>
      </c>
      <c r="AH54" s="98">
        <v>301.3444598980065</v>
      </c>
      <c r="AI54" s="100">
        <v>0.022000000000000002</v>
      </c>
      <c r="AJ54" s="100">
        <v>0.748756</v>
      </c>
      <c r="AK54" s="100" t="s">
        <v>695</v>
      </c>
      <c r="AL54" s="100">
        <v>0.770428</v>
      </c>
      <c r="AM54" s="100">
        <v>0.405255</v>
      </c>
      <c r="AN54" s="100">
        <v>0.606195</v>
      </c>
      <c r="AO54" s="98">
        <v>1750.1159017153454</v>
      </c>
      <c r="AP54" s="158">
        <v>0.8454624176</v>
      </c>
      <c r="AQ54" s="100">
        <v>0.10596026490066225</v>
      </c>
      <c r="AR54" s="100">
        <v>0.5517241379310345</v>
      </c>
      <c r="AS54" s="98">
        <v>521.557719054242</v>
      </c>
      <c r="AT54" s="98">
        <v>289.75428836346777</v>
      </c>
      <c r="AU54" s="98" t="s">
        <v>695</v>
      </c>
      <c r="AV54" s="98">
        <v>254.98377375985166</v>
      </c>
      <c r="AW54" s="98">
        <v>602.688919796013</v>
      </c>
      <c r="AX54" s="98">
        <v>370.8854891052388</v>
      </c>
      <c r="AY54" s="98">
        <v>915.6235512285582</v>
      </c>
      <c r="AZ54" s="98">
        <v>544.7380621233194</v>
      </c>
      <c r="BA54" s="100" t="s">
        <v>695</v>
      </c>
      <c r="BB54" s="100" t="s">
        <v>695</v>
      </c>
      <c r="BC54" s="100" t="s">
        <v>695</v>
      </c>
      <c r="BD54" s="158">
        <v>0.715990448</v>
      </c>
      <c r="BE54" s="158">
        <v>0.9915809631000001</v>
      </c>
      <c r="BF54" s="162">
        <v>1206</v>
      </c>
      <c r="BG54" s="162" t="s">
        <v>695</v>
      </c>
      <c r="BH54" s="162">
        <v>2056</v>
      </c>
      <c r="BI54" s="162">
        <v>1256</v>
      </c>
      <c r="BJ54" s="162">
        <v>678</v>
      </c>
      <c r="BK54" s="97"/>
      <c r="BL54" s="97"/>
      <c r="BM54" s="97"/>
      <c r="BN54" s="97"/>
    </row>
    <row r="55" spans="1:66" ht="12.75">
      <c r="A55" s="79" t="s">
        <v>594</v>
      </c>
      <c r="B55" s="79" t="s">
        <v>297</v>
      </c>
      <c r="C55" s="79" t="s">
        <v>255</v>
      </c>
      <c r="D55" s="99">
        <v>4304</v>
      </c>
      <c r="E55" s="99">
        <v>823</v>
      </c>
      <c r="F55" s="99" t="s">
        <v>417</v>
      </c>
      <c r="G55" s="99">
        <v>18</v>
      </c>
      <c r="H55" s="99">
        <v>15</v>
      </c>
      <c r="I55" s="99">
        <v>79</v>
      </c>
      <c r="J55" s="99">
        <v>285</v>
      </c>
      <c r="K55" s="99" t="s">
        <v>695</v>
      </c>
      <c r="L55" s="99">
        <v>660</v>
      </c>
      <c r="M55" s="99">
        <v>176</v>
      </c>
      <c r="N55" s="99">
        <v>81</v>
      </c>
      <c r="O55" s="99">
        <v>187</v>
      </c>
      <c r="P55" s="159">
        <v>187</v>
      </c>
      <c r="Q55" s="99">
        <v>11</v>
      </c>
      <c r="R55" s="99">
        <v>28</v>
      </c>
      <c r="S55" s="99">
        <v>21</v>
      </c>
      <c r="T55" s="99">
        <v>23</v>
      </c>
      <c r="U55" s="99" t="s">
        <v>695</v>
      </c>
      <c r="V55" s="99">
        <v>40</v>
      </c>
      <c r="W55" s="99" t="s">
        <v>695</v>
      </c>
      <c r="X55" s="99">
        <v>6</v>
      </c>
      <c r="Y55" s="99">
        <v>14</v>
      </c>
      <c r="Z55" s="99">
        <v>28</v>
      </c>
      <c r="AA55" s="99" t="s">
        <v>695</v>
      </c>
      <c r="AB55" s="99" t="s">
        <v>695</v>
      </c>
      <c r="AC55" s="99" t="s">
        <v>695</v>
      </c>
      <c r="AD55" s="98" t="s">
        <v>395</v>
      </c>
      <c r="AE55" s="100">
        <v>0.19121747211895912</v>
      </c>
      <c r="AF55" s="100">
        <v>0.12</v>
      </c>
      <c r="AG55" s="98">
        <v>418.2156133828996</v>
      </c>
      <c r="AH55" s="98">
        <v>348.51301115241637</v>
      </c>
      <c r="AI55" s="100">
        <v>0.018000000000000002</v>
      </c>
      <c r="AJ55" s="100">
        <v>0.65367</v>
      </c>
      <c r="AK55" s="100" t="s">
        <v>695</v>
      </c>
      <c r="AL55" s="100">
        <v>0.705882</v>
      </c>
      <c r="AM55" s="100">
        <v>0.44</v>
      </c>
      <c r="AN55" s="100">
        <v>0.445055</v>
      </c>
      <c r="AO55" s="98">
        <v>4344.795539033457</v>
      </c>
      <c r="AP55" s="158">
        <v>2.286812744</v>
      </c>
      <c r="AQ55" s="100">
        <v>0.058823529411764705</v>
      </c>
      <c r="AR55" s="100">
        <v>0.39285714285714285</v>
      </c>
      <c r="AS55" s="98">
        <v>487.9182156133829</v>
      </c>
      <c r="AT55" s="98">
        <v>534.3866171003717</v>
      </c>
      <c r="AU55" s="98" t="s">
        <v>695</v>
      </c>
      <c r="AV55" s="98">
        <v>929.368029739777</v>
      </c>
      <c r="AW55" s="98" t="s">
        <v>695</v>
      </c>
      <c r="AX55" s="98">
        <v>139.40520446096653</v>
      </c>
      <c r="AY55" s="98">
        <v>325.2788104089219</v>
      </c>
      <c r="AZ55" s="98">
        <v>650.5576208178438</v>
      </c>
      <c r="BA55" s="100" t="s">
        <v>695</v>
      </c>
      <c r="BB55" s="100" t="s">
        <v>695</v>
      </c>
      <c r="BC55" s="100" t="s">
        <v>695</v>
      </c>
      <c r="BD55" s="158">
        <v>1.9707830809999998</v>
      </c>
      <c r="BE55" s="158">
        <v>2.639103394</v>
      </c>
      <c r="BF55" s="162">
        <v>436</v>
      </c>
      <c r="BG55" s="162" t="s">
        <v>695</v>
      </c>
      <c r="BH55" s="162">
        <v>935</v>
      </c>
      <c r="BI55" s="162">
        <v>400</v>
      </c>
      <c r="BJ55" s="162">
        <v>182</v>
      </c>
      <c r="BK55" s="97"/>
      <c r="BL55" s="97"/>
      <c r="BM55" s="97"/>
      <c r="BN55" s="97"/>
    </row>
    <row r="56" spans="1:66" ht="12.75">
      <c r="A56" s="79" t="s">
        <v>645</v>
      </c>
      <c r="B56" s="79" t="s">
        <v>350</v>
      </c>
      <c r="C56" s="79" t="s">
        <v>255</v>
      </c>
      <c r="D56" s="99">
        <v>6356</v>
      </c>
      <c r="E56" s="99">
        <v>1194</v>
      </c>
      <c r="F56" s="99" t="s">
        <v>415</v>
      </c>
      <c r="G56" s="99">
        <v>33</v>
      </c>
      <c r="H56" s="99">
        <v>20</v>
      </c>
      <c r="I56" s="99">
        <v>95</v>
      </c>
      <c r="J56" s="99">
        <v>489</v>
      </c>
      <c r="K56" s="99">
        <v>8</v>
      </c>
      <c r="L56" s="99">
        <v>1100</v>
      </c>
      <c r="M56" s="99">
        <v>361</v>
      </c>
      <c r="N56" s="99">
        <v>201</v>
      </c>
      <c r="O56" s="99">
        <v>195</v>
      </c>
      <c r="P56" s="159">
        <v>195</v>
      </c>
      <c r="Q56" s="99">
        <v>19</v>
      </c>
      <c r="R56" s="99">
        <v>33</v>
      </c>
      <c r="S56" s="99">
        <v>38</v>
      </c>
      <c r="T56" s="99">
        <v>25</v>
      </c>
      <c r="U56" s="99">
        <v>9</v>
      </c>
      <c r="V56" s="99">
        <v>42</v>
      </c>
      <c r="W56" s="99">
        <v>7</v>
      </c>
      <c r="X56" s="99">
        <v>8</v>
      </c>
      <c r="Y56" s="99">
        <v>31</v>
      </c>
      <c r="Z56" s="99">
        <v>34</v>
      </c>
      <c r="AA56" s="99" t="s">
        <v>695</v>
      </c>
      <c r="AB56" s="99" t="s">
        <v>695</v>
      </c>
      <c r="AC56" s="99" t="s">
        <v>695</v>
      </c>
      <c r="AD56" s="98" t="s">
        <v>395</v>
      </c>
      <c r="AE56" s="100">
        <v>0.18785399622404028</v>
      </c>
      <c r="AF56" s="100">
        <v>0.23</v>
      </c>
      <c r="AG56" s="98">
        <v>519.1944619257395</v>
      </c>
      <c r="AH56" s="98">
        <v>314.6633102580239</v>
      </c>
      <c r="AI56" s="100">
        <v>0.015</v>
      </c>
      <c r="AJ56" s="100">
        <v>0.674483</v>
      </c>
      <c r="AK56" s="100">
        <v>0.444444</v>
      </c>
      <c r="AL56" s="100">
        <v>0.73776</v>
      </c>
      <c r="AM56" s="100">
        <v>0.502786</v>
      </c>
      <c r="AN56" s="100">
        <v>0.546196</v>
      </c>
      <c r="AO56" s="98">
        <v>3067.9672750157333</v>
      </c>
      <c r="AP56" s="158">
        <v>1.558463898</v>
      </c>
      <c r="AQ56" s="100">
        <v>0.09743589743589744</v>
      </c>
      <c r="AR56" s="100">
        <v>0.5757575757575758</v>
      </c>
      <c r="AS56" s="98">
        <v>597.8602894902455</v>
      </c>
      <c r="AT56" s="98">
        <v>393.3291378225299</v>
      </c>
      <c r="AU56" s="98">
        <v>141.59848961611075</v>
      </c>
      <c r="AV56" s="98">
        <v>660.7929515418502</v>
      </c>
      <c r="AW56" s="98">
        <v>110.13215859030836</v>
      </c>
      <c r="AX56" s="98">
        <v>125.86532410320956</v>
      </c>
      <c r="AY56" s="98">
        <v>487.72813089993707</v>
      </c>
      <c r="AZ56" s="98">
        <v>534.9276274386407</v>
      </c>
      <c r="BA56" s="100" t="s">
        <v>695</v>
      </c>
      <c r="BB56" s="100" t="s">
        <v>695</v>
      </c>
      <c r="BC56" s="100" t="s">
        <v>695</v>
      </c>
      <c r="BD56" s="158">
        <v>1.347389526</v>
      </c>
      <c r="BE56" s="158">
        <v>1.793224792</v>
      </c>
      <c r="BF56" s="162">
        <v>725</v>
      </c>
      <c r="BG56" s="162">
        <v>18</v>
      </c>
      <c r="BH56" s="162">
        <v>1491</v>
      </c>
      <c r="BI56" s="162">
        <v>718</v>
      </c>
      <c r="BJ56" s="162">
        <v>368</v>
      </c>
      <c r="BK56" s="97"/>
      <c r="BL56" s="97"/>
      <c r="BM56" s="97"/>
      <c r="BN56" s="97"/>
    </row>
    <row r="57" spans="1:66" ht="12.75">
      <c r="A57" s="79" t="s">
        <v>663</v>
      </c>
      <c r="B57" s="79" t="s">
        <v>368</v>
      </c>
      <c r="C57" s="79" t="s">
        <v>255</v>
      </c>
      <c r="D57" s="99">
        <v>10896</v>
      </c>
      <c r="E57" s="99">
        <v>1771</v>
      </c>
      <c r="F57" s="99" t="s">
        <v>418</v>
      </c>
      <c r="G57" s="99">
        <v>35</v>
      </c>
      <c r="H57" s="99">
        <v>28</v>
      </c>
      <c r="I57" s="99">
        <v>155</v>
      </c>
      <c r="J57" s="99">
        <v>999</v>
      </c>
      <c r="K57" s="99">
        <v>14</v>
      </c>
      <c r="L57" s="99">
        <v>2157</v>
      </c>
      <c r="M57" s="99">
        <v>515</v>
      </c>
      <c r="N57" s="99">
        <v>400</v>
      </c>
      <c r="O57" s="99">
        <v>200</v>
      </c>
      <c r="P57" s="159">
        <v>200</v>
      </c>
      <c r="Q57" s="99">
        <v>18</v>
      </c>
      <c r="R57" s="99">
        <v>29</v>
      </c>
      <c r="S57" s="99">
        <v>53</v>
      </c>
      <c r="T57" s="99">
        <v>32</v>
      </c>
      <c r="U57" s="99" t="s">
        <v>695</v>
      </c>
      <c r="V57" s="99">
        <v>28</v>
      </c>
      <c r="W57" s="99">
        <v>61</v>
      </c>
      <c r="X57" s="99">
        <v>24</v>
      </c>
      <c r="Y57" s="99">
        <v>74</v>
      </c>
      <c r="Z57" s="99">
        <v>35</v>
      </c>
      <c r="AA57" s="99" t="s">
        <v>695</v>
      </c>
      <c r="AB57" s="99" t="s">
        <v>695</v>
      </c>
      <c r="AC57" s="99" t="s">
        <v>695</v>
      </c>
      <c r="AD57" s="98" t="s">
        <v>395</v>
      </c>
      <c r="AE57" s="100">
        <v>0.1625367107195301</v>
      </c>
      <c r="AF57" s="100">
        <v>0.12</v>
      </c>
      <c r="AG57" s="98">
        <v>321.2187958883994</v>
      </c>
      <c r="AH57" s="98">
        <v>256.9750367107195</v>
      </c>
      <c r="AI57" s="100">
        <v>0.013999999999999999</v>
      </c>
      <c r="AJ57" s="100">
        <v>0.738359</v>
      </c>
      <c r="AK57" s="100">
        <v>0.451613</v>
      </c>
      <c r="AL57" s="100">
        <v>0.808471</v>
      </c>
      <c r="AM57" s="100">
        <v>0.422131</v>
      </c>
      <c r="AN57" s="100">
        <v>0.617284</v>
      </c>
      <c r="AO57" s="98">
        <v>1835.5359765051394</v>
      </c>
      <c r="AP57" s="158">
        <v>1.003465729</v>
      </c>
      <c r="AQ57" s="100">
        <v>0.09</v>
      </c>
      <c r="AR57" s="100">
        <v>0.6206896551724138</v>
      </c>
      <c r="AS57" s="98">
        <v>486.417033773862</v>
      </c>
      <c r="AT57" s="98">
        <v>293.68575624082234</v>
      </c>
      <c r="AU57" s="98" t="s">
        <v>695</v>
      </c>
      <c r="AV57" s="98">
        <v>256.9750367107195</v>
      </c>
      <c r="AW57" s="98">
        <v>559.8384728340676</v>
      </c>
      <c r="AX57" s="98">
        <v>220.26431718061673</v>
      </c>
      <c r="AY57" s="98">
        <v>679.1483113069016</v>
      </c>
      <c r="AZ57" s="98">
        <v>321.2187958883994</v>
      </c>
      <c r="BA57" s="100" t="s">
        <v>695</v>
      </c>
      <c r="BB57" s="100" t="s">
        <v>695</v>
      </c>
      <c r="BC57" s="100" t="s">
        <v>695</v>
      </c>
      <c r="BD57" s="158">
        <v>0.8692063904</v>
      </c>
      <c r="BE57" s="158">
        <v>1.152590637</v>
      </c>
      <c r="BF57" s="162">
        <v>1353</v>
      </c>
      <c r="BG57" s="162">
        <v>31</v>
      </c>
      <c r="BH57" s="162">
        <v>2668</v>
      </c>
      <c r="BI57" s="162">
        <v>1220</v>
      </c>
      <c r="BJ57" s="162">
        <v>648</v>
      </c>
      <c r="BK57" s="97"/>
      <c r="BL57" s="97"/>
      <c r="BM57" s="97"/>
      <c r="BN57" s="97"/>
    </row>
    <row r="58" spans="1:66" ht="12.75">
      <c r="A58" s="79" t="s">
        <v>660</v>
      </c>
      <c r="B58" s="79" t="s">
        <v>365</v>
      </c>
      <c r="C58" s="79" t="s">
        <v>255</v>
      </c>
      <c r="D58" s="99">
        <v>5612</v>
      </c>
      <c r="E58" s="99">
        <v>1109</v>
      </c>
      <c r="F58" s="99" t="s">
        <v>418</v>
      </c>
      <c r="G58" s="99">
        <v>32</v>
      </c>
      <c r="H58" s="99">
        <v>13</v>
      </c>
      <c r="I58" s="99">
        <v>97</v>
      </c>
      <c r="J58" s="99">
        <v>606</v>
      </c>
      <c r="K58" s="99">
        <v>16</v>
      </c>
      <c r="L58" s="99">
        <v>993</v>
      </c>
      <c r="M58" s="99">
        <v>327</v>
      </c>
      <c r="N58" s="99">
        <v>264</v>
      </c>
      <c r="O58" s="99">
        <v>111</v>
      </c>
      <c r="P58" s="159">
        <v>111</v>
      </c>
      <c r="Q58" s="99">
        <v>14</v>
      </c>
      <c r="R58" s="99">
        <v>26</v>
      </c>
      <c r="S58" s="99">
        <v>30</v>
      </c>
      <c r="T58" s="99">
        <v>20</v>
      </c>
      <c r="U58" s="99">
        <v>10</v>
      </c>
      <c r="V58" s="99">
        <v>19</v>
      </c>
      <c r="W58" s="99">
        <v>23</v>
      </c>
      <c r="X58" s="99">
        <v>21</v>
      </c>
      <c r="Y58" s="99">
        <v>63</v>
      </c>
      <c r="Z58" s="99">
        <v>39</v>
      </c>
      <c r="AA58" s="99" t="s">
        <v>695</v>
      </c>
      <c r="AB58" s="99" t="s">
        <v>695</v>
      </c>
      <c r="AC58" s="99" t="s">
        <v>695</v>
      </c>
      <c r="AD58" s="98" t="s">
        <v>395</v>
      </c>
      <c r="AE58" s="100">
        <v>0.19761225944404848</v>
      </c>
      <c r="AF58" s="100">
        <v>0.15</v>
      </c>
      <c r="AG58" s="98">
        <v>570.2066999287241</v>
      </c>
      <c r="AH58" s="98">
        <v>231.6464718460442</v>
      </c>
      <c r="AI58" s="100">
        <v>0.017</v>
      </c>
      <c r="AJ58" s="100">
        <v>0.708772</v>
      </c>
      <c r="AK58" s="100">
        <v>0.5</v>
      </c>
      <c r="AL58" s="100">
        <v>0.763846</v>
      </c>
      <c r="AM58" s="100">
        <v>0.386982</v>
      </c>
      <c r="AN58" s="100">
        <v>0.55814</v>
      </c>
      <c r="AO58" s="98">
        <v>1977.904490377762</v>
      </c>
      <c r="AP58" s="158">
        <v>0.954599762</v>
      </c>
      <c r="AQ58" s="100">
        <v>0.12612612612612611</v>
      </c>
      <c r="AR58" s="100">
        <v>0.5384615384615384</v>
      </c>
      <c r="AS58" s="98">
        <v>534.5687811831789</v>
      </c>
      <c r="AT58" s="98">
        <v>356.3791874554526</v>
      </c>
      <c r="AU58" s="98">
        <v>178.1895937277263</v>
      </c>
      <c r="AV58" s="98">
        <v>338.56022808268</v>
      </c>
      <c r="AW58" s="98">
        <v>409.8360655737705</v>
      </c>
      <c r="AX58" s="98">
        <v>374.1981468282252</v>
      </c>
      <c r="AY58" s="98">
        <v>1122.5944404846757</v>
      </c>
      <c r="AZ58" s="98">
        <v>694.9394155381326</v>
      </c>
      <c r="BA58" s="100" t="s">
        <v>695</v>
      </c>
      <c r="BB58" s="100" t="s">
        <v>695</v>
      </c>
      <c r="BC58" s="100" t="s">
        <v>695</v>
      </c>
      <c r="BD58" s="158">
        <v>0.7852944182999999</v>
      </c>
      <c r="BE58" s="158">
        <v>1.1495843510000001</v>
      </c>
      <c r="BF58" s="162">
        <v>855</v>
      </c>
      <c r="BG58" s="162">
        <v>32</v>
      </c>
      <c r="BH58" s="162">
        <v>1300</v>
      </c>
      <c r="BI58" s="162">
        <v>845</v>
      </c>
      <c r="BJ58" s="162">
        <v>473</v>
      </c>
      <c r="BK58" s="97"/>
      <c r="BL58" s="97"/>
      <c r="BM58" s="97"/>
      <c r="BN58" s="97"/>
    </row>
    <row r="59" spans="1:66" ht="12.75">
      <c r="A59" s="79" t="s">
        <v>617</v>
      </c>
      <c r="B59" s="79" t="s">
        <v>321</v>
      </c>
      <c r="C59" s="79" t="s">
        <v>255</v>
      </c>
      <c r="D59" s="99">
        <v>7345</v>
      </c>
      <c r="E59" s="99">
        <v>1644</v>
      </c>
      <c r="F59" s="99" t="s">
        <v>417</v>
      </c>
      <c r="G59" s="99">
        <v>37</v>
      </c>
      <c r="H59" s="99">
        <v>28</v>
      </c>
      <c r="I59" s="99">
        <v>155</v>
      </c>
      <c r="J59" s="99">
        <v>905</v>
      </c>
      <c r="K59" s="99">
        <v>883</v>
      </c>
      <c r="L59" s="99">
        <v>1377</v>
      </c>
      <c r="M59" s="99">
        <v>672</v>
      </c>
      <c r="N59" s="99">
        <v>345</v>
      </c>
      <c r="O59" s="99">
        <v>218</v>
      </c>
      <c r="P59" s="159">
        <v>218</v>
      </c>
      <c r="Q59" s="99">
        <v>22</v>
      </c>
      <c r="R59" s="99">
        <v>47</v>
      </c>
      <c r="S59" s="99">
        <v>38</v>
      </c>
      <c r="T59" s="99">
        <v>25</v>
      </c>
      <c r="U59" s="99">
        <v>9</v>
      </c>
      <c r="V59" s="99">
        <v>22</v>
      </c>
      <c r="W59" s="99">
        <v>16</v>
      </c>
      <c r="X59" s="99" t="s">
        <v>695</v>
      </c>
      <c r="Y59" s="99">
        <v>19</v>
      </c>
      <c r="Z59" s="99">
        <v>45</v>
      </c>
      <c r="AA59" s="99" t="s">
        <v>695</v>
      </c>
      <c r="AB59" s="99" t="s">
        <v>695</v>
      </c>
      <c r="AC59" s="99" t="s">
        <v>695</v>
      </c>
      <c r="AD59" s="98" t="s">
        <v>395</v>
      </c>
      <c r="AE59" s="100">
        <v>0.22382573179033355</v>
      </c>
      <c r="AF59" s="100">
        <v>0.12</v>
      </c>
      <c r="AG59" s="98">
        <v>503.7440435670524</v>
      </c>
      <c r="AH59" s="98">
        <v>381.21170864533696</v>
      </c>
      <c r="AI59" s="100">
        <v>0.021</v>
      </c>
      <c r="AJ59" s="100">
        <v>0.790393</v>
      </c>
      <c r="AK59" s="100">
        <v>0.788393</v>
      </c>
      <c r="AL59" s="100">
        <v>0.819155</v>
      </c>
      <c r="AM59" s="100">
        <v>0.57289</v>
      </c>
      <c r="AN59" s="100">
        <v>0.595855</v>
      </c>
      <c r="AO59" s="98">
        <v>2968.005445881552</v>
      </c>
      <c r="AP59" s="158">
        <v>1.356628723</v>
      </c>
      <c r="AQ59" s="100">
        <v>0.10091743119266056</v>
      </c>
      <c r="AR59" s="100">
        <v>0.46808510638297873</v>
      </c>
      <c r="AS59" s="98">
        <v>517.358747447243</v>
      </c>
      <c r="AT59" s="98">
        <v>340.3675970047652</v>
      </c>
      <c r="AU59" s="98">
        <v>122.53233492171545</v>
      </c>
      <c r="AV59" s="98">
        <v>299.52348536419333</v>
      </c>
      <c r="AW59" s="98">
        <v>217.83526208304968</v>
      </c>
      <c r="AX59" s="98" t="s">
        <v>695</v>
      </c>
      <c r="AY59" s="98">
        <v>258.6793737236215</v>
      </c>
      <c r="AZ59" s="98">
        <v>612.6616746085773</v>
      </c>
      <c r="BA59" s="100" t="s">
        <v>695</v>
      </c>
      <c r="BB59" s="100" t="s">
        <v>695</v>
      </c>
      <c r="BC59" s="100" t="s">
        <v>695</v>
      </c>
      <c r="BD59" s="158">
        <v>1.182507019</v>
      </c>
      <c r="BE59" s="158">
        <v>1.5491708370000001</v>
      </c>
      <c r="BF59" s="162">
        <v>1145</v>
      </c>
      <c r="BG59" s="162">
        <v>1120</v>
      </c>
      <c r="BH59" s="162">
        <v>1681</v>
      </c>
      <c r="BI59" s="162">
        <v>1173</v>
      </c>
      <c r="BJ59" s="162">
        <v>579</v>
      </c>
      <c r="BK59" s="97"/>
      <c r="BL59" s="97"/>
      <c r="BM59" s="97"/>
      <c r="BN59" s="97"/>
    </row>
    <row r="60" spans="1:66" ht="12.75">
      <c r="A60" s="79" t="s">
        <v>649</v>
      </c>
      <c r="B60" s="79" t="s">
        <v>354</v>
      </c>
      <c r="C60" s="79" t="s">
        <v>255</v>
      </c>
      <c r="D60" s="99">
        <v>2894</v>
      </c>
      <c r="E60" s="99">
        <v>695</v>
      </c>
      <c r="F60" s="99" t="s">
        <v>418</v>
      </c>
      <c r="G60" s="99">
        <v>9</v>
      </c>
      <c r="H60" s="99">
        <v>10</v>
      </c>
      <c r="I60" s="99">
        <v>79</v>
      </c>
      <c r="J60" s="99">
        <v>308</v>
      </c>
      <c r="K60" s="99">
        <v>305</v>
      </c>
      <c r="L60" s="99">
        <v>523</v>
      </c>
      <c r="M60" s="99">
        <v>225</v>
      </c>
      <c r="N60" s="99">
        <v>110</v>
      </c>
      <c r="O60" s="99">
        <v>57</v>
      </c>
      <c r="P60" s="159">
        <v>57</v>
      </c>
      <c r="Q60" s="99">
        <v>7</v>
      </c>
      <c r="R60" s="99">
        <v>18</v>
      </c>
      <c r="S60" s="99">
        <v>14</v>
      </c>
      <c r="T60" s="99">
        <v>6</v>
      </c>
      <c r="U60" s="99" t="s">
        <v>695</v>
      </c>
      <c r="V60" s="99">
        <v>10</v>
      </c>
      <c r="W60" s="99" t="s">
        <v>695</v>
      </c>
      <c r="X60" s="99">
        <v>7</v>
      </c>
      <c r="Y60" s="99">
        <v>12</v>
      </c>
      <c r="Z60" s="99">
        <v>21</v>
      </c>
      <c r="AA60" s="99" t="s">
        <v>695</v>
      </c>
      <c r="AB60" s="99" t="s">
        <v>695</v>
      </c>
      <c r="AC60" s="99" t="s">
        <v>695</v>
      </c>
      <c r="AD60" s="98" t="s">
        <v>395</v>
      </c>
      <c r="AE60" s="100">
        <v>0.24015203870076018</v>
      </c>
      <c r="AF60" s="100">
        <v>0.14</v>
      </c>
      <c r="AG60" s="98">
        <v>310.98825155494126</v>
      </c>
      <c r="AH60" s="98">
        <v>345.54250172771253</v>
      </c>
      <c r="AI60" s="100">
        <v>0.027000000000000003</v>
      </c>
      <c r="AJ60" s="100">
        <v>0.764268</v>
      </c>
      <c r="AK60" s="100">
        <v>0.768262</v>
      </c>
      <c r="AL60" s="100">
        <v>0.799694</v>
      </c>
      <c r="AM60" s="100">
        <v>0.546117</v>
      </c>
      <c r="AN60" s="100">
        <v>0.552764</v>
      </c>
      <c r="AO60" s="98">
        <v>1969.5922598479613</v>
      </c>
      <c r="AP60" s="158">
        <v>0.8726636505</v>
      </c>
      <c r="AQ60" s="100">
        <v>0.12280701754385964</v>
      </c>
      <c r="AR60" s="100">
        <v>0.3888888888888889</v>
      </c>
      <c r="AS60" s="98">
        <v>483.7595024187975</v>
      </c>
      <c r="AT60" s="98">
        <v>207.32550103662751</v>
      </c>
      <c r="AU60" s="98" t="s">
        <v>695</v>
      </c>
      <c r="AV60" s="98">
        <v>345.54250172771253</v>
      </c>
      <c r="AW60" s="98" t="s">
        <v>695</v>
      </c>
      <c r="AX60" s="98">
        <v>241.87975120939876</v>
      </c>
      <c r="AY60" s="98">
        <v>414.65100207325503</v>
      </c>
      <c r="AZ60" s="98">
        <v>725.6392536281962</v>
      </c>
      <c r="BA60" s="100" t="s">
        <v>695</v>
      </c>
      <c r="BB60" s="100" t="s">
        <v>695</v>
      </c>
      <c r="BC60" s="100" t="s">
        <v>695</v>
      </c>
      <c r="BD60" s="158">
        <v>0.6609469604</v>
      </c>
      <c r="BE60" s="158">
        <v>1.130636978</v>
      </c>
      <c r="BF60" s="162">
        <v>403</v>
      </c>
      <c r="BG60" s="162">
        <v>397</v>
      </c>
      <c r="BH60" s="162">
        <v>654</v>
      </c>
      <c r="BI60" s="162">
        <v>412</v>
      </c>
      <c r="BJ60" s="162">
        <v>199</v>
      </c>
      <c r="BK60" s="97"/>
      <c r="BL60" s="97"/>
      <c r="BM60" s="97"/>
      <c r="BN60" s="97"/>
    </row>
    <row r="61" spans="1:66" ht="12.75">
      <c r="A61" s="79" t="s">
        <v>673</v>
      </c>
      <c r="B61" s="79" t="s">
        <v>379</v>
      </c>
      <c r="C61" s="79" t="s">
        <v>255</v>
      </c>
      <c r="D61" s="99">
        <v>5489</v>
      </c>
      <c r="E61" s="99">
        <v>605</v>
      </c>
      <c r="F61" s="99" t="s">
        <v>418</v>
      </c>
      <c r="G61" s="99">
        <v>15</v>
      </c>
      <c r="H61" s="99">
        <v>11</v>
      </c>
      <c r="I61" s="99">
        <v>27</v>
      </c>
      <c r="J61" s="99">
        <v>313</v>
      </c>
      <c r="K61" s="99" t="s">
        <v>695</v>
      </c>
      <c r="L61" s="99">
        <v>873</v>
      </c>
      <c r="M61" s="99">
        <v>187</v>
      </c>
      <c r="N61" s="99">
        <v>106</v>
      </c>
      <c r="O61" s="99">
        <v>176</v>
      </c>
      <c r="P61" s="159">
        <v>176</v>
      </c>
      <c r="Q61" s="99">
        <v>8</v>
      </c>
      <c r="R61" s="99">
        <v>14</v>
      </c>
      <c r="S61" s="99">
        <v>33</v>
      </c>
      <c r="T61" s="99">
        <v>25</v>
      </c>
      <c r="U61" s="99">
        <v>11</v>
      </c>
      <c r="V61" s="99">
        <v>48</v>
      </c>
      <c r="W61" s="99" t="s">
        <v>695</v>
      </c>
      <c r="X61" s="99" t="s">
        <v>695</v>
      </c>
      <c r="Y61" s="99">
        <v>17</v>
      </c>
      <c r="Z61" s="99">
        <v>29</v>
      </c>
      <c r="AA61" s="99" t="s">
        <v>695</v>
      </c>
      <c r="AB61" s="99" t="s">
        <v>695</v>
      </c>
      <c r="AC61" s="99" t="s">
        <v>695</v>
      </c>
      <c r="AD61" s="98" t="s">
        <v>395</v>
      </c>
      <c r="AE61" s="100">
        <v>0.11022044088176353</v>
      </c>
      <c r="AF61" s="100">
        <v>0.17</v>
      </c>
      <c r="AG61" s="98">
        <v>273.2738203680087</v>
      </c>
      <c r="AH61" s="98">
        <v>200.40080160320642</v>
      </c>
      <c r="AI61" s="100">
        <v>0.005</v>
      </c>
      <c r="AJ61" s="100">
        <v>0.637475</v>
      </c>
      <c r="AK61" s="100" t="s">
        <v>695</v>
      </c>
      <c r="AL61" s="100">
        <v>0.666412</v>
      </c>
      <c r="AM61" s="100">
        <v>0.397872</v>
      </c>
      <c r="AN61" s="100">
        <v>0.42915</v>
      </c>
      <c r="AO61" s="98">
        <v>3206.4128256513027</v>
      </c>
      <c r="AP61" s="158">
        <v>2.102975922</v>
      </c>
      <c r="AQ61" s="100">
        <v>0.045454545454545456</v>
      </c>
      <c r="AR61" s="100">
        <v>0.5714285714285714</v>
      </c>
      <c r="AS61" s="98">
        <v>601.2024048096192</v>
      </c>
      <c r="AT61" s="98">
        <v>455.45636728001455</v>
      </c>
      <c r="AU61" s="98">
        <v>200.40080160320642</v>
      </c>
      <c r="AV61" s="98">
        <v>874.476225177628</v>
      </c>
      <c r="AW61" s="98" t="s">
        <v>695</v>
      </c>
      <c r="AX61" s="98" t="s">
        <v>695</v>
      </c>
      <c r="AY61" s="98">
        <v>309.7103297504099</v>
      </c>
      <c r="AZ61" s="98">
        <v>528.3293860448169</v>
      </c>
      <c r="BA61" s="100" t="s">
        <v>695</v>
      </c>
      <c r="BB61" s="100" t="s">
        <v>695</v>
      </c>
      <c r="BC61" s="100" t="s">
        <v>695</v>
      </c>
      <c r="BD61" s="158">
        <v>1.80375412</v>
      </c>
      <c r="BE61" s="158">
        <v>2.437653656</v>
      </c>
      <c r="BF61" s="162">
        <v>491</v>
      </c>
      <c r="BG61" s="162" t="s">
        <v>695</v>
      </c>
      <c r="BH61" s="162">
        <v>1310</v>
      </c>
      <c r="BI61" s="162">
        <v>470</v>
      </c>
      <c r="BJ61" s="162">
        <v>247</v>
      </c>
      <c r="BK61" s="97"/>
      <c r="BL61" s="97"/>
      <c r="BM61" s="97"/>
      <c r="BN61" s="97"/>
    </row>
    <row r="62" spans="1:66" ht="12.75">
      <c r="A62" s="79" t="s">
        <v>620</v>
      </c>
      <c r="B62" s="79" t="s">
        <v>324</v>
      </c>
      <c r="C62" s="79" t="s">
        <v>255</v>
      </c>
      <c r="D62" s="99">
        <v>9864</v>
      </c>
      <c r="E62" s="99">
        <v>1890</v>
      </c>
      <c r="F62" s="99" t="s">
        <v>417</v>
      </c>
      <c r="G62" s="99">
        <v>62</v>
      </c>
      <c r="H62" s="99">
        <v>25</v>
      </c>
      <c r="I62" s="99">
        <v>187</v>
      </c>
      <c r="J62" s="99">
        <v>1030</v>
      </c>
      <c r="K62" s="99">
        <v>1013</v>
      </c>
      <c r="L62" s="99">
        <v>1700</v>
      </c>
      <c r="M62" s="99">
        <v>702</v>
      </c>
      <c r="N62" s="99">
        <v>362</v>
      </c>
      <c r="O62" s="99">
        <v>344</v>
      </c>
      <c r="P62" s="159">
        <v>344</v>
      </c>
      <c r="Q62" s="99">
        <v>34</v>
      </c>
      <c r="R62" s="99">
        <v>58</v>
      </c>
      <c r="S62" s="99">
        <v>64</v>
      </c>
      <c r="T62" s="99">
        <v>56</v>
      </c>
      <c r="U62" s="99">
        <v>11</v>
      </c>
      <c r="V62" s="99">
        <v>69</v>
      </c>
      <c r="W62" s="99" t="s">
        <v>695</v>
      </c>
      <c r="X62" s="99" t="s">
        <v>695</v>
      </c>
      <c r="Y62" s="99">
        <v>25</v>
      </c>
      <c r="Z62" s="99">
        <v>62</v>
      </c>
      <c r="AA62" s="99" t="s">
        <v>695</v>
      </c>
      <c r="AB62" s="99" t="s">
        <v>695</v>
      </c>
      <c r="AC62" s="99" t="s">
        <v>695</v>
      </c>
      <c r="AD62" s="98" t="s">
        <v>395</v>
      </c>
      <c r="AE62" s="100">
        <v>0.19160583941605838</v>
      </c>
      <c r="AF62" s="100">
        <v>0.11</v>
      </c>
      <c r="AG62" s="98">
        <v>628.5482562854826</v>
      </c>
      <c r="AH62" s="98">
        <v>253.44687753446877</v>
      </c>
      <c r="AI62" s="100">
        <v>0.019</v>
      </c>
      <c r="AJ62" s="100">
        <v>0.789877</v>
      </c>
      <c r="AK62" s="100">
        <v>0.787714</v>
      </c>
      <c r="AL62" s="100">
        <v>0.733707</v>
      </c>
      <c r="AM62" s="100">
        <v>0.566129</v>
      </c>
      <c r="AN62" s="100">
        <v>0.585761</v>
      </c>
      <c r="AO62" s="98">
        <v>3487.42903487429</v>
      </c>
      <c r="AP62" s="158">
        <v>1.772612762</v>
      </c>
      <c r="AQ62" s="100">
        <v>0.09883720930232558</v>
      </c>
      <c r="AR62" s="100">
        <v>0.5862068965517241</v>
      </c>
      <c r="AS62" s="98">
        <v>648.8240064882401</v>
      </c>
      <c r="AT62" s="98">
        <v>567.7210056772101</v>
      </c>
      <c r="AU62" s="98">
        <v>111.51662611516626</v>
      </c>
      <c r="AV62" s="98">
        <v>699.5133819951338</v>
      </c>
      <c r="AW62" s="98" t="s">
        <v>695</v>
      </c>
      <c r="AX62" s="98" t="s">
        <v>695</v>
      </c>
      <c r="AY62" s="98">
        <v>253.44687753446877</v>
      </c>
      <c r="AZ62" s="98">
        <v>628.5482562854826</v>
      </c>
      <c r="BA62" s="100" t="s">
        <v>695</v>
      </c>
      <c r="BB62" s="100" t="s">
        <v>695</v>
      </c>
      <c r="BC62" s="100" t="s">
        <v>695</v>
      </c>
      <c r="BD62" s="158">
        <v>1.5902206419999998</v>
      </c>
      <c r="BE62" s="158">
        <v>1.9701890560000002</v>
      </c>
      <c r="BF62" s="162">
        <v>1304</v>
      </c>
      <c r="BG62" s="162">
        <v>1286</v>
      </c>
      <c r="BH62" s="162">
        <v>2317</v>
      </c>
      <c r="BI62" s="162">
        <v>1240</v>
      </c>
      <c r="BJ62" s="162">
        <v>618</v>
      </c>
      <c r="BK62" s="97"/>
      <c r="BL62" s="97"/>
      <c r="BM62" s="97"/>
      <c r="BN62" s="97"/>
    </row>
    <row r="63" spans="1:66" ht="12.75">
      <c r="A63" s="79" t="s">
        <v>612</v>
      </c>
      <c r="B63" s="79" t="s">
        <v>316</v>
      </c>
      <c r="C63" s="79" t="s">
        <v>255</v>
      </c>
      <c r="D63" s="99">
        <v>13668</v>
      </c>
      <c r="E63" s="99">
        <v>2207</v>
      </c>
      <c r="F63" s="99" t="s">
        <v>417</v>
      </c>
      <c r="G63" s="99">
        <v>50</v>
      </c>
      <c r="H63" s="99">
        <v>30</v>
      </c>
      <c r="I63" s="99">
        <v>262</v>
      </c>
      <c r="J63" s="99">
        <v>1270</v>
      </c>
      <c r="K63" s="99">
        <v>7</v>
      </c>
      <c r="L63" s="99">
        <v>2591</v>
      </c>
      <c r="M63" s="99">
        <v>869</v>
      </c>
      <c r="N63" s="99">
        <v>450</v>
      </c>
      <c r="O63" s="99">
        <v>473</v>
      </c>
      <c r="P63" s="159">
        <v>473</v>
      </c>
      <c r="Q63" s="99">
        <v>47</v>
      </c>
      <c r="R63" s="99">
        <v>76</v>
      </c>
      <c r="S63" s="99">
        <v>113</v>
      </c>
      <c r="T63" s="99">
        <v>48</v>
      </c>
      <c r="U63" s="99">
        <v>19</v>
      </c>
      <c r="V63" s="99">
        <v>74</v>
      </c>
      <c r="W63" s="99">
        <v>18</v>
      </c>
      <c r="X63" s="99">
        <v>10</v>
      </c>
      <c r="Y63" s="99">
        <v>36</v>
      </c>
      <c r="Z63" s="99">
        <v>64</v>
      </c>
      <c r="AA63" s="99" t="s">
        <v>695</v>
      </c>
      <c r="AB63" s="99" t="s">
        <v>695</v>
      </c>
      <c r="AC63" s="99" t="s">
        <v>695</v>
      </c>
      <c r="AD63" s="98" t="s">
        <v>395</v>
      </c>
      <c r="AE63" s="100">
        <v>0.16147205150717003</v>
      </c>
      <c r="AF63" s="100">
        <v>0.11</v>
      </c>
      <c r="AG63" s="98">
        <v>365.81796897863626</v>
      </c>
      <c r="AH63" s="98">
        <v>219.49078138718173</v>
      </c>
      <c r="AI63" s="100">
        <v>0.019</v>
      </c>
      <c r="AJ63" s="100">
        <v>0.734954</v>
      </c>
      <c r="AK63" s="100">
        <v>0.269231</v>
      </c>
      <c r="AL63" s="100">
        <v>0.770902</v>
      </c>
      <c r="AM63" s="100">
        <v>0.599724</v>
      </c>
      <c r="AN63" s="100">
        <v>0.613079</v>
      </c>
      <c r="AO63" s="98">
        <v>3460.6379865378985</v>
      </c>
      <c r="AP63" s="158">
        <v>1.8663757319999998</v>
      </c>
      <c r="AQ63" s="100">
        <v>0.09936575052854123</v>
      </c>
      <c r="AR63" s="100">
        <v>0.618421052631579</v>
      </c>
      <c r="AS63" s="98">
        <v>826.7486098917179</v>
      </c>
      <c r="AT63" s="98">
        <v>351.1852502194908</v>
      </c>
      <c r="AU63" s="98">
        <v>139.01082821188177</v>
      </c>
      <c r="AV63" s="98">
        <v>541.4105940883816</v>
      </c>
      <c r="AW63" s="98">
        <v>131.69446883230904</v>
      </c>
      <c r="AX63" s="98">
        <v>73.16359379572725</v>
      </c>
      <c r="AY63" s="98">
        <v>263.3889376646181</v>
      </c>
      <c r="AZ63" s="98">
        <v>468.2470002926544</v>
      </c>
      <c r="BA63" s="100" t="s">
        <v>695</v>
      </c>
      <c r="BB63" s="100" t="s">
        <v>695</v>
      </c>
      <c r="BC63" s="100" t="s">
        <v>695</v>
      </c>
      <c r="BD63" s="158">
        <v>1.7019442749999998</v>
      </c>
      <c r="BE63" s="158">
        <v>2.042403717</v>
      </c>
      <c r="BF63" s="162">
        <v>1728</v>
      </c>
      <c r="BG63" s="162">
        <v>26</v>
      </c>
      <c r="BH63" s="162">
        <v>3361</v>
      </c>
      <c r="BI63" s="162">
        <v>1449</v>
      </c>
      <c r="BJ63" s="162">
        <v>734</v>
      </c>
      <c r="BK63" s="97"/>
      <c r="BL63" s="97"/>
      <c r="BM63" s="97"/>
      <c r="BN63" s="97"/>
    </row>
    <row r="64" spans="1:66" ht="12.75">
      <c r="A64" s="79" t="s">
        <v>659</v>
      </c>
      <c r="B64" s="79" t="s">
        <v>364</v>
      </c>
      <c r="C64" s="79" t="s">
        <v>255</v>
      </c>
      <c r="D64" s="99">
        <v>3425</v>
      </c>
      <c r="E64" s="99">
        <v>762</v>
      </c>
      <c r="F64" s="99" t="s">
        <v>419</v>
      </c>
      <c r="G64" s="99">
        <v>15</v>
      </c>
      <c r="H64" s="99">
        <v>10</v>
      </c>
      <c r="I64" s="99">
        <v>53</v>
      </c>
      <c r="J64" s="99">
        <v>425</v>
      </c>
      <c r="K64" s="99" t="s">
        <v>695</v>
      </c>
      <c r="L64" s="99">
        <v>635</v>
      </c>
      <c r="M64" s="99">
        <v>362</v>
      </c>
      <c r="N64" s="99">
        <v>185</v>
      </c>
      <c r="O64" s="99">
        <v>85</v>
      </c>
      <c r="P64" s="159">
        <v>85</v>
      </c>
      <c r="Q64" s="99" t="s">
        <v>695</v>
      </c>
      <c r="R64" s="99">
        <v>16</v>
      </c>
      <c r="S64" s="99">
        <v>15</v>
      </c>
      <c r="T64" s="99">
        <v>14</v>
      </c>
      <c r="U64" s="99" t="s">
        <v>695</v>
      </c>
      <c r="V64" s="99">
        <v>32</v>
      </c>
      <c r="W64" s="99" t="s">
        <v>695</v>
      </c>
      <c r="X64" s="99" t="s">
        <v>695</v>
      </c>
      <c r="Y64" s="99">
        <v>11</v>
      </c>
      <c r="Z64" s="99">
        <v>23</v>
      </c>
      <c r="AA64" s="99" t="s">
        <v>695</v>
      </c>
      <c r="AB64" s="99" t="s">
        <v>695</v>
      </c>
      <c r="AC64" s="99" t="s">
        <v>695</v>
      </c>
      <c r="AD64" s="98" t="s">
        <v>395</v>
      </c>
      <c r="AE64" s="100">
        <v>0.22248175182481753</v>
      </c>
      <c r="AF64" s="100">
        <v>0.08</v>
      </c>
      <c r="AG64" s="98">
        <v>437.95620437956205</v>
      </c>
      <c r="AH64" s="98">
        <v>291.97080291970804</v>
      </c>
      <c r="AI64" s="100">
        <v>0.015</v>
      </c>
      <c r="AJ64" s="100">
        <v>0.79588</v>
      </c>
      <c r="AK64" s="100" t="s">
        <v>695</v>
      </c>
      <c r="AL64" s="100">
        <v>0.771567</v>
      </c>
      <c r="AM64" s="100">
        <v>0.671614</v>
      </c>
      <c r="AN64" s="100">
        <v>0.734127</v>
      </c>
      <c r="AO64" s="98">
        <v>2481.7518248175184</v>
      </c>
      <c r="AP64" s="158">
        <v>1.11500885</v>
      </c>
      <c r="AQ64" s="100" t="s">
        <v>695</v>
      </c>
      <c r="AR64" s="100" t="s">
        <v>695</v>
      </c>
      <c r="AS64" s="98">
        <v>437.95620437956205</v>
      </c>
      <c r="AT64" s="98">
        <v>408.75912408759126</v>
      </c>
      <c r="AU64" s="98" t="s">
        <v>695</v>
      </c>
      <c r="AV64" s="98">
        <v>934.3065693430657</v>
      </c>
      <c r="AW64" s="98" t="s">
        <v>695</v>
      </c>
      <c r="AX64" s="98" t="s">
        <v>695</v>
      </c>
      <c r="AY64" s="98">
        <v>321.1678832116788</v>
      </c>
      <c r="AZ64" s="98">
        <v>671.5328467153284</v>
      </c>
      <c r="BA64" s="100" t="s">
        <v>695</v>
      </c>
      <c r="BB64" s="100" t="s">
        <v>695</v>
      </c>
      <c r="BC64" s="100" t="s">
        <v>695</v>
      </c>
      <c r="BD64" s="158">
        <v>0.8906294250000001</v>
      </c>
      <c r="BE64" s="158">
        <v>1.3787257389999998</v>
      </c>
      <c r="BF64" s="162">
        <v>534</v>
      </c>
      <c r="BG64" s="162" t="s">
        <v>695</v>
      </c>
      <c r="BH64" s="162">
        <v>823</v>
      </c>
      <c r="BI64" s="162">
        <v>539</v>
      </c>
      <c r="BJ64" s="162">
        <v>252</v>
      </c>
      <c r="BK64" s="97"/>
      <c r="BL64" s="97"/>
      <c r="BM64" s="97"/>
      <c r="BN64" s="97"/>
    </row>
    <row r="65" spans="1:66" ht="12.75">
      <c r="A65" s="79" t="s">
        <v>631</v>
      </c>
      <c r="B65" s="79" t="s">
        <v>335</v>
      </c>
      <c r="C65" s="79" t="s">
        <v>255</v>
      </c>
      <c r="D65" s="99">
        <v>7941</v>
      </c>
      <c r="E65" s="99">
        <v>1112</v>
      </c>
      <c r="F65" s="99" t="s">
        <v>416</v>
      </c>
      <c r="G65" s="99">
        <v>51</v>
      </c>
      <c r="H65" s="99">
        <v>13</v>
      </c>
      <c r="I65" s="99">
        <v>90</v>
      </c>
      <c r="J65" s="99">
        <v>648</v>
      </c>
      <c r="K65" s="99">
        <v>40</v>
      </c>
      <c r="L65" s="99">
        <v>1267</v>
      </c>
      <c r="M65" s="99">
        <v>401</v>
      </c>
      <c r="N65" s="99">
        <v>193</v>
      </c>
      <c r="O65" s="99">
        <v>119</v>
      </c>
      <c r="P65" s="159">
        <v>119</v>
      </c>
      <c r="Q65" s="99">
        <v>18</v>
      </c>
      <c r="R65" s="99">
        <v>33</v>
      </c>
      <c r="S65" s="99">
        <v>35</v>
      </c>
      <c r="T65" s="99">
        <v>20</v>
      </c>
      <c r="U65" s="99">
        <v>13</v>
      </c>
      <c r="V65" s="99">
        <v>6</v>
      </c>
      <c r="W65" s="99">
        <v>6</v>
      </c>
      <c r="X65" s="99" t="s">
        <v>695</v>
      </c>
      <c r="Y65" s="99">
        <v>22</v>
      </c>
      <c r="Z65" s="99">
        <v>30</v>
      </c>
      <c r="AA65" s="99" t="s">
        <v>695</v>
      </c>
      <c r="AB65" s="99" t="s">
        <v>695</v>
      </c>
      <c r="AC65" s="99" t="s">
        <v>695</v>
      </c>
      <c r="AD65" s="98" t="s">
        <v>395</v>
      </c>
      <c r="AE65" s="100">
        <v>0.14003274146832892</v>
      </c>
      <c r="AF65" s="100">
        <v>0.24</v>
      </c>
      <c r="AG65" s="98">
        <v>642.2364941443143</v>
      </c>
      <c r="AH65" s="98">
        <v>163.70734164462914</v>
      </c>
      <c r="AI65" s="100">
        <v>0.011000000000000001</v>
      </c>
      <c r="AJ65" s="100">
        <v>0.734694</v>
      </c>
      <c r="AK65" s="100">
        <v>0.493827</v>
      </c>
      <c r="AL65" s="100">
        <v>0.736628</v>
      </c>
      <c r="AM65" s="100">
        <v>0.492629</v>
      </c>
      <c r="AN65" s="100">
        <v>0.505236</v>
      </c>
      <c r="AO65" s="98">
        <v>1498.5518196700668</v>
      </c>
      <c r="AP65" s="158">
        <v>0.8991664885999999</v>
      </c>
      <c r="AQ65" s="100">
        <v>0.15126050420168066</v>
      </c>
      <c r="AR65" s="100">
        <v>0.5454545454545454</v>
      </c>
      <c r="AS65" s="98">
        <v>440.7505351970785</v>
      </c>
      <c r="AT65" s="98">
        <v>251.85744868404484</v>
      </c>
      <c r="AU65" s="98">
        <v>163.70734164462914</v>
      </c>
      <c r="AV65" s="98">
        <v>75.55723460521345</v>
      </c>
      <c r="AW65" s="98">
        <v>75.55723460521345</v>
      </c>
      <c r="AX65" s="98" t="s">
        <v>695</v>
      </c>
      <c r="AY65" s="98">
        <v>277.04319355244934</v>
      </c>
      <c r="AZ65" s="98">
        <v>377.7861730260673</v>
      </c>
      <c r="BA65" s="100" t="s">
        <v>695</v>
      </c>
      <c r="BB65" s="100" t="s">
        <v>695</v>
      </c>
      <c r="BC65" s="100" t="s">
        <v>695</v>
      </c>
      <c r="BD65" s="158">
        <v>0.7448848724</v>
      </c>
      <c r="BE65" s="158">
        <v>1.07598671</v>
      </c>
      <c r="BF65" s="162">
        <v>882</v>
      </c>
      <c r="BG65" s="162">
        <v>81</v>
      </c>
      <c r="BH65" s="162">
        <v>1720</v>
      </c>
      <c r="BI65" s="162">
        <v>814</v>
      </c>
      <c r="BJ65" s="162">
        <v>382</v>
      </c>
      <c r="BK65" s="97"/>
      <c r="BL65" s="97"/>
      <c r="BM65" s="97"/>
      <c r="BN65" s="97"/>
    </row>
    <row r="66" spans="1:66" ht="12.75">
      <c r="A66" s="79" t="s">
        <v>593</v>
      </c>
      <c r="B66" s="79" t="s">
        <v>296</v>
      </c>
      <c r="C66" s="79" t="s">
        <v>255</v>
      </c>
      <c r="D66" s="99">
        <v>13857</v>
      </c>
      <c r="E66" s="99">
        <v>2385</v>
      </c>
      <c r="F66" s="99" t="s">
        <v>418</v>
      </c>
      <c r="G66" s="99">
        <v>63</v>
      </c>
      <c r="H66" s="99">
        <v>29</v>
      </c>
      <c r="I66" s="99">
        <v>224</v>
      </c>
      <c r="J66" s="99">
        <v>1231</v>
      </c>
      <c r="K66" s="99">
        <v>859</v>
      </c>
      <c r="L66" s="99">
        <v>2553</v>
      </c>
      <c r="M66" s="99">
        <v>930</v>
      </c>
      <c r="N66" s="99">
        <v>458</v>
      </c>
      <c r="O66" s="99">
        <v>479</v>
      </c>
      <c r="P66" s="159">
        <v>479</v>
      </c>
      <c r="Q66" s="99">
        <v>36</v>
      </c>
      <c r="R66" s="99">
        <v>53</v>
      </c>
      <c r="S66" s="99">
        <v>66</v>
      </c>
      <c r="T66" s="99">
        <v>86</v>
      </c>
      <c r="U66" s="99">
        <v>14</v>
      </c>
      <c r="V66" s="99">
        <v>84</v>
      </c>
      <c r="W66" s="99">
        <v>8</v>
      </c>
      <c r="X66" s="99">
        <v>6</v>
      </c>
      <c r="Y66" s="99">
        <v>27</v>
      </c>
      <c r="Z66" s="99">
        <v>57</v>
      </c>
      <c r="AA66" s="99" t="s">
        <v>695</v>
      </c>
      <c r="AB66" s="99" t="s">
        <v>695</v>
      </c>
      <c r="AC66" s="99" t="s">
        <v>695</v>
      </c>
      <c r="AD66" s="98" t="s">
        <v>395</v>
      </c>
      <c r="AE66" s="100">
        <v>0.17211517644511798</v>
      </c>
      <c r="AF66" s="100">
        <v>0.13</v>
      </c>
      <c r="AG66" s="98">
        <v>454.64386230785885</v>
      </c>
      <c r="AH66" s="98">
        <v>209.2805080464747</v>
      </c>
      <c r="AI66" s="100">
        <v>0.016</v>
      </c>
      <c r="AJ66" s="100">
        <v>0.727972</v>
      </c>
      <c r="AK66" s="100">
        <v>0.834791</v>
      </c>
      <c r="AL66" s="100">
        <v>0.755325</v>
      </c>
      <c r="AM66" s="100">
        <v>0.583438</v>
      </c>
      <c r="AN66" s="100">
        <v>0.599476</v>
      </c>
      <c r="AO66" s="98">
        <v>3456.7366673883234</v>
      </c>
      <c r="AP66" s="158">
        <v>1.831272888</v>
      </c>
      <c r="AQ66" s="100">
        <v>0.07515657620041753</v>
      </c>
      <c r="AR66" s="100">
        <v>0.6792452830188679</v>
      </c>
      <c r="AS66" s="98">
        <v>476.2935700368045</v>
      </c>
      <c r="AT66" s="98">
        <v>620.6249548964422</v>
      </c>
      <c r="AU66" s="98">
        <v>101.03196940174641</v>
      </c>
      <c r="AV66" s="98">
        <v>606.1918164104785</v>
      </c>
      <c r="AW66" s="98">
        <v>57.732553943855095</v>
      </c>
      <c r="AX66" s="98">
        <v>43.29941545789132</v>
      </c>
      <c r="AY66" s="98">
        <v>194.84736956051094</v>
      </c>
      <c r="AZ66" s="98">
        <v>411.34444684996754</v>
      </c>
      <c r="BA66" s="100" t="s">
        <v>695</v>
      </c>
      <c r="BB66" s="100" t="s">
        <v>695</v>
      </c>
      <c r="BC66" s="100" t="s">
        <v>695</v>
      </c>
      <c r="BD66" s="158">
        <v>1.670924377</v>
      </c>
      <c r="BE66" s="158">
        <v>2.00285614</v>
      </c>
      <c r="BF66" s="162">
        <v>1691</v>
      </c>
      <c r="BG66" s="162">
        <v>1029</v>
      </c>
      <c r="BH66" s="162">
        <v>3380</v>
      </c>
      <c r="BI66" s="162">
        <v>1594</v>
      </c>
      <c r="BJ66" s="162">
        <v>764</v>
      </c>
      <c r="BK66" s="97"/>
      <c r="BL66" s="97"/>
      <c r="BM66" s="97"/>
      <c r="BN66" s="97"/>
    </row>
    <row r="67" spans="1:66" ht="12.75">
      <c r="A67" s="79" t="s">
        <v>677</v>
      </c>
      <c r="B67" s="79" t="s">
        <v>383</v>
      </c>
      <c r="C67" s="79" t="s">
        <v>255</v>
      </c>
      <c r="D67" s="99">
        <v>2461</v>
      </c>
      <c r="E67" s="99">
        <v>295</v>
      </c>
      <c r="F67" s="99" t="s">
        <v>417</v>
      </c>
      <c r="G67" s="99">
        <v>7</v>
      </c>
      <c r="H67" s="99" t="s">
        <v>695</v>
      </c>
      <c r="I67" s="99">
        <v>32</v>
      </c>
      <c r="J67" s="99">
        <v>172</v>
      </c>
      <c r="K67" s="99" t="s">
        <v>695</v>
      </c>
      <c r="L67" s="99">
        <v>473</v>
      </c>
      <c r="M67" s="99">
        <v>107</v>
      </c>
      <c r="N67" s="99">
        <v>57</v>
      </c>
      <c r="O67" s="99">
        <v>33</v>
      </c>
      <c r="P67" s="159">
        <v>33</v>
      </c>
      <c r="Q67" s="99" t="s">
        <v>695</v>
      </c>
      <c r="R67" s="99" t="s">
        <v>695</v>
      </c>
      <c r="S67" s="99">
        <v>9</v>
      </c>
      <c r="T67" s="99" t="s">
        <v>695</v>
      </c>
      <c r="U67" s="99" t="s">
        <v>695</v>
      </c>
      <c r="V67" s="99" t="s">
        <v>695</v>
      </c>
      <c r="W67" s="99" t="s">
        <v>695</v>
      </c>
      <c r="X67" s="99" t="s">
        <v>695</v>
      </c>
      <c r="Y67" s="99" t="s">
        <v>695</v>
      </c>
      <c r="Z67" s="99">
        <v>11</v>
      </c>
      <c r="AA67" s="99" t="s">
        <v>695</v>
      </c>
      <c r="AB67" s="99" t="s">
        <v>695</v>
      </c>
      <c r="AC67" s="99" t="s">
        <v>695</v>
      </c>
      <c r="AD67" s="98" t="s">
        <v>395</v>
      </c>
      <c r="AE67" s="100">
        <v>0.11986997155627793</v>
      </c>
      <c r="AF67" s="100">
        <v>0.12</v>
      </c>
      <c r="AG67" s="98">
        <v>284.43722064201546</v>
      </c>
      <c r="AH67" s="98" t="s">
        <v>695</v>
      </c>
      <c r="AI67" s="100">
        <v>0.013000000000000001</v>
      </c>
      <c r="AJ67" s="100">
        <v>0.696356</v>
      </c>
      <c r="AK67" s="100" t="s">
        <v>695</v>
      </c>
      <c r="AL67" s="100">
        <v>0.82548</v>
      </c>
      <c r="AM67" s="100">
        <v>0.535</v>
      </c>
      <c r="AN67" s="100">
        <v>0.575758</v>
      </c>
      <c r="AO67" s="98">
        <v>1340.918325883787</v>
      </c>
      <c r="AP67" s="158">
        <v>0.8297225188999999</v>
      </c>
      <c r="AQ67" s="100" t="s">
        <v>695</v>
      </c>
      <c r="AR67" s="100" t="s">
        <v>695</v>
      </c>
      <c r="AS67" s="98">
        <v>365.7049979683056</v>
      </c>
      <c r="AT67" s="98" t="s">
        <v>695</v>
      </c>
      <c r="AU67" s="98" t="s">
        <v>695</v>
      </c>
      <c r="AV67" s="98" t="s">
        <v>695</v>
      </c>
      <c r="AW67" s="98" t="s">
        <v>695</v>
      </c>
      <c r="AX67" s="98" t="s">
        <v>695</v>
      </c>
      <c r="AY67" s="98" t="s">
        <v>695</v>
      </c>
      <c r="AZ67" s="98">
        <v>446.9727752945957</v>
      </c>
      <c r="BA67" s="100" t="s">
        <v>695</v>
      </c>
      <c r="BB67" s="100" t="s">
        <v>695</v>
      </c>
      <c r="BC67" s="100" t="s">
        <v>695</v>
      </c>
      <c r="BD67" s="158">
        <v>0.571142807</v>
      </c>
      <c r="BE67" s="158">
        <v>1.165238953</v>
      </c>
      <c r="BF67" s="162">
        <v>247</v>
      </c>
      <c r="BG67" s="162" t="s">
        <v>695</v>
      </c>
      <c r="BH67" s="162">
        <v>573</v>
      </c>
      <c r="BI67" s="162">
        <v>200</v>
      </c>
      <c r="BJ67" s="162">
        <v>99</v>
      </c>
      <c r="BK67" s="97"/>
      <c r="BL67" s="97"/>
      <c r="BM67" s="97"/>
      <c r="BN67" s="97"/>
    </row>
    <row r="68" spans="1:66" ht="12.75">
      <c r="A68" s="79" t="s">
        <v>605</v>
      </c>
      <c r="B68" s="79" t="s">
        <v>308</v>
      </c>
      <c r="C68" s="79" t="s">
        <v>255</v>
      </c>
      <c r="D68" s="99">
        <v>10189</v>
      </c>
      <c r="E68" s="99">
        <v>1885</v>
      </c>
      <c r="F68" s="99" t="s">
        <v>416</v>
      </c>
      <c r="G68" s="99">
        <v>42</v>
      </c>
      <c r="H68" s="99">
        <v>22</v>
      </c>
      <c r="I68" s="99">
        <v>190</v>
      </c>
      <c r="J68" s="99">
        <v>889</v>
      </c>
      <c r="K68" s="99">
        <v>579</v>
      </c>
      <c r="L68" s="99">
        <v>1607</v>
      </c>
      <c r="M68" s="99">
        <v>576</v>
      </c>
      <c r="N68" s="99">
        <v>281</v>
      </c>
      <c r="O68" s="99">
        <v>398</v>
      </c>
      <c r="P68" s="159">
        <v>398</v>
      </c>
      <c r="Q68" s="99">
        <v>34</v>
      </c>
      <c r="R68" s="99">
        <v>54</v>
      </c>
      <c r="S68" s="99">
        <v>61</v>
      </c>
      <c r="T68" s="99">
        <v>72</v>
      </c>
      <c r="U68" s="99">
        <v>7</v>
      </c>
      <c r="V68" s="99">
        <v>82</v>
      </c>
      <c r="W68" s="99">
        <v>13</v>
      </c>
      <c r="X68" s="99">
        <v>12</v>
      </c>
      <c r="Y68" s="99">
        <v>30</v>
      </c>
      <c r="Z68" s="99">
        <v>74</v>
      </c>
      <c r="AA68" s="99" t="s">
        <v>695</v>
      </c>
      <c r="AB68" s="99" t="s">
        <v>695</v>
      </c>
      <c r="AC68" s="99" t="s">
        <v>695</v>
      </c>
      <c r="AD68" s="98" t="s">
        <v>395</v>
      </c>
      <c r="AE68" s="100">
        <v>0.18500343507704387</v>
      </c>
      <c r="AF68" s="100">
        <v>0.25</v>
      </c>
      <c r="AG68" s="98">
        <v>412.2092452645009</v>
      </c>
      <c r="AH68" s="98">
        <v>215.91912847188144</v>
      </c>
      <c r="AI68" s="100">
        <v>0.019</v>
      </c>
      <c r="AJ68" s="100">
        <v>0.700552</v>
      </c>
      <c r="AK68" s="100">
        <v>0.804167</v>
      </c>
      <c r="AL68" s="100">
        <v>0.736818</v>
      </c>
      <c r="AM68" s="100">
        <v>0.479201</v>
      </c>
      <c r="AN68" s="100">
        <v>0.486159</v>
      </c>
      <c r="AO68" s="98">
        <v>3906.173324173128</v>
      </c>
      <c r="AP68" s="158">
        <v>2.0704779049999997</v>
      </c>
      <c r="AQ68" s="100">
        <v>0.08542713567839195</v>
      </c>
      <c r="AR68" s="100">
        <v>0.6296296296296297</v>
      </c>
      <c r="AS68" s="98">
        <v>598.6848562174895</v>
      </c>
      <c r="AT68" s="98">
        <v>706.6444204534301</v>
      </c>
      <c r="AU68" s="98">
        <v>68.70154087741682</v>
      </c>
      <c r="AV68" s="98">
        <v>804.7894788497399</v>
      </c>
      <c r="AW68" s="98">
        <v>127.58857591520267</v>
      </c>
      <c r="AX68" s="98">
        <v>117.7740700755717</v>
      </c>
      <c r="AY68" s="98">
        <v>294.43517518892924</v>
      </c>
      <c r="AZ68" s="98">
        <v>726.2734321326922</v>
      </c>
      <c r="BA68" s="101" t="s">
        <v>695</v>
      </c>
      <c r="BB68" s="101" t="s">
        <v>695</v>
      </c>
      <c r="BC68" s="101" t="s">
        <v>695</v>
      </c>
      <c r="BD68" s="158">
        <v>1.872032318</v>
      </c>
      <c r="BE68" s="158">
        <v>2.2842327879999997</v>
      </c>
      <c r="BF68" s="162">
        <v>1269</v>
      </c>
      <c r="BG68" s="162">
        <v>720</v>
      </c>
      <c r="BH68" s="162">
        <v>2181</v>
      </c>
      <c r="BI68" s="162">
        <v>1202</v>
      </c>
      <c r="BJ68" s="162">
        <v>578</v>
      </c>
      <c r="BK68" s="97"/>
      <c r="BL68" s="97"/>
      <c r="BM68" s="97"/>
      <c r="BN68" s="97"/>
    </row>
    <row r="69" spans="1:66" ht="12.75">
      <c r="A69" s="79" t="s">
        <v>601</v>
      </c>
      <c r="B69" s="79" t="s">
        <v>304</v>
      </c>
      <c r="C69" s="79" t="s">
        <v>255</v>
      </c>
      <c r="D69" s="99">
        <v>16309</v>
      </c>
      <c r="E69" s="99">
        <v>2830</v>
      </c>
      <c r="F69" s="99" t="s">
        <v>418</v>
      </c>
      <c r="G69" s="99">
        <v>65</v>
      </c>
      <c r="H69" s="99">
        <v>31</v>
      </c>
      <c r="I69" s="99">
        <v>291</v>
      </c>
      <c r="J69" s="99">
        <v>1307</v>
      </c>
      <c r="K69" s="99">
        <v>16</v>
      </c>
      <c r="L69" s="99">
        <v>2745</v>
      </c>
      <c r="M69" s="99">
        <v>918</v>
      </c>
      <c r="N69" s="99">
        <v>450</v>
      </c>
      <c r="O69" s="99">
        <v>400</v>
      </c>
      <c r="P69" s="159">
        <v>400</v>
      </c>
      <c r="Q69" s="99">
        <v>36</v>
      </c>
      <c r="R69" s="99">
        <v>62</v>
      </c>
      <c r="S69" s="99">
        <v>77</v>
      </c>
      <c r="T69" s="99">
        <v>63</v>
      </c>
      <c r="U69" s="99">
        <v>11</v>
      </c>
      <c r="V69" s="99">
        <v>92</v>
      </c>
      <c r="W69" s="99">
        <v>15</v>
      </c>
      <c r="X69" s="99">
        <v>16</v>
      </c>
      <c r="Y69" s="99">
        <v>45</v>
      </c>
      <c r="Z69" s="99">
        <v>100</v>
      </c>
      <c r="AA69" s="99" t="s">
        <v>695</v>
      </c>
      <c r="AB69" s="99" t="s">
        <v>695</v>
      </c>
      <c r="AC69" s="99" t="s">
        <v>695</v>
      </c>
      <c r="AD69" s="98" t="s">
        <v>395</v>
      </c>
      <c r="AE69" s="100">
        <v>0.17352382120301674</v>
      </c>
      <c r="AF69" s="100">
        <v>0.13</v>
      </c>
      <c r="AG69" s="98">
        <v>398.5529462260102</v>
      </c>
      <c r="AH69" s="98">
        <v>190.0790974308664</v>
      </c>
      <c r="AI69" s="100">
        <v>0.018000000000000002</v>
      </c>
      <c r="AJ69" s="100">
        <v>0.688983</v>
      </c>
      <c r="AK69" s="100">
        <v>0.313725</v>
      </c>
      <c r="AL69" s="100">
        <v>0.729277</v>
      </c>
      <c r="AM69" s="100">
        <v>0.510851</v>
      </c>
      <c r="AN69" s="100">
        <v>0.518433</v>
      </c>
      <c r="AO69" s="98">
        <v>2452.6335152369857</v>
      </c>
      <c r="AP69" s="158">
        <v>1.321432037</v>
      </c>
      <c r="AQ69" s="100">
        <v>0.09</v>
      </c>
      <c r="AR69" s="100">
        <v>0.5806451612903226</v>
      </c>
      <c r="AS69" s="98">
        <v>472.1319516831197</v>
      </c>
      <c r="AT69" s="98">
        <v>386.2897786498252</v>
      </c>
      <c r="AU69" s="98">
        <v>67.4474216690171</v>
      </c>
      <c r="AV69" s="98">
        <v>564.1057085045068</v>
      </c>
      <c r="AW69" s="98">
        <v>91.97375682138697</v>
      </c>
      <c r="AX69" s="98">
        <v>98.10534060947943</v>
      </c>
      <c r="AY69" s="98">
        <v>275.9212704641609</v>
      </c>
      <c r="AZ69" s="98">
        <v>613.1583788092464</v>
      </c>
      <c r="BA69" s="100" t="s">
        <v>695</v>
      </c>
      <c r="BB69" s="100" t="s">
        <v>695</v>
      </c>
      <c r="BC69" s="100" t="s">
        <v>695</v>
      </c>
      <c r="BD69" s="158">
        <v>1.19508812</v>
      </c>
      <c r="BE69" s="158">
        <v>1.457497711</v>
      </c>
      <c r="BF69" s="162">
        <v>1897</v>
      </c>
      <c r="BG69" s="162">
        <v>51</v>
      </c>
      <c r="BH69" s="162">
        <v>3764</v>
      </c>
      <c r="BI69" s="162">
        <v>1797</v>
      </c>
      <c r="BJ69" s="162">
        <v>868</v>
      </c>
      <c r="BK69" s="97"/>
      <c r="BL69" s="97"/>
      <c r="BM69" s="97"/>
      <c r="BN69" s="97"/>
    </row>
    <row r="70" spans="1:66" ht="12.75">
      <c r="A70" s="79" t="s">
        <v>629</v>
      </c>
      <c r="B70" s="79" t="s">
        <v>333</v>
      </c>
      <c r="C70" s="79" t="s">
        <v>255</v>
      </c>
      <c r="D70" s="99">
        <v>5222</v>
      </c>
      <c r="E70" s="99">
        <v>1356</v>
      </c>
      <c r="F70" s="99" t="s">
        <v>418</v>
      </c>
      <c r="G70" s="99">
        <v>34</v>
      </c>
      <c r="H70" s="99">
        <v>19</v>
      </c>
      <c r="I70" s="99">
        <v>120</v>
      </c>
      <c r="J70" s="99">
        <v>674</v>
      </c>
      <c r="K70" s="99">
        <v>175</v>
      </c>
      <c r="L70" s="99">
        <v>885</v>
      </c>
      <c r="M70" s="99">
        <v>468</v>
      </c>
      <c r="N70" s="99">
        <v>239</v>
      </c>
      <c r="O70" s="99">
        <v>76</v>
      </c>
      <c r="P70" s="159">
        <v>76</v>
      </c>
      <c r="Q70" s="99">
        <v>16</v>
      </c>
      <c r="R70" s="99">
        <v>38</v>
      </c>
      <c r="S70" s="99">
        <v>19</v>
      </c>
      <c r="T70" s="99">
        <v>7</v>
      </c>
      <c r="U70" s="99">
        <v>7</v>
      </c>
      <c r="V70" s="99">
        <v>12</v>
      </c>
      <c r="W70" s="99">
        <v>7</v>
      </c>
      <c r="X70" s="99" t="s">
        <v>695</v>
      </c>
      <c r="Y70" s="99">
        <v>15</v>
      </c>
      <c r="Z70" s="99">
        <v>34</v>
      </c>
      <c r="AA70" s="99" t="s">
        <v>695</v>
      </c>
      <c r="AB70" s="99" t="s">
        <v>695</v>
      </c>
      <c r="AC70" s="99" t="s">
        <v>695</v>
      </c>
      <c r="AD70" s="98" t="s">
        <v>395</v>
      </c>
      <c r="AE70" s="100">
        <v>0.2596706242818843</v>
      </c>
      <c r="AF70" s="100">
        <v>0.14</v>
      </c>
      <c r="AG70" s="98">
        <v>651.0915358100344</v>
      </c>
      <c r="AH70" s="98">
        <v>363.84527001148984</v>
      </c>
      <c r="AI70" s="100">
        <v>0.023</v>
      </c>
      <c r="AJ70" s="100">
        <v>0.79575</v>
      </c>
      <c r="AK70" s="100">
        <v>0.618375</v>
      </c>
      <c r="AL70" s="100">
        <v>0.806011</v>
      </c>
      <c r="AM70" s="100">
        <v>0.553846</v>
      </c>
      <c r="AN70" s="100">
        <v>0.57177</v>
      </c>
      <c r="AO70" s="98">
        <v>1455.3810800459594</v>
      </c>
      <c r="AP70" s="158">
        <v>0.6123309708</v>
      </c>
      <c r="AQ70" s="100">
        <v>0.21052631578947367</v>
      </c>
      <c r="AR70" s="100">
        <v>0.42105263157894735</v>
      </c>
      <c r="AS70" s="98">
        <v>363.84527001148984</v>
      </c>
      <c r="AT70" s="98">
        <v>134.04825737265415</v>
      </c>
      <c r="AU70" s="98">
        <v>134.04825737265415</v>
      </c>
      <c r="AV70" s="98">
        <v>229.7970126388357</v>
      </c>
      <c r="AW70" s="98">
        <v>134.04825737265415</v>
      </c>
      <c r="AX70" s="98" t="s">
        <v>695</v>
      </c>
      <c r="AY70" s="98">
        <v>287.24626579854464</v>
      </c>
      <c r="AZ70" s="98">
        <v>651.0915358100344</v>
      </c>
      <c r="BA70" s="100" t="s">
        <v>695</v>
      </c>
      <c r="BB70" s="100" t="s">
        <v>695</v>
      </c>
      <c r="BC70" s="100" t="s">
        <v>695</v>
      </c>
      <c r="BD70" s="158">
        <v>0.4824471664</v>
      </c>
      <c r="BE70" s="158">
        <v>0.7664235687000001</v>
      </c>
      <c r="BF70" s="162">
        <v>847</v>
      </c>
      <c r="BG70" s="162">
        <v>283</v>
      </c>
      <c r="BH70" s="162">
        <v>1098</v>
      </c>
      <c r="BI70" s="162">
        <v>845</v>
      </c>
      <c r="BJ70" s="162">
        <v>418</v>
      </c>
      <c r="BK70" s="97"/>
      <c r="BL70" s="97"/>
      <c r="BM70" s="97"/>
      <c r="BN70" s="97"/>
    </row>
    <row r="71" spans="1:66" ht="12.75">
      <c r="A71" s="79" t="s">
        <v>632</v>
      </c>
      <c r="B71" s="79" t="s">
        <v>336</v>
      </c>
      <c r="C71" s="79" t="s">
        <v>255</v>
      </c>
      <c r="D71" s="99">
        <v>10112</v>
      </c>
      <c r="E71" s="99">
        <v>2999</v>
      </c>
      <c r="F71" s="99" t="s">
        <v>417</v>
      </c>
      <c r="G71" s="99">
        <v>69</v>
      </c>
      <c r="H71" s="99">
        <v>53</v>
      </c>
      <c r="I71" s="99">
        <v>299</v>
      </c>
      <c r="J71" s="99">
        <v>1308</v>
      </c>
      <c r="K71" s="99">
        <v>21</v>
      </c>
      <c r="L71" s="99">
        <v>1869</v>
      </c>
      <c r="M71" s="99">
        <v>1051</v>
      </c>
      <c r="N71" s="99">
        <v>508</v>
      </c>
      <c r="O71" s="99">
        <v>560</v>
      </c>
      <c r="P71" s="159">
        <v>560</v>
      </c>
      <c r="Q71" s="99">
        <v>40</v>
      </c>
      <c r="R71" s="99">
        <v>75</v>
      </c>
      <c r="S71" s="99">
        <v>67</v>
      </c>
      <c r="T71" s="99">
        <v>119</v>
      </c>
      <c r="U71" s="99">
        <v>15</v>
      </c>
      <c r="V71" s="99">
        <v>132</v>
      </c>
      <c r="W71" s="99">
        <v>12</v>
      </c>
      <c r="X71" s="99">
        <v>11</v>
      </c>
      <c r="Y71" s="99">
        <v>49</v>
      </c>
      <c r="Z71" s="99">
        <v>66</v>
      </c>
      <c r="AA71" s="99" t="s">
        <v>695</v>
      </c>
      <c r="AB71" s="99" t="s">
        <v>695</v>
      </c>
      <c r="AC71" s="99" t="s">
        <v>695</v>
      </c>
      <c r="AD71" s="98" t="s">
        <v>395</v>
      </c>
      <c r="AE71" s="100">
        <v>0.2965783227848101</v>
      </c>
      <c r="AF71" s="100">
        <v>0.11</v>
      </c>
      <c r="AG71" s="98">
        <v>682.3575949367089</v>
      </c>
      <c r="AH71" s="98">
        <v>524.129746835443</v>
      </c>
      <c r="AI71" s="100">
        <v>0.03</v>
      </c>
      <c r="AJ71" s="100">
        <v>0.774423</v>
      </c>
      <c r="AK71" s="100">
        <v>0.477273</v>
      </c>
      <c r="AL71" s="100">
        <v>0.812962</v>
      </c>
      <c r="AM71" s="100">
        <v>0.626341</v>
      </c>
      <c r="AN71" s="100">
        <v>0.653797</v>
      </c>
      <c r="AO71" s="98">
        <v>5537.974683544304</v>
      </c>
      <c r="AP71" s="158">
        <v>2.1937239070000003</v>
      </c>
      <c r="AQ71" s="100">
        <v>0.07142857142857142</v>
      </c>
      <c r="AR71" s="100">
        <v>0.5333333333333333</v>
      </c>
      <c r="AS71" s="98">
        <v>662.5791139240506</v>
      </c>
      <c r="AT71" s="98">
        <v>1176.8196202531647</v>
      </c>
      <c r="AU71" s="98">
        <v>148.33860759493672</v>
      </c>
      <c r="AV71" s="98">
        <v>1305.379746835443</v>
      </c>
      <c r="AW71" s="98">
        <v>118.67088607594937</v>
      </c>
      <c r="AX71" s="98">
        <v>108.78164556962025</v>
      </c>
      <c r="AY71" s="98">
        <v>484.57278481012656</v>
      </c>
      <c r="AZ71" s="98">
        <v>652.6898734177215</v>
      </c>
      <c r="BA71" s="100" t="s">
        <v>695</v>
      </c>
      <c r="BB71" s="100" t="s">
        <v>695</v>
      </c>
      <c r="BC71" s="100" t="s">
        <v>695</v>
      </c>
      <c r="BD71" s="158">
        <v>2.0157673650000003</v>
      </c>
      <c r="BE71" s="158">
        <v>2.383179321</v>
      </c>
      <c r="BF71" s="162">
        <v>1689</v>
      </c>
      <c r="BG71" s="162">
        <v>44</v>
      </c>
      <c r="BH71" s="162">
        <v>2299</v>
      </c>
      <c r="BI71" s="162">
        <v>1678</v>
      </c>
      <c r="BJ71" s="162">
        <v>777</v>
      </c>
      <c r="BK71" s="97"/>
      <c r="BL71" s="97"/>
      <c r="BM71" s="97"/>
      <c r="BN71" s="97"/>
    </row>
    <row r="72" spans="1:66" ht="12.75">
      <c r="A72" s="79" t="s">
        <v>607</v>
      </c>
      <c r="B72" s="79" t="s">
        <v>311</v>
      </c>
      <c r="C72" s="79" t="s">
        <v>255</v>
      </c>
      <c r="D72" s="99">
        <v>3626</v>
      </c>
      <c r="E72" s="99">
        <v>837</v>
      </c>
      <c r="F72" s="99" t="s">
        <v>418</v>
      </c>
      <c r="G72" s="99">
        <v>19</v>
      </c>
      <c r="H72" s="99">
        <v>15</v>
      </c>
      <c r="I72" s="99">
        <v>75</v>
      </c>
      <c r="J72" s="99">
        <v>384</v>
      </c>
      <c r="K72" s="99">
        <v>355</v>
      </c>
      <c r="L72" s="99">
        <v>615</v>
      </c>
      <c r="M72" s="99">
        <v>263</v>
      </c>
      <c r="N72" s="99">
        <v>127</v>
      </c>
      <c r="O72" s="99">
        <v>116</v>
      </c>
      <c r="P72" s="159">
        <v>116</v>
      </c>
      <c r="Q72" s="99">
        <v>10</v>
      </c>
      <c r="R72" s="99">
        <v>22</v>
      </c>
      <c r="S72" s="99">
        <v>20</v>
      </c>
      <c r="T72" s="99">
        <v>21</v>
      </c>
      <c r="U72" s="99">
        <v>6</v>
      </c>
      <c r="V72" s="99">
        <v>28</v>
      </c>
      <c r="W72" s="99" t="s">
        <v>695</v>
      </c>
      <c r="X72" s="99">
        <v>6</v>
      </c>
      <c r="Y72" s="99">
        <v>17</v>
      </c>
      <c r="Z72" s="99">
        <v>23</v>
      </c>
      <c r="AA72" s="99" t="s">
        <v>695</v>
      </c>
      <c r="AB72" s="99" t="s">
        <v>695</v>
      </c>
      <c r="AC72" s="99" t="s">
        <v>695</v>
      </c>
      <c r="AD72" s="98" t="s">
        <v>395</v>
      </c>
      <c r="AE72" s="100">
        <v>0.23083287369001654</v>
      </c>
      <c r="AF72" s="100">
        <v>0.17</v>
      </c>
      <c r="AG72" s="98">
        <v>523.9933811362383</v>
      </c>
      <c r="AH72" s="98">
        <v>413.6789851075565</v>
      </c>
      <c r="AI72" s="100">
        <v>0.021</v>
      </c>
      <c r="AJ72" s="100">
        <v>0.761905</v>
      </c>
      <c r="AK72" s="100">
        <v>0.763441</v>
      </c>
      <c r="AL72" s="100">
        <v>0.771644</v>
      </c>
      <c r="AM72" s="100">
        <v>0.516699</v>
      </c>
      <c r="AN72" s="100">
        <v>0.51004</v>
      </c>
      <c r="AO72" s="98">
        <v>3199.1174848317705</v>
      </c>
      <c r="AP72" s="158">
        <v>1.4802793879999998</v>
      </c>
      <c r="AQ72" s="100">
        <v>0.08620689655172414</v>
      </c>
      <c r="AR72" s="100">
        <v>0.45454545454545453</v>
      </c>
      <c r="AS72" s="98">
        <v>551.5719801434087</v>
      </c>
      <c r="AT72" s="98">
        <v>579.1505791505791</v>
      </c>
      <c r="AU72" s="98">
        <v>165.4715940430226</v>
      </c>
      <c r="AV72" s="98">
        <v>772.2007722007722</v>
      </c>
      <c r="AW72" s="98" t="s">
        <v>695</v>
      </c>
      <c r="AX72" s="98">
        <v>165.4715940430226</v>
      </c>
      <c r="AY72" s="98">
        <v>468.8361831218974</v>
      </c>
      <c r="AZ72" s="98">
        <v>634.30777716492</v>
      </c>
      <c r="BA72" s="100" t="s">
        <v>695</v>
      </c>
      <c r="BB72" s="100" t="s">
        <v>695</v>
      </c>
      <c r="BC72" s="100" t="s">
        <v>695</v>
      </c>
      <c r="BD72" s="158">
        <v>1.223183441</v>
      </c>
      <c r="BE72" s="158">
        <v>1.7754541019999999</v>
      </c>
      <c r="BF72" s="162">
        <v>504</v>
      </c>
      <c r="BG72" s="162">
        <v>465</v>
      </c>
      <c r="BH72" s="162">
        <v>797</v>
      </c>
      <c r="BI72" s="162">
        <v>509</v>
      </c>
      <c r="BJ72" s="162">
        <v>249</v>
      </c>
      <c r="BK72" s="97"/>
      <c r="BL72" s="97"/>
      <c r="BM72" s="97"/>
      <c r="BN72" s="97"/>
    </row>
    <row r="73" spans="1:66" ht="12.75">
      <c r="A73" s="79" t="s">
        <v>639</v>
      </c>
      <c r="B73" s="79" t="s">
        <v>343</v>
      </c>
      <c r="C73" s="79" t="s">
        <v>255</v>
      </c>
      <c r="D73" s="99">
        <v>2388</v>
      </c>
      <c r="E73" s="99">
        <v>486</v>
      </c>
      <c r="F73" s="99" t="s">
        <v>418</v>
      </c>
      <c r="G73" s="99">
        <v>10</v>
      </c>
      <c r="H73" s="99">
        <v>6</v>
      </c>
      <c r="I73" s="99">
        <v>34</v>
      </c>
      <c r="J73" s="99">
        <v>252</v>
      </c>
      <c r="K73" s="99">
        <v>251</v>
      </c>
      <c r="L73" s="99">
        <v>456</v>
      </c>
      <c r="M73" s="99">
        <v>188</v>
      </c>
      <c r="N73" s="99">
        <v>91</v>
      </c>
      <c r="O73" s="99">
        <v>63</v>
      </c>
      <c r="P73" s="159">
        <v>63</v>
      </c>
      <c r="Q73" s="99">
        <v>7</v>
      </c>
      <c r="R73" s="99">
        <v>15</v>
      </c>
      <c r="S73" s="99">
        <v>7</v>
      </c>
      <c r="T73" s="99">
        <v>16</v>
      </c>
      <c r="U73" s="99" t="s">
        <v>695</v>
      </c>
      <c r="V73" s="99">
        <v>33</v>
      </c>
      <c r="W73" s="99" t="s">
        <v>695</v>
      </c>
      <c r="X73" s="99" t="s">
        <v>695</v>
      </c>
      <c r="Y73" s="99">
        <v>7</v>
      </c>
      <c r="Z73" s="99">
        <v>14</v>
      </c>
      <c r="AA73" s="99" t="s">
        <v>695</v>
      </c>
      <c r="AB73" s="99" t="s">
        <v>695</v>
      </c>
      <c r="AC73" s="99" t="s">
        <v>695</v>
      </c>
      <c r="AD73" s="98" t="s">
        <v>395</v>
      </c>
      <c r="AE73" s="100">
        <v>0.20351758793969849</v>
      </c>
      <c r="AF73" s="100">
        <v>0.13</v>
      </c>
      <c r="AG73" s="98">
        <v>418.7604690117253</v>
      </c>
      <c r="AH73" s="98">
        <v>251.25628140703517</v>
      </c>
      <c r="AI73" s="100">
        <v>0.013999999999999999</v>
      </c>
      <c r="AJ73" s="100">
        <v>0.780186</v>
      </c>
      <c r="AK73" s="100">
        <v>0.784375</v>
      </c>
      <c r="AL73" s="100">
        <v>0.836697</v>
      </c>
      <c r="AM73" s="100">
        <v>0.616393</v>
      </c>
      <c r="AN73" s="100">
        <v>0.654676</v>
      </c>
      <c r="AO73" s="98">
        <v>2638.190954773869</v>
      </c>
      <c r="AP73" s="158">
        <v>1.289280853</v>
      </c>
      <c r="AQ73" s="100">
        <v>0.1111111111111111</v>
      </c>
      <c r="AR73" s="100">
        <v>0.4666666666666667</v>
      </c>
      <c r="AS73" s="98">
        <v>293.1323283082077</v>
      </c>
      <c r="AT73" s="98">
        <v>670.0167504187605</v>
      </c>
      <c r="AU73" s="98" t="s">
        <v>695</v>
      </c>
      <c r="AV73" s="98">
        <v>1381.9095477386934</v>
      </c>
      <c r="AW73" s="98" t="s">
        <v>695</v>
      </c>
      <c r="AX73" s="98" t="s">
        <v>695</v>
      </c>
      <c r="AY73" s="98">
        <v>293.1323283082077</v>
      </c>
      <c r="AZ73" s="98">
        <v>586.2646566164154</v>
      </c>
      <c r="BA73" s="100" t="s">
        <v>695</v>
      </c>
      <c r="BB73" s="100" t="s">
        <v>695</v>
      </c>
      <c r="BC73" s="100" t="s">
        <v>695</v>
      </c>
      <c r="BD73" s="158">
        <v>0.9907188416</v>
      </c>
      <c r="BE73" s="158">
        <v>1.649550323</v>
      </c>
      <c r="BF73" s="162">
        <v>323</v>
      </c>
      <c r="BG73" s="162">
        <v>320</v>
      </c>
      <c r="BH73" s="162">
        <v>545</v>
      </c>
      <c r="BI73" s="162">
        <v>305</v>
      </c>
      <c r="BJ73" s="162">
        <v>139</v>
      </c>
      <c r="BK73" s="97"/>
      <c r="BL73" s="97"/>
      <c r="BM73" s="97"/>
      <c r="BN73" s="97"/>
    </row>
    <row r="74" spans="1:66" ht="12.75">
      <c r="A74" s="79" t="s">
        <v>675</v>
      </c>
      <c r="B74" s="79" t="s">
        <v>381</v>
      </c>
      <c r="C74" s="79" t="s">
        <v>255</v>
      </c>
      <c r="D74" s="99">
        <v>3036</v>
      </c>
      <c r="E74" s="99">
        <v>316</v>
      </c>
      <c r="F74" s="99" t="s">
        <v>415</v>
      </c>
      <c r="G74" s="99">
        <v>8</v>
      </c>
      <c r="H74" s="99" t="s">
        <v>695</v>
      </c>
      <c r="I74" s="99">
        <v>28</v>
      </c>
      <c r="J74" s="99">
        <v>187</v>
      </c>
      <c r="K74" s="99" t="s">
        <v>695</v>
      </c>
      <c r="L74" s="99">
        <v>465</v>
      </c>
      <c r="M74" s="99">
        <v>112</v>
      </c>
      <c r="N74" s="99">
        <v>59</v>
      </c>
      <c r="O74" s="99">
        <v>98</v>
      </c>
      <c r="P74" s="159">
        <v>98</v>
      </c>
      <c r="Q74" s="99" t="s">
        <v>695</v>
      </c>
      <c r="R74" s="99" t="s">
        <v>695</v>
      </c>
      <c r="S74" s="99">
        <v>25</v>
      </c>
      <c r="T74" s="99">
        <v>21</v>
      </c>
      <c r="U74" s="99" t="s">
        <v>695</v>
      </c>
      <c r="V74" s="99">
        <v>22</v>
      </c>
      <c r="W74" s="99" t="s">
        <v>695</v>
      </c>
      <c r="X74" s="99" t="s">
        <v>695</v>
      </c>
      <c r="Y74" s="99">
        <v>9</v>
      </c>
      <c r="Z74" s="99" t="s">
        <v>695</v>
      </c>
      <c r="AA74" s="99" t="s">
        <v>695</v>
      </c>
      <c r="AB74" s="99" t="s">
        <v>695</v>
      </c>
      <c r="AC74" s="99" t="s">
        <v>695</v>
      </c>
      <c r="AD74" s="98" t="s">
        <v>395</v>
      </c>
      <c r="AE74" s="100">
        <v>0.10408432147562582</v>
      </c>
      <c r="AF74" s="100">
        <v>0.21</v>
      </c>
      <c r="AG74" s="98">
        <v>263.5046113306983</v>
      </c>
      <c r="AH74" s="98" t="s">
        <v>695</v>
      </c>
      <c r="AI74" s="100">
        <v>0.009000000000000001</v>
      </c>
      <c r="AJ74" s="100">
        <v>0.663121</v>
      </c>
      <c r="AK74" s="100" t="s">
        <v>695</v>
      </c>
      <c r="AL74" s="100">
        <v>0.71319</v>
      </c>
      <c r="AM74" s="100">
        <v>0.472574</v>
      </c>
      <c r="AN74" s="100">
        <v>0.517544</v>
      </c>
      <c r="AO74" s="98">
        <v>3227.931488801054</v>
      </c>
      <c r="AP74" s="158">
        <v>2.165948181</v>
      </c>
      <c r="AQ74" s="100" t="s">
        <v>695</v>
      </c>
      <c r="AR74" s="100" t="s">
        <v>695</v>
      </c>
      <c r="AS74" s="98">
        <v>823.4519104084321</v>
      </c>
      <c r="AT74" s="98">
        <v>691.699604743083</v>
      </c>
      <c r="AU74" s="98" t="s">
        <v>695</v>
      </c>
      <c r="AV74" s="98">
        <v>724.6376811594203</v>
      </c>
      <c r="AW74" s="98" t="s">
        <v>695</v>
      </c>
      <c r="AX74" s="98" t="s">
        <v>695</v>
      </c>
      <c r="AY74" s="98">
        <v>296.44268774703556</v>
      </c>
      <c r="AZ74" s="98" t="s">
        <v>695</v>
      </c>
      <c r="BA74" s="100" t="s">
        <v>695</v>
      </c>
      <c r="BB74" s="100" t="s">
        <v>695</v>
      </c>
      <c r="BC74" s="100" t="s">
        <v>695</v>
      </c>
      <c r="BD74" s="158">
        <v>1.7584214779999998</v>
      </c>
      <c r="BE74" s="158">
        <v>2.6395971680000003</v>
      </c>
      <c r="BF74" s="162">
        <v>282</v>
      </c>
      <c r="BG74" s="162" t="s">
        <v>695</v>
      </c>
      <c r="BH74" s="162">
        <v>652</v>
      </c>
      <c r="BI74" s="162">
        <v>237</v>
      </c>
      <c r="BJ74" s="162">
        <v>114</v>
      </c>
      <c r="BK74" s="97"/>
      <c r="BL74" s="97"/>
      <c r="BM74" s="97"/>
      <c r="BN74" s="97"/>
    </row>
    <row r="75" spans="1:66" ht="12.75">
      <c r="A75" s="79" t="s">
        <v>652</v>
      </c>
      <c r="B75" s="79" t="s">
        <v>357</v>
      </c>
      <c r="C75" s="79" t="s">
        <v>255</v>
      </c>
      <c r="D75" s="99">
        <v>1739</v>
      </c>
      <c r="E75" s="99">
        <v>203</v>
      </c>
      <c r="F75" s="99" t="s">
        <v>415</v>
      </c>
      <c r="G75" s="99" t="s">
        <v>695</v>
      </c>
      <c r="H75" s="99" t="s">
        <v>695</v>
      </c>
      <c r="I75" s="99">
        <v>11</v>
      </c>
      <c r="J75" s="99">
        <v>136</v>
      </c>
      <c r="K75" s="99">
        <v>124</v>
      </c>
      <c r="L75" s="99">
        <v>291</v>
      </c>
      <c r="M75" s="99">
        <v>74</v>
      </c>
      <c r="N75" s="99">
        <v>48</v>
      </c>
      <c r="O75" s="99">
        <v>29</v>
      </c>
      <c r="P75" s="159">
        <v>29</v>
      </c>
      <c r="Q75" s="99" t="s">
        <v>695</v>
      </c>
      <c r="R75" s="99" t="s">
        <v>695</v>
      </c>
      <c r="S75" s="99">
        <v>9</v>
      </c>
      <c r="T75" s="99" t="s">
        <v>695</v>
      </c>
      <c r="U75" s="99" t="s">
        <v>695</v>
      </c>
      <c r="V75" s="99" t="s">
        <v>695</v>
      </c>
      <c r="W75" s="99" t="s">
        <v>695</v>
      </c>
      <c r="X75" s="99" t="s">
        <v>695</v>
      </c>
      <c r="Y75" s="99" t="s">
        <v>695</v>
      </c>
      <c r="Z75" s="99" t="s">
        <v>695</v>
      </c>
      <c r="AA75" s="99" t="s">
        <v>695</v>
      </c>
      <c r="AB75" s="99" t="s">
        <v>695</v>
      </c>
      <c r="AC75" s="99" t="s">
        <v>695</v>
      </c>
      <c r="AD75" s="98" t="s">
        <v>395</v>
      </c>
      <c r="AE75" s="100">
        <v>0.11673375503162738</v>
      </c>
      <c r="AF75" s="100">
        <v>0.2</v>
      </c>
      <c r="AG75" s="98" t="s">
        <v>695</v>
      </c>
      <c r="AH75" s="98" t="s">
        <v>695</v>
      </c>
      <c r="AI75" s="100">
        <v>0.006</v>
      </c>
      <c r="AJ75" s="100">
        <v>0.768362</v>
      </c>
      <c r="AK75" s="100">
        <v>0.712644</v>
      </c>
      <c r="AL75" s="100">
        <v>0.757813</v>
      </c>
      <c r="AM75" s="100">
        <v>0.404372</v>
      </c>
      <c r="AN75" s="100">
        <v>0.470588</v>
      </c>
      <c r="AO75" s="98">
        <v>1667.625071880391</v>
      </c>
      <c r="AP75" s="158">
        <v>1.050677338</v>
      </c>
      <c r="AQ75" s="100" t="s">
        <v>695</v>
      </c>
      <c r="AR75" s="100" t="s">
        <v>695</v>
      </c>
      <c r="AS75" s="98">
        <v>517.5388154111558</v>
      </c>
      <c r="AT75" s="98" t="s">
        <v>695</v>
      </c>
      <c r="AU75" s="98" t="s">
        <v>695</v>
      </c>
      <c r="AV75" s="98" t="s">
        <v>695</v>
      </c>
      <c r="AW75" s="98" t="s">
        <v>695</v>
      </c>
      <c r="AX75" s="98" t="s">
        <v>695</v>
      </c>
      <c r="AY75" s="98" t="s">
        <v>695</v>
      </c>
      <c r="AZ75" s="98" t="s">
        <v>695</v>
      </c>
      <c r="BA75" s="100" t="s">
        <v>695</v>
      </c>
      <c r="BB75" s="100" t="s">
        <v>695</v>
      </c>
      <c r="BC75" s="100" t="s">
        <v>695</v>
      </c>
      <c r="BD75" s="158">
        <v>0.7036550903</v>
      </c>
      <c r="BE75" s="158">
        <v>1.508947906</v>
      </c>
      <c r="BF75" s="162">
        <v>177</v>
      </c>
      <c r="BG75" s="162">
        <v>174</v>
      </c>
      <c r="BH75" s="162">
        <v>384</v>
      </c>
      <c r="BI75" s="162">
        <v>183</v>
      </c>
      <c r="BJ75" s="162">
        <v>102</v>
      </c>
      <c r="BK75" s="97"/>
      <c r="BL75" s="97"/>
      <c r="BM75" s="97"/>
      <c r="BN75" s="97"/>
    </row>
    <row r="76" spans="1:66" ht="12.75">
      <c r="A76" s="79" t="s">
        <v>584</v>
      </c>
      <c r="B76" s="79" t="s">
        <v>286</v>
      </c>
      <c r="C76" s="79" t="s">
        <v>255</v>
      </c>
      <c r="D76" s="99">
        <v>8470</v>
      </c>
      <c r="E76" s="99">
        <v>1262</v>
      </c>
      <c r="F76" s="99" t="s">
        <v>415</v>
      </c>
      <c r="G76" s="99">
        <v>39</v>
      </c>
      <c r="H76" s="99">
        <v>16</v>
      </c>
      <c r="I76" s="99">
        <v>147</v>
      </c>
      <c r="J76" s="99">
        <v>804</v>
      </c>
      <c r="K76" s="99">
        <v>811</v>
      </c>
      <c r="L76" s="99">
        <v>1409</v>
      </c>
      <c r="M76" s="99">
        <v>495</v>
      </c>
      <c r="N76" s="99">
        <v>253</v>
      </c>
      <c r="O76" s="99">
        <v>196</v>
      </c>
      <c r="P76" s="159">
        <v>196</v>
      </c>
      <c r="Q76" s="99">
        <v>22</v>
      </c>
      <c r="R76" s="99">
        <v>46</v>
      </c>
      <c r="S76" s="99">
        <v>51</v>
      </c>
      <c r="T76" s="99">
        <v>23</v>
      </c>
      <c r="U76" s="99">
        <v>6</v>
      </c>
      <c r="V76" s="99">
        <v>36</v>
      </c>
      <c r="W76" s="99">
        <v>7</v>
      </c>
      <c r="X76" s="99">
        <v>10</v>
      </c>
      <c r="Y76" s="99">
        <v>24</v>
      </c>
      <c r="Z76" s="99">
        <v>37</v>
      </c>
      <c r="AA76" s="99" t="s">
        <v>695</v>
      </c>
      <c r="AB76" s="99" t="s">
        <v>695</v>
      </c>
      <c r="AC76" s="99" t="s">
        <v>695</v>
      </c>
      <c r="AD76" s="98" t="s">
        <v>395</v>
      </c>
      <c r="AE76" s="100">
        <v>0.14899645808736717</v>
      </c>
      <c r="AF76" s="100">
        <v>0.19</v>
      </c>
      <c r="AG76" s="98">
        <v>460.4486422668241</v>
      </c>
      <c r="AH76" s="98">
        <v>188.90200708382525</v>
      </c>
      <c r="AI76" s="100">
        <v>0.017</v>
      </c>
      <c r="AJ76" s="100">
        <v>0.766444</v>
      </c>
      <c r="AK76" s="100">
        <v>0.783575</v>
      </c>
      <c r="AL76" s="100">
        <v>0.719612</v>
      </c>
      <c r="AM76" s="100">
        <v>0.535714</v>
      </c>
      <c r="AN76" s="100">
        <v>0.568539</v>
      </c>
      <c r="AO76" s="98">
        <v>2314.0495867768595</v>
      </c>
      <c r="AP76" s="158">
        <v>1.294467316</v>
      </c>
      <c r="AQ76" s="100">
        <v>0.11224489795918367</v>
      </c>
      <c r="AR76" s="100">
        <v>0.4782608695652174</v>
      </c>
      <c r="AS76" s="98">
        <v>602.125147579693</v>
      </c>
      <c r="AT76" s="98">
        <v>271.54663518299884</v>
      </c>
      <c r="AU76" s="98">
        <v>70.83825265643448</v>
      </c>
      <c r="AV76" s="98">
        <v>425.02951593860683</v>
      </c>
      <c r="AW76" s="98">
        <v>82.64462809917356</v>
      </c>
      <c r="AX76" s="98">
        <v>118.06375442739079</v>
      </c>
      <c r="AY76" s="98">
        <v>283.3530106257379</v>
      </c>
      <c r="AZ76" s="98">
        <v>436.8358913813459</v>
      </c>
      <c r="BA76" s="100" t="s">
        <v>695</v>
      </c>
      <c r="BB76" s="100" t="s">
        <v>695</v>
      </c>
      <c r="BC76" s="100" t="s">
        <v>695</v>
      </c>
      <c r="BD76" s="158">
        <v>1.119579391</v>
      </c>
      <c r="BE76" s="158">
        <v>1.488927917</v>
      </c>
      <c r="BF76" s="162">
        <v>1049</v>
      </c>
      <c r="BG76" s="162">
        <v>1035</v>
      </c>
      <c r="BH76" s="162">
        <v>1958</v>
      </c>
      <c r="BI76" s="162">
        <v>924</v>
      </c>
      <c r="BJ76" s="162">
        <v>445</v>
      </c>
      <c r="BK76" s="97"/>
      <c r="BL76" s="97"/>
      <c r="BM76" s="97"/>
      <c r="BN76" s="97"/>
    </row>
    <row r="77" spans="1:66" ht="12.75">
      <c r="A77" s="79" t="s">
        <v>625</v>
      </c>
      <c r="B77" s="79" t="s">
        <v>329</v>
      </c>
      <c r="C77" s="79" t="s">
        <v>255</v>
      </c>
      <c r="D77" s="99">
        <v>7527</v>
      </c>
      <c r="E77" s="99">
        <v>1446</v>
      </c>
      <c r="F77" s="99" t="s">
        <v>415</v>
      </c>
      <c r="G77" s="99">
        <v>46</v>
      </c>
      <c r="H77" s="99">
        <v>27</v>
      </c>
      <c r="I77" s="99">
        <v>100</v>
      </c>
      <c r="J77" s="99">
        <v>752</v>
      </c>
      <c r="K77" s="99">
        <v>747</v>
      </c>
      <c r="L77" s="99">
        <v>1258</v>
      </c>
      <c r="M77" s="99">
        <v>485</v>
      </c>
      <c r="N77" s="99">
        <v>256</v>
      </c>
      <c r="O77" s="99">
        <v>190</v>
      </c>
      <c r="P77" s="159">
        <v>190</v>
      </c>
      <c r="Q77" s="99">
        <v>27</v>
      </c>
      <c r="R77" s="99">
        <v>36</v>
      </c>
      <c r="S77" s="99">
        <v>34</v>
      </c>
      <c r="T77" s="99">
        <v>33</v>
      </c>
      <c r="U77" s="99">
        <v>7</v>
      </c>
      <c r="V77" s="99">
        <v>32</v>
      </c>
      <c r="W77" s="99">
        <v>11</v>
      </c>
      <c r="X77" s="99" t="s">
        <v>695</v>
      </c>
      <c r="Y77" s="99">
        <v>22</v>
      </c>
      <c r="Z77" s="99">
        <v>55</v>
      </c>
      <c r="AA77" s="99" t="s">
        <v>695</v>
      </c>
      <c r="AB77" s="99" t="s">
        <v>695</v>
      </c>
      <c r="AC77" s="99" t="s">
        <v>695</v>
      </c>
      <c r="AD77" s="98" t="s">
        <v>395</v>
      </c>
      <c r="AE77" s="100">
        <v>0.19210840972499005</v>
      </c>
      <c r="AF77" s="100">
        <v>0.18</v>
      </c>
      <c r="AG77" s="98">
        <v>611.1332536203003</v>
      </c>
      <c r="AH77" s="98">
        <v>358.7086488640893</v>
      </c>
      <c r="AI77" s="100">
        <v>0.013000000000000001</v>
      </c>
      <c r="AJ77" s="100">
        <v>0.813853</v>
      </c>
      <c r="AK77" s="100">
        <v>0.829079</v>
      </c>
      <c r="AL77" s="100">
        <v>0.73913</v>
      </c>
      <c r="AM77" s="100">
        <v>0.562645</v>
      </c>
      <c r="AN77" s="100">
        <v>0.62439</v>
      </c>
      <c r="AO77" s="98">
        <v>2524.2460475621097</v>
      </c>
      <c r="AP77" s="158">
        <v>1.290907593</v>
      </c>
      <c r="AQ77" s="100">
        <v>0.14210526315789473</v>
      </c>
      <c r="AR77" s="100">
        <v>0.75</v>
      </c>
      <c r="AS77" s="98">
        <v>451.7071874584828</v>
      </c>
      <c r="AT77" s="98">
        <v>438.421681944998</v>
      </c>
      <c r="AU77" s="98">
        <v>92.99853859439352</v>
      </c>
      <c r="AV77" s="98">
        <v>425.1361764315132</v>
      </c>
      <c r="AW77" s="98">
        <v>146.14056064833267</v>
      </c>
      <c r="AX77" s="98" t="s">
        <v>695</v>
      </c>
      <c r="AY77" s="98">
        <v>292.28112129666533</v>
      </c>
      <c r="AZ77" s="98">
        <v>730.7028032416633</v>
      </c>
      <c r="BA77" s="100" t="s">
        <v>695</v>
      </c>
      <c r="BB77" s="100" t="s">
        <v>695</v>
      </c>
      <c r="BC77" s="100" t="s">
        <v>695</v>
      </c>
      <c r="BD77" s="158">
        <v>1.11387001</v>
      </c>
      <c r="BE77" s="158">
        <v>1.488087769</v>
      </c>
      <c r="BF77" s="162">
        <v>924</v>
      </c>
      <c r="BG77" s="162">
        <v>901</v>
      </c>
      <c r="BH77" s="162">
        <v>1702</v>
      </c>
      <c r="BI77" s="162">
        <v>862</v>
      </c>
      <c r="BJ77" s="162">
        <v>410</v>
      </c>
      <c r="BK77" s="97"/>
      <c r="BL77" s="97"/>
      <c r="BM77" s="97"/>
      <c r="BN77" s="97"/>
    </row>
    <row r="78" spans="1:66" ht="12.75">
      <c r="A78" s="79" t="s">
        <v>668</v>
      </c>
      <c r="B78" s="79" t="s">
        <v>374</v>
      </c>
      <c r="C78" s="79" t="s">
        <v>255</v>
      </c>
      <c r="D78" s="99">
        <v>2908</v>
      </c>
      <c r="E78" s="99">
        <v>610</v>
      </c>
      <c r="F78" s="99" t="s">
        <v>418</v>
      </c>
      <c r="G78" s="99">
        <v>13</v>
      </c>
      <c r="H78" s="99" t="s">
        <v>695</v>
      </c>
      <c r="I78" s="99">
        <v>28</v>
      </c>
      <c r="J78" s="99">
        <v>290</v>
      </c>
      <c r="K78" s="99" t="s">
        <v>695</v>
      </c>
      <c r="L78" s="99">
        <v>497</v>
      </c>
      <c r="M78" s="99">
        <v>209</v>
      </c>
      <c r="N78" s="99">
        <v>103</v>
      </c>
      <c r="O78" s="99">
        <v>90</v>
      </c>
      <c r="P78" s="159">
        <v>90</v>
      </c>
      <c r="Q78" s="99" t="s">
        <v>695</v>
      </c>
      <c r="R78" s="99">
        <v>8</v>
      </c>
      <c r="S78" s="99">
        <v>6</v>
      </c>
      <c r="T78" s="99">
        <v>10</v>
      </c>
      <c r="U78" s="99" t="s">
        <v>695</v>
      </c>
      <c r="V78" s="99">
        <v>47</v>
      </c>
      <c r="W78" s="99" t="s">
        <v>695</v>
      </c>
      <c r="X78" s="99" t="s">
        <v>695</v>
      </c>
      <c r="Y78" s="99">
        <v>8</v>
      </c>
      <c r="Z78" s="99">
        <v>11</v>
      </c>
      <c r="AA78" s="99" t="s">
        <v>695</v>
      </c>
      <c r="AB78" s="99" t="s">
        <v>695</v>
      </c>
      <c r="AC78" s="99" t="s">
        <v>695</v>
      </c>
      <c r="AD78" s="98" t="s">
        <v>395</v>
      </c>
      <c r="AE78" s="100">
        <v>0.2097661623108666</v>
      </c>
      <c r="AF78" s="100">
        <v>0.14</v>
      </c>
      <c r="AG78" s="98">
        <v>447.0426409903714</v>
      </c>
      <c r="AH78" s="98" t="s">
        <v>695</v>
      </c>
      <c r="AI78" s="100">
        <v>0.01</v>
      </c>
      <c r="AJ78" s="100">
        <v>0.737913</v>
      </c>
      <c r="AK78" s="100" t="s">
        <v>695</v>
      </c>
      <c r="AL78" s="100">
        <v>0.774143</v>
      </c>
      <c r="AM78" s="100">
        <v>0.5199</v>
      </c>
      <c r="AN78" s="100">
        <v>0.533679</v>
      </c>
      <c r="AO78" s="98">
        <v>3094.910591471802</v>
      </c>
      <c r="AP78" s="158">
        <v>1.478539734</v>
      </c>
      <c r="AQ78" s="100" t="s">
        <v>695</v>
      </c>
      <c r="AR78" s="100" t="s">
        <v>695</v>
      </c>
      <c r="AS78" s="98">
        <v>206.3273727647868</v>
      </c>
      <c r="AT78" s="98">
        <v>343.878954607978</v>
      </c>
      <c r="AU78" s="98" t="s">
        <v>695</v>
      </c>
      <c r="AV78" s="98">
        <v>1616.2310866574965</v>
      </c>
      <c r="AW78" s="98" t="s">
        <v>695</v>
      </c>
      <c r="AX78" s="98" t="s">
        <v>695</v>
      </c>
      <c r="AY78" s="98">
        <v>275.1031636863824</v>
      </c>
      <c r="AZ78" s="98">
        <v>378.2668500687758</v>
      </c>
      <c r="BA78" s="100" t="s">
        <v>695</v>
      </c>
      <c r="BB78" s="100" t="s">
        <v>695</v>
      </c>
      <c r="BC78" s="100" t="s">
        <v>695</v>
      </c>
      <c r="BD78" s="158">
        <v>1.188920593</v>
      </c>
      <c r="BE78" s="158">
        <v>1.817376404</v>
      </c>
      <c r="BF78" s="162">
        <v>393</v>
      </c>
      <c r="BG78" s="162" t="s">
        <v>695</v>
      </c>
      <c r="BH78" s="162">
        <v>642</v>
      </c>
      <c r="BI78" s="162">
        <v>402</v>
      </c>
      <c r="BJ78" s="162">
        <v>193</v>
      </c>
      <c r="BK78" s="97"/>
      <c r="BL78" s="97"/>
      <c r="BM78" s="97"/>
      <c r="BN78" s="97"/>
    </row>
    <row r="79" spans="1:66" ht="12.75">
      <c r="A79" s="79" t="s">
        <v>647</v>
      </c>
      <c r="B79" s="79" t="s">
        <v>352</v>
      </c>
      <c r="C79" s="79" t="s">
        <v>255</v>
      </c>
      <c r="D79" s="99">
        <v>6989</v>
      </c>
      <c r="E79" s="99">
        <v>1082</v>
      </c>
      <c r="F79" s="99" t="s">
        <v>418</v>
      </c>
      <c r="G79" s="99">
        <v>23</v>
      </c>
      <c r="H79" s="99">
        <v>16</v>
      </c>
      <c r="I79" s="99">
        <v>92</v>
      </c>
      <c r="J79" s="99">
        <v>582</v>
      </c>
      <c r="K79" s="99">
        <v>8</v>
      </c>
      <c r="L79" s="99">
        <v>1236</v>
      </c>
      <c r="M79" s="99">
        <v>325</v>
      </c>
      <c r="N79" s="99">
        <v>272</v>
      </c>
      <c r="O79" s="99">
        <v>96</v>
      </c>
      <c r="P79" s="159">
        <v>96</v>
      </c>
      <c r="Q79" s="99">
        <v>11</v>
      </c>
      <c r="R79" s="99">
        <v>26</v>
      </c>
      <c r="S79" s="99">
        <v>27</v>
      </c>
      <c r="T79" s="99">
        <v>13</v>
      </c>
      <c r="U79" s="99" t="s">
        <v>695</v>
      </c>
      <c r="V79" s="99">
        <v>13</v>
      </c>
      <c r="W79" s="99">
        <v>34</v>
      </c>
      <c r="X79" s="99">
        <v>23</v>
      </c>
      <c r="Y79" s="99">
        <v>59</v>
      </c>
      <c r="Z79" s="99">
        <v>34</v>
      </c>
      <c r="AA79" s="99" t="s">
        <v>695</v>
      </c>
      <c r="AB79" s="99" t="s">
        <v>695</v>
      </c>
      <c r="AC79" s="99" t="s">
        <v>695</v>
      </c>
      <c r="AD79" s="98" t="s">
        <v>395</v>
      </c>
      <c r="AE79" s="100">
        <v>0.15481470882815854</v>
      </c>
      <c r="AF79" s="100">
        <v>0.15</v>
      </c>
      <c r="AG79" s="98">
        <v>329.08856774932036</v>
      </c>
      <c r="AH79" s="98">
        <v>228.9311775647446</v>
      </c>
      <c r="AI79" s="100">
        <v>0.013000000000000001</v>
      </c>
      <c r="AJ79" s="100">
        <v>0.710623</v>
      </c>
      <c r="AK79" s="100">
        <v>0.5</v>
      </c>
      <c r="AL79" s="100">
        <v>0.736591</v>
      </c>
      <c r="AM79" s="100">
        <v>0.378788</v>
      </c>
      <c r="AN79" s="100">
        <v>0.559671</v>
      </c>
      <c r="AO79" s="98">
        <v>1373.5870653884676</v>
      </c>
      <c r="AP79" s="158">
        <v>0.766320343</v>
      </c>
      <c r="AQ79" s="100">
        <v>0.11458333333333333</v>
      </c>
      <c r="AR79" s="100">
        <v>0.4230769230769231</v>
      </c>
      <c r="AS79" s="98">
        <v>386.3213621405065</v>
      </c>
      <c r="AT79" s="98">
        <v>186.00658177135497</v>
      </c>
      <c r="AU79" s="98" t="s">
        <v>695</v>
      </c>
      <c r="AV79" s="98">
        <v>186.00658177135497</v>
      </c>
      <c r="AW79" s="98">
        <v>486.47875232508227</v>
      </c>
      <c r="AX79" s="98">
        <v>329.08856774932036</v>
      </c>
      <c r="AY79" s="98">
        <v>844.1837172699957</v>
      </c>
      <c r="AZ79" s="98">
        <v>486.47875232508227</v>
      </c>
      <c r="BA79" s="100" t="s">
        <v>695</v>
      </c>
      <c r="BB79" s="100" t="s">
        <v>695</v>
      </c>
      <c r="BC79" s="100" t="s">
        <v>695</v>
      </c>
      <c r="BD79" s="158">
        <v>0.6207219315</v>
      </c>
      <c r="BE79" s="158">
        <v>0.9358082580999999</v>
      </c>
      <c r="BF79" s="162">
        <v>819</v>
      </c>
      <c r="BG79" s="162">
        <v>16</v>
      </c>
      <c r="BH79" s="162">
        <v>1678</v>
      </c>
      <c r="BI79" s="162">
        <v>858</v>
      </c>
      <c r="BJ79" s="162">
        <v>486</v>
      </c>
      <c r="BK79" s="97"/>
      <c r="BL79" s="97"/>
      <c r="BM79" s="97"/>
      <c r="BN79" s="97"/>
    </row>
    <row r="80" spans="1:66" ht="12.75">
      <c r="A80" s="79" t="s">
        <v>623</v>
      </c>
      <c r="B80" s="79" t="s">
        <v>327</v>
      </c>
      <c r="C80" s="79" t="s">
        <v>255</v>
      </c>
      <c r="D80" s="99">
        <v>10322</v>
      </c>
      <c r="E80" s="99">
        <v>2410</v>
      </c>
      <c r="F80" s="99" t="s">
        <v>418</v>
      </c>
      <c r="G80" s="99">
        <v>63</v>
      </c>
      <c r="H80" s="99">
        <v>27</v>
      </c>
      <c r="I80" s="99">
        <v>234</v>
      </c>
      <c r="J80" s="99">
        <v>1139</v>
      </c>
      <c r="K80" s="99">
        <v>13</v>
      </c>
      <c r="L80" s="99">
        <v>1996</v>
      </c>
      <c r="M80" s="99">
        <v>851</v>
      </c>
      <c r="N80" s="99">
        <v>411</v>
      </c>
      <c r="O80" s="99">
        <v>357</v>
      </c>
      <c r="P80" s="159">
        <v>357</v>
      </c>
      <c r="Q80" s="99">
        <v>37</v>
      </c>
      <c r="R80" s="99">
        <v>60</v>
      </c>
      <c r="S80" s="99">
        <v>44</v>
      </c>
      <c r="T80" s="99">
        <v>67</v>
      </c>
      <c r="U80" s="99">
        <v>16</v>
      </c>
      <c r="V80" s="99">
        <v>80</v>
      </c>
      <c r="W80" s="99">
        <v>16</v>
      </c>
      <c r="X80" s="99">
        <v>12</v>
      </c>
      <c r="Y80" s="99">
        <v>46</v>
      </c>
      <c r="Z80" s="99">
        <v>46</v>
      </c>
      <c r="AA80" s="99" t="s">
        <v>695</v>
      </c>
      <c r="AB80" s="99" t="s">
        <v>695</v>
      </c>
      <c r="AC80" s="99" t="s">
        <v>695</v>
      </c>
      <c r="AD80" s="98" t="s">
        <v>395</v>
      </c>
      <c r="AE80" s="100">
        <v>0.23348188335593878</v>
      </c>
      <c r="AF80" s="100">
        <v>0.16</v>
      </c>
      <c r="AG80" s="98">
        <v>610.3468320093006</v>
      </c>
      <c r="AH80" s="98">
        <v>261.57721371827165</v>
      </c>
      <c r="AI80" s="100">
        <v>0.023</v>
      </c>
      <c r="AJ80" s="100">
        <v>0.752809</v>
      </c>
      <c r="AK80" s="100">
        <v>0.270833</v>
      </c>
      <c r="AL80" s="100">
        <v>0.814361</v>
      </c>
      <c r="AM80" s="100">
        <v>0.564698</v>
      </c>
      <c r="AN80" s="100">
        <v>0.593074</v>
      </c>
      <c r="AO80" s="98">
        <v>3458.632048052703</v>
      </c>
      <c r="AP80" s="158">
        <v>1.5352302549999999</v>
      </c>
      <c r="AQ80" s="100">
        <v>0.10364145658263306</v>
      </c>
      <c r="AR80" s="100">
        <v>0.6166666666666667</v>
      </c>
      <c r="AS80" s="98">
        <v>426.27397791125753</v>
      </c>
      <c r="AT80" s="98">
        <v>649.0990118194148</v>
      </c>
      <c r="AU80" s="98">
        <v>155.00871924045728</v>
      </c>
      <c r="AV80" s="98">
        <v>775.0435962022864</v>
      </c>
      <c r="AW80" s="98">
        <v>155.00871924045728</v>
      </c>
      <c r="AX80" s="98">
        <v>116.25653943034295</v>
      </c>
      <c r="AY80" s="98">
        <v>445.6500678163147</v>
      </c>
      <c r="AZ80" s="98">
        <v>445.6500678163147</v>
      </c>
      <c r="BA80" s="100" t="s">
        <v>695</v>
      </c>
      <c r="BB80" s="100" t="s">
        <v>695</v>
      </c>
      <c r="BC80" s="100" t="s">
        <v>695</v>
      </c>
      <c r="BD80" s="158">
        <v>1.380088806</v>
      </c>
      <c r="BE80" s="158">
        <v>1.703039703</v>
      </c>
      <c r="BF80" s="162">
        <v>1513</v>
      </c>
      <c r="BG80" s="162">
        <v>48</v>
      </c>
      <c r="BH80" s="162">
        <v>2451</v>
      </c>
      <c r="BI80" s="162">
        <v>1507</v>
      </c>
      <c r="BJ80" s="162">
        <v>693</v>
      </c>
      <c r="BK80" s="97"/>
      <c r="BL80" s="97"/>
      <c r="BM80" s="97"/>
      <c r="BN80" s="97"/>
    </row>
    <row r="81" spans="1:66" ht="12.75">
      <c r="A81" s="79" t="s">
        <v>651</v>
      </c>
      <c r="B81" s="79" t="s">
        <v>356</v>
      </c>
      <c r="C81" s="79" t="s">
        <v>255</v>
      </c>
      <c r="D81" s="99">
        <v>4667</v>
      </c>
      <c r="E81" s="99">
        <v>880</v>
      </c>
      <c r="F81" s="99" t="s">
        <v>419</v>
      </c>
      <c r="G81" s="99">
        <v>29</v>
      </c>
      <c r="H81" s="99">
        <v>13</v>
      </c>
      <c r="I81" s="99">
        <v>113</v>
      </c>
      <c r="J81" s="99">
        <v>543</v>
      </c>
      <c r="K81" s="99" t="s">
        <v>695</v>
      </c>
      <c r="L81" s="99">
        <v>954</v>
      </c>
      <c r="M81" s="99">
        <v>414</v>
      </c>
      <c r="N81" s="99">
        <v>210</v>
      </c>
      <c r="O81" s="99">
        <v>116</v>
      </c>
      <c r="P81" s="159">
        <v>116</v>
      </c>
      <c r="Q81" s="99">
        <v>19</v>
      </c>
      <c r="R81" s="99">
        <v>40</v>
      </c>
      <c r="S81" s="99">
        <v>20</v>
      </c>
      <c r="T81" s="99">
        <v>14</v>
      </c>
      <c r="U81" s="99" t="s">
        <v>695</v>
      </c>
      <c r="V81" s="99">
        <v>36</v>
      </c>
      <c r="W81" s="99" t="s">
        <v>695</v>
      </c>
      <c r="X81" s="99" t="s">
        <v>695</v>
      </c>
      <c r="Y81" s="99">
        <v>11</v>
      </c>
      <c r="Z81" s="99">
        <v>42</v>
      </c>
      <c r="AA81" s="99" t="s">
        <v>695</v>
      </c>
      <c r="AB81" s="99" t="s">
        <v>695</v>
      </c>
      <c r="AC81" s="99" t="s">
        <v>695</v>
      </c>
      <c r="AD81" s="98" t="s">
        <v>395</v>
      </c>
      <c r="AE81" s="100">
        <v>0.1885579601457039</v>
      </c>
      <c r="AF81" s="100">
        <v>0.08</v>
      </c>
      <c r="AG81" s="98">
        <v>621.3841868437969</v>
      </c>
      <c r="AH81" s="98">
        <v>278.55153203342616</v>
      </c>
      <c r="AI81" s="100">
        <v>0.024</v>
      </c>
      <c r="AJ81" s="100">
        <v>0.765867</v>
      </c>
      <c r="AK81" s="100" t="s">
        <v>695</v>
      </c>
      <c r="AL81" s="100">
        <v>0.846495</v>
      </c>
      <c r="AM81" s="100">
        <v>0.611521</v>
      </c>
      <c r="AN81" s="100">
        <v>0.63253</v>
      </c>
      <c r="AO81" s="98">
        <v>2485.5367473751876</v>
      </c>
      <c r="AP81" s="158">
        <v>1.212252426</v>
      </c>
      <c r="AQ81" s="100">
        <v>0.16379310344827586</v>
      </c>
      <c r="AR81" s="100">
        <v>0.475</v>
      </c>
      <c r="AS81" s="98">
        <v>428.54081851296337</v>
      </c>
      <c r="AT81" s="98">
        <v>299.97857295907437</v>
      </c>
      <c r="AU81" s="98" t="s">
        <v>695</v>
      </c>
      <c r="AV81" s="98">
        <v>771.373473323334</v>
      </c>
      <c r="AW81" s="98" t="s">
        <v>695</v>
      </c>
      <c r="AX81" s="98" t="s">
        <v>695</v>
      </c>
      <c r="AY81" s="98">
        <v>235.69745018212984</v>
      </c>
      <c r="AZ81" s="98">
        <v>899.935718877223</v>
      </c>
      <c r="BA81" s="100" t="s">
        <v>695</v>
      </c>
      <c r="BB81" s="100" t="s">
        <v>695</v>
      </c>
      <c r="BC81" s="100" t="s">
        <v>695</v>
      </c>
      <c r="BD81" s="158">
        <v>1.001707687</v>
      </c>
      <c r="BE81" s="158">
        <v>1.4539813229999998</v>
      </c>
      <c r="BF81" s="162">
        <v>709</v>
      </c>
      <c r="BG81" s="162" t="s">
        <v>695</v>
      </c>
      <c r="BH81" s="162">
        <v>1127</v>
      </c>
      <c r="BI81" s="162">
        <v>677</v>
      </c>
      <c r="BJ81" s="162">
        <v>332</v>
      </c>
      <c r="BK81" s="97"/>
      <c r="BL81" s="97"/>
      <c r="BM81" s="97"/>
      <c r="BN81" s="97"/>
    </row>
    <row r="82" spans="1:66" ht="12.75">
      <c r="A82" s="79" t="s">
        <v>667</v>
      </c>
      <c r="B82" s="79" t="s">
        <v>373</v>
      </c>
      <c r="C82" s="79" t="s">
        <v>255</v>
      </c>
      <c r="D82" s="99">
        <v>3266</v>
      </c>
      <c r="E82" s="99">
        <v>247</v>
      </c>
      <c r="F82" s="99" t="s">
        <v>417</v>
      </c>
      <c r="G82" s="99">
        <v>9</v>
      </c>
      <c r="H82" s="99" t="s">
        <v>695</v>
      </c>
      <c r="I82" s="99">
        <v>39</v>
      </c>
      <c r="J82" s="99">
        <v>174</v>
      </c>
      <c r="K82" s="99" t="s">
        <v>695</v>
      </c>
      <c r="L82" s="99">
        <v>653</v>
      </c>
      <c r="M82" s="99">
        <v>109</v>
      </c>
      <c r="N82" s="99">
        <v>52</v>
      </c>
      <c r="O82" s="99">
        <v>60</v>
      </c>
      <c r="P82" s="159">
        <v>60</v>
      </c>
      <c r="Q82" s="99" t="s">
        <v>695</v>
      </c>
      <c r="R82" s="99">
        <v>7</v>
      </c>
      <c r="S82" s="99">
        <v>21</v>
      </c>
      <c r="T82" s="99" t="s">
        <v>695</v>
      </c>
      <c r="U82" s="99" t="s">
        <v>695</v>
      </c>
      <c r="V82" s="99">
        <v>12</v>
      </c>
      <c r="W82" s="99" t="s">
        <v>695</v>
      </c>
      <c r="X82" s="99" t="s">
        <v>695</v>
      </c>
      <c r="Y82" s="99">
        <v>12</v>
      </c>
      <c r="Z82" s="99" t="s">
        <v>695</v>
      </c>
      <c r="AA82" s="99" t="s">
        <v>695</v>
      </c>
      <c r="AB82" s="99" t="s">
        <v>695</v>
      </c>
      <c r="AC82" s="99" t="s">
        <v>695</v>
      </c>
      <c r="AD82" s="98" t="s">
        <v>395</v>
      </c>
      <c r="AE82" s="100">
        <v>0.07562767911818738</v>
      </c>
      <c r="AF82" s="100">
        <v>0.1</v>
      </c>
      <c r="AG82" s="98">
        <v>275.56644213104715</v>
      </c>
      <c r="AH82" s="98" t="s">
        <v>695</v>
      </c>
      <c r="AI82" s="100">
        <v>0.012</v>
      </c>
      <c r="AJ82" s="100">
        <v>0.591837</v>
      </c>
      <c r="AK82" s="100" t="s">
        <v>695</v>
      </c>
      <c r="AL82" s="100">
        <v>0.763743</v>
      </c>
      <c r="AM82" s="100">
        <v>0.486607</v>
      </c>
      <c r="AN82" s="100">
        <v>0.504854</v>
      </c>
      <c r="AO82" s="98">
        <v>1837.109614206981</v>
      </c>
      <c r="AP82" s="158">
        <v>1.328193054</v>
      </c>
      <c r="AQ82" s="100" t="s">
        <v>695</v>
      </c>
      <c r="AR82" s="100" t="s">
        <v>695</v>
      </c>
      <c r="AS82" s="98">
        <v>642.9883649724434</v>
      </c>
      <c r="AT82" s="98" t="s">
        <v>695</v>
      </c>
      <c r="AU82" s="98" t="s">
        <v>695</v>
      </c>
      <c r="AV82" s="98">
        <v>367.4219228413962</v>
      </c>
      <c r="AW82" s="98" t="s">
        <v>695</v>
      </c>
      <c r="AX82" s="98" t="s">
        <v>695</v>
      </c>
      <c r="AY82" s="98">
        <v>367.4219228413962</v>
      </c>
      <c r="AZ82" s="98" t="s">
        <v>695</v>
      </c>
      <c r="BA82" s="100" t="s">
        <v>695</v>
      </c>
      <c r="BB82" s="100" t="s">
        <v>695</v>
      </c>
      <c r="BC82" s="100" t="s">
        <v>695</v>
      </c>
      <c r="BD82" s="158">
        <v>1.013551178</v>
      </c>
      <c r="BE82" s="158">
        <v>1.709647675</v>
      </c>
      <c r="BF82" s="162">
        <v>294</v>
      </c>
      <c r="BG82" s="162" t="s">
        <v>695</v>
      </c>
      <c r="BH82" s="162">
        <v>855</v>
      </c>
      <c r="BI82" s="162">
        <v>224</v>
      </c>
      <c r="BJ82" s="162">
        <v>103</v>
      </c>
      <c r="BK82" s="97"/>
      <c r="BL82" s="97"/>
      <c r="BM82" s="97"/>
      <c r="BN82" s="97"/>
    </row>
    <row r="83" spans="1:66" ht="12.75">
      <c r="A83" s="79" t="s">
        <v>662</v>
      </c>
      <c r="B83" s="79" t="s">
        <v>367</v>
      </c>
      <c r="C83" s="79" t="s">
        <v>255</v>
      </c>
      <c r="D83" s="99">
        <v>3149</v>
      </c>
      <c r="E83" s="99">
        <v>296</v>
      </c>
      <c r="F83" s="99" t="s">
        <v>418</v>
      </c>
      <c r="G83" s="99">
        <v>14</v>
      </c>
      <c r="H83" s="99" t="s">
        <v>695</v>
      </c>
      <c r="I83" s="99">
        <v>39</v>
      </c>
      <c r="J83" s="99">
        <v>210</v>
      </c>
      <c r="K83" s="99" t="s">
        <v>695</v>
      </c>
      <c r="L83" s="99">
        <v>619</v>
      </c>
      <c r="M83" s="99">
        <v>127</v>
      </c>
      <c r="N83" s="99">
        <v>57</v>
      </c>
      <c r="O83" s="99">
        <v>38</v>
      </c>
      <c r="P83" s="159">
        <v>38</v>
      </c>
      <c r="Q83" s="99">
        <v>8</v>
      </c>
      <c r="R83" s="99">
        <v>12</v>
      </c>
      <c r="S83" s="99">
        <v>14</v>
      </c>
      <c r="T83" s="99" t="s">
        <v>695</v>
      </c>
      <c r="U83" s="99">
        <v>6</v>
      </c>
      <c r="V83" s="99" t="s">
        <v>695</v>
      </c>
      <c r="W83" s="99" t="s">
        <v>695</v>
      </c>
      <c r="X83" s="99" t="s">
        <v>695</v>
      </c>
      <c r="Y83" s="99" t="s">
        <v>695</v>
      </c>
      <c r="Z83" s="99">
        <v>15</v>
      </c>
      <c r="AA83" s="99" t="s">
        <v>695</v>
      </c>
      <c r="AB83" s="99" t="s">
        <v>695</v>
      </c>
      <c r="AC83" s="99" t="s">
        <v>695</v>
      </c>
      <c r="AD83" s="98" t="s">
        <v>395</v>
      </c>
      <c r="AE83" s="100">
        <v>0.0939980946332169</v>
      </c>
      <c r="AF83" s="100">
        <v>0.13</v>
      </c>
      <c r="AG83" s="98">
        <v>444.5855827246745</v>
      </c>
      <c r="AH83" s="98" t="s">
        <v>695</v>
      </c>
      <c r="AI83" s="100">
        <v>0.012</v>
      </c>
      <c r="AJ83" s="100">
        <v>0.688525</v>
      </c>
      <c r="AK83" s="100" t="s">
        <v>695</v>
      </c>
      <c r="AL83" s="100">
        <v>0.772784</v>
      </c>
      <c r="AM83" s="100">
        <v>0.472119</v>
      </c>
      <c r="AN83" s="100">
        <v>0.471074</v>
      </c>
      <c r="AO83" s="98">
        <v>1206.7322959669737</v>
      </c>
      <c r="AP83" s="158">
        <v>0.7822219849</v>
      </c>
      <c r="AQ83" s="100">
        <v>0.21052631578947367</v>
      </c>
      <c r="AR83" s="100">
        <v>0.6666666666666666</v>
      </c>
      <c r="AS83" s="98">
        <v>444.5855827246745</v>
      </c>
      <c r="AT83" s="98" t="s">
        <v>695</v>
      </c>
      <c r="AU83" s="98">
        <v>190.53667831057479</v>
      </c>
      <c r="AV83" s="98" t="s">
        <v>695</v>
      </c>
      <c r="AW83" s="98" t="s">
        <v>695</v>
      </c>
      <c r="AX83" s="98" t="s">
        <v>695</v>
      </c>
      <c r="AY83" s="98" t="s">
        <v>695</v>
      </c>
      <c r="AZ83" s="98">
        <v>476.34169577643695</v>
      </c>
      <c r="BA83" s="100" t="s">
        <v>695</v>
      </c>
      <c r="BB83" s="100" t="s">
        <v>695</v>
      </c>
      <c r="BC83" s="100" t="s">
        <v>695</v>
      </c>
      <c r="BD83" s="158">
        <v>0.5535468292</v>
      </c>
      <c r="BE83" s="158">
        <v>1.0736607360000001</v>
      </c>
      <c r="BF83" s="162">
        <v>305</v>
      </c>
      <c r="BG83" s="162" t="s">
        <v>695</v>
      </c>
      <c r="BH83" s="162">
        <v>801</v>
      </c>
      <c r="BI83" s="162">
        <v>269</v>
      </c>
      <c r="BJ83" s="162">
        <v>121</v>
      </c>
      <c r="BK83" s="97"/>
      <c r="BL83" s="97"/>
      <c r="BM83" s="97"/>
      <c r="BN83" s="97"/>
    </row>
    <row r="84" spans="1:66" ht="12.75">
      <c r="A84" s="79" t="s">
        <v>613</v>
      </c>
      <c r="B84" s="79" t="s">
        <v>317</v>
      </c>
      <c r="C84" s="79" t="s">
        <v>255</v>
      </c>
      <c r="D84" s="99">
        <v>14790</v>
      </c>
      <c r="E84" s="99">
        <v>3820</v>
      </c>
      <c r="F84" s="99" t="s">
        <v>418</v>
      </c>
      <c r="G84" s="99">
        <v>93</v>
      </c>
      <c r="H84" s="99">
        <v>47</v>
      </c>
      <c r="I84" s="99">
        <v>357</v>
      </c>
      <c r="J84" s="99">
        <v>1723</v>
      </c>
      <c r="K84" s="99">
        <v>20</v>
      </c>
      <c r="L84" s="99">
        <v>2511</v>
      </c>
      <c r="M84" s="99">
        <v>1288</v>
      </c>
      <c r="N84" s="99">
        <v>627</v>
      </c>
      <c r="O84" s="99">
        <v>498</v>
      </c>
      <c r="P84" s="159">
        <v>498</v>
      </c>
      <c r="Q84" s="99">
        <v>50</v>
      </c>
      <c r="R84" s="99">
        <v>106</v>
      </c>
      <c r="S84" s="99">
        <v>82</v>
      </c>
      <c r="T84" s="99">
        <v>75</v>
      </c>
      <c r="U84" s="99">
        <v>22</v>
      </c>
      <c r="V84" s="99">
        <v>103</v>
      </c>
      <c r="W84" s="99">
        <v>13</v>
      </c>
      <c r="X84" s="99">
        <v>14</v>
      </c>
      <c r="Y84" s="99">
        <v>46</v>
      </c>
      <c r="Z84" s="99">
        <v>109</v>
      </c>
      <c r="AA84" s="99" t="s">
        <v>695</v>
      </c>
      <c r="AB84" s="99" t="s">
        <v>695</v>
      </c>
      <c r="AC84" s="99" t="s">
        <v>695</v>
      </c>
      <c r="AD84" s="98" t="s">
        <v>395</v>
      </c>
      <c r="AE84" s="100">
        <v>0.2582826233941853</v>
      </c>
      <c r="AF84" s="100">
        <v>0.13</v>
      </c>
      <c r="AG84" s="98">
        <v>628.8032454361055</v>
      </c>
      <c r="AH84" s="98">
        <v>317.7822853279243</v>
      </c>
      <c r="AI84" s="100">
        <v>0.024</v>
      </c>
      <c r="AJ84" s="100">
        <v>0.789643</v>
      </c>
      <c r="AK84" s="100">
        <v>0.444444</v>
      </c>
      <c r="AL84" s="100">
        <v>0.789871</v>
      </c>
      <c r="AM84" s="100">
        <v>0.583862</v>
      </c>
      <c r="AN84" s="100">
        <v>0.585981</v>
      </c>
      <c r="AO84" s="98">
        <v>3367.1399594320487</v>
      </c>
      <c r="AP84" s="158">
        <v>1.463964233</v>
      </c>
      <c r="AQ84" s="100">
        <v>0.10040160642570281</v>
      </c>
      <c r="AR84" s="100">
        <v>0.4716981132075472</v>
      </c>
      <c r="AS84" s="98">
        <v>554.4286680189317</v>
      </c>
      <c r="AT84" s="98">
        <v>507.0993914807302</v>
      </c>
      <c r="AU84" s="98">
        <v>148.74915483434754</v>
      </c>
      <c r="AV84" s="98">
        <v>696.4164976335362</v>
      </c>
      <c r="AW84" s="98">
        <v>87.89722785665991</v>
      </c>
      <c r="AX84" s="98">
        <v>94.65855307640298</v>
      </c>
      <c r="AY84" s="98">
        <v>311.0209601081812</v>
      </c>
      <c r="AZ84" s="98">
        <v>736.9844489519946</v>
      </c>
      <c r="BA84" s="100" t="s">
        <v>695</v>
      </c>
      <c r="BB84" s="100" t="s">
        <v>695</v>
      </c>
      <c r="BC84" s="100" t="s">
        <v>695</v>
      </c>
      <c r="BD84" s="158">
        <v>1.3381913760000002</v>
      </c>
      <c r="BE84" s="158">
        <v>1.5983732599999998</v>
      </c>
      <c r="BF84" s="162">
        <v>2182</v>
      </c>
      <c r="BG84" s="162">
        <v>45</v>
      </c>
      <c r="BH84" s="162">
        <v>3179</v>
      </c>
      <c r="BI84" s="162">
        <v>2206</v>
      </c>
      <c r="BJ84" s="162">
        <v>1070</v>
      </c>
      <c r="BK84" s="97"/>
      <c r="BL84" s="97"/>
      <c r="BM84" s="97"/>
      <c r="BN84" s="97"/>
    </row>
    <row r="85" spans="1:66" ht="12.75">
      <c r="A85" s="79" t="s">
        <v>600</v>
      </c>
      <c r="B85" s="79" t="s">
        <v>303</v>
      </c>
      <c r="C85" s="79" t="s">
        <v>255</v>
      </c>
      <c r="D85" s="99">
        <v>11049</v>
      </c>
      <c r="E85" s="99">
        <v>2101</v>
      </c>
      <c r="F85" s="99" t="s">
        <v>415</v>
      </c>
      <c r="G85" s="99">
        <v>62</v>
      </c>
      <c r="H85" s="99">
        <v>51</v>
      </c>
      <c r="I85" s="99">
        <v>153</v>
      </c>
      <c r="J85" s="99">
        <v>1151</v>
      </c>
      <c r="K85" s="99">
        <v>422</v>
      </c>
      <c r="L85" s="99">
        <v>1741</v>
      </c>
      <c r="M85" s="99">
        <v>588</v>
      </c>
      <c r="N85" s="99">
        <v>468</v>
      </c>
      <c r="O85" s="99">
        <v>292</v>
      </c>
      <c r="P85" s="159">
        <v>292</v>
      </c>
      <c r="Q85" s="99">
        <v>22</v>
      </c>
      <c r="R85" s="99">
        <v>45</v>
      </c>
      <c r="S85" s="99">
        <v>67</v>
      </c>
      <c r="T85" s="99">
        <v>54</v>
      </c>
      <c r="U85" s="99">
        <v>12</v>
      </c>
      <c r="V85" s="99">
        <v>39</v>
      </c>
      <c r="W85" s="99">
        <v>79</v>
      </c>
      <c r="X85" s="99">
        <v>53</v>
      </c>
      <c r="Y85" s="99">
        <v>102</v>
      </c>
      <c r="Z85" s="99">
        <v>95</v>
      </c>
      <c r="AA85" s="99" t="s">
        <v>695</v>
      </c>
      <c r="AB85" s="99" t="s">
        <v>695</v>
      </c>
      <c r="AC85" s="99" t="s">
        <v>695</v>
      </c>
      <c r="AD85" s="98" t="s">
        <v>395</v>
      </c>
      <c r="AE85" s="100">
        <v>0.19015295501855373</v>
      </c>
      <c r="AF85" s="100">
        <v>0.22</v>
      </c>
      <c r="AG85" s="98">
        <v>561.1367544574169</v>
      </c>
      <c r="AH85" s="98">
        <v>461.5802335052946</v>
      </c>
      <c r="AI85" s="100">
        <v>0.013999999999999999</v>
      </c>
      <c r="AJ85" s="100">
        <v>0.709618</v>
      </c>
      <c r="AK85" s="100">
        <v>0.805344</v>
      </c>
      <c r="AL85" s="100">
        <v>0.701168</v>
      </c>
      <c r="AM85" s="100">
        <v>0.360736</v>
      </c>
      <c r="AN85" s="100">
        <v>0.518272</v>
      </c>
      <c r="AO85" s="98">
        <v>2642.773101638157</v>
      </c>
      <c r="AP85" s="158">
        <v>1.3195536799999998</v>
      </c>
      <c r="AQ85" s="100">
        <v>0.07534246575342465</v>
      </c>
      <c r="AR85" s="100">
        <v>0.4888888888888889</v>
      </c>
      <c r="AS85" s="98">
        <v>606.3897185265635</v>
      </c>
      <c r="AT85" s="98">
        <v>488.7320119467825</v>
      </c>
      <c r="AU85" s="98">
        <v>108.60711376595167</v>
      </c>
      <c r="AV85" s="98">
        <v>352.9731197393429</v>
      </c>
      <c r="AW85" s="98">
        <v>714.9968322925151</v>
      </c>
      <c r="AX85" s="98">
        <v>479.6814191329532</v>
      </c>
      <c r="AY85" s="98">
        <v>923.1604670105892</v>
      </c>
      <c r="AZ85" s="98">
        <v>859.806317313784</v>
      </c>
      <c r="BA85" s="100" t="s">
        <v>695</v>
      </c>
      <c r="BB85" s="100" t="s">
        <v>695</v>
      </c>
      <c r="BC85" s="100" t="s">
        <v>695</v>
      </c>
      <c r="BD85" s="158">
        <v>1.172527847</v>
      </c>
      <c r="BE85" s="158">
        <v>1.479915924</v>
      </c>
      <c r="BF85" s="162">
        <v>1622</v>
      </c>
      <c r="BG85" s="162">
        <v>524</v>
      </c>
      <c r="BH85" s="162">
        <v>2483</v>
      </c>
      <c r="BI85" s="162">
        <v>1630</v>
      </c>
      <c r="BJ85" s="162">
        <v>903</v>
      </c>
      <c r="BK85" s="97"/>
      <c r="BL85" s="97"/>
      <c r="BM85" s="97"/>
      <c r="BN85" s="97"/>
    </row>
    <row r="86" spans="1:66" ht="12.75">
      <c r="A86" s="79" t="s">
        <v>580</v>
      </c>
      <c r="B86" s="79" t="s">
        <v>282</v>
      </c>
      <c r="C86" s="79" t="s">
        <v>255</v>
      </c>
      <c r="D86" s="99">
        <v>7176</v>
      </c>
      <c r="E86" s="99">
        <v>1239</v>
      </c>
      <c r="F86" s="99" t="s">
        <v>415</v>
      </c>
      <c r="G86" s="99">
        <v>28</v>
      </c>
      <c r="H86" s="99">
        <v>17</v>
      </c>
      <c r="I86" s="99">
        <v>120</v>
      </c>
      <c r="J86" s="99">
        <v>654</v>
      </c>
      <c r="K86" s="99">
        <v>652</v>
      </c>
      <c r="L86" s="99">
        <v>1239</v>
      </c>
      <c r="M86" s="99">
        <v>451</v>
      </c>
      <c r="N86" s="99">
        <v>233</v>
      </c>
      <c r="O86" s="99">
        <v>67</v>
      </c>
      <c r="P86" s="159">
        <v>67</v>
      </c>
      <c r="Q86" s="99">
        <v>22</v>
      </c>
      <c r="R86" s="99">
        <v>45</v>
      </c>
      <c r="S86" s="99">
        <v>20</v>
      </c>
      <c r="T86" s="99">
        <v>7</v>
      </c>
      <c r="U86" s="99" t="s">
        <v>695</v>
      </c>
      <c r="V86" s="99" t="s">
        <v>695</v>
      </c>
      <c r="W86" s="99">
        <v>9</v>
      </c>
      <c r="X86" s="99">
        <v>6</v>
      </c>
      <c r="Y86" s="99">
        <v>33</v>
      </c>
      <c r="Z86" s="99">
        <v>51</v>
      </c>
      <c r="AA86" s="99" t="s">
        <v>695</v>
      </c>
      <c r="AB86" s="99" t="s">
        <v>695</v>
      </c>
      <c r="AC86" s="99" t="s">
        <v>695</v>
      </c>
      <c r="AD86" s="98" t="s">
        <v>395</v>
      </c>
      <c r="AE86" s="100">
        <v>0.17265886287625418</v>
      </c>
      <c r="AF86" s="100">
        <v>0.18</v>
      </c>
      <c r="AG86" s="98">
        <v>390.1895206243032</v>
      </c>
      <c r="AH86" s="98">
        <v>236.90078037904124</v>
      </c>
      <c r="AI86" s="100">
        <v>0.017</v>
      </c>
      <c r="AJ86" s="100">
        <v>0.727475</v>
      </c>
      <c r="AK86" s="100">
        <v>0.74685</v>
      </c>
      <c r="AL86" s="100">
        <v>0.766234</v>
      </c>
      <c r="AM86" s="100">
        <v>0.516018</v>
      </c>
      <c r="AN86" s="100">
        <v>0.546948</v>
      </c>
      <c r="AO86" s="98">
        <v>933.6677814938685</v>
      </c>
      <c r="AP86" s="158">
        <v>0.4886923599</v>
      </c>
      <c r="AQ86" s="100">
        <v>0.3283582089552239</v>
      </c>
      <c r="AR86" s="100">
        <v>0.4888888888888889</v>
      </c>
      <c r="AS86" s="98">
        <v>278.70680044593087</v>
      </c>
      <c r="AT86" s="98">
        <v>97.5473801560758</v>
      </c>
      <c r="AU86" s="98" t="s">
        <v>695</v>
      </c>
      <c r="AV86" s="98" t="s">
        <v>695</v>
      </c>
      <c r="AW86" s="98">
        <v>125.41806020066889</v>
      </c>
      <c r="AX86" s="98">
        <v>83.61204013377926</v>
      </c>
      <c r="AY86" s="98">
        <v>459.86622073578593</v>
      </c>
      <c r="AZ86" s="98">
        <v>710.7023411371238</v>
      </c>
      <c r="BA86" s="100" t="s">
        <v>695</v>
      </c>
      <c r="BB86" s="100" t="s">
        <v>695</v>
      </c>
      <c r="BC86" s="100" t="s">
        <v>695</v>
      </c>
      <c r="BD86" s="158">
        <v>0.3787298584</v>
      </c>
      <c r="BE86" s="158">
        <v>0.6206220245</v>
      </c>
      <c r="BF86" s="162">
        <v>899</v>
      </c>
      <c r="BG86" s="162">
        <v>873</v>
      </c>
      <c r="BH86" s="162">
        <v>1617</v>
      </c>
      <c r="BI86" s="162">
        <v>874</v>
      </c>
      <c r="BJ86" s="162">
        <v>426</v>
      </c>
      <c r="BK86" s="97"/>
      <c r="BL86" s="97"/>
      <c r="BM86" s="97"/>
      <c r="BN86" s="97"/>
    </row>
    <row r="87" spans="1:66" ht="12.75">
      <c r="A87" s="79" t="s">
        <v>642</v>
      </c>
      <c r="B87" s="79" t="s">
        <v>346</v>
      </c>
      <c r="C87" s="79" t="s">
        <v>255</v>
      </c>
      <c r="D87" s="99">
        <v>4362</v>
      </c>
      <c r="E87" s="99">
        <v>1135</v>
      </c>
      <c r="F87" s="99" t="s">
        <v>418</v>
      </c>
      <c r="G87" s="99">
        <v>30</v>
      </c>
      <c r="H87" s="99">
        <v>22</v>
      </c>
      <c r="I87" s="99">
        <v>103</v>
      </c>
      <c r="J87" s="99">
        <v>508</v>
      </c>
      <c r="K87" s="99">
        <v>504</v>
      </c>
      <c r="L87" s="99">
        <v>784</v>
      </c>
      <c r="M87" s="99">
        <v>364</v>
      </c>
      <c r="N87" s="99">
        <v>196</v>
      </c>
      <c r="O87" s="99">
        <v>155</v>
      </c>
      <c r="P87" s="159">
        <v>155</v>
      </c>
      <c r="Q87" s="99">
        <v>22</v>
      </c>
      <c r="R87" s="99">
        <v>34</v>
      </c>
      <c r="S87" s="99">
        <v>22</v>
      </c>
      <c r="T87" s="99">
        <v>17</v>
      </c>
      <c r="U87" s="99">
        <v>8</v>
      </c>
      <c r="V87" s="99">
        <v>30</v>
      </c>
      <c r="W87" s="99" t="s">
        <v>695</v>
      </c>
      <c r="X87" s="99" t="s">
        <v>695</v>
      </c>
      <c r="Y87" s="99">
        <v>16</v>
      </c>
      <c r="Z87" s="99">
        <v>37</v>
      </c>
      <c r="AA87" s="99" t="s">
        <v>695</v>
      </c>
      <c r="AB87" s="99" t="s">
        <v>695</v>
      </c>
      <c r="AC87" s="99" t="s">
        <v>695</v>
      </c>
      <c r="AD87" s="98" t="s">
        <v>395</v>
      </c>
      <c r="AE87" s="100">
        <v>0.2602017423200367</v>
      </c>
      <c r="AF87" s="100">
        <v>0.13</v>
      </c>
      <c r="AG87" s="98">
        <v>687.757909215956</v>
      </c>
      <c r="AH87" s="98">
        <v>504.35580009170104</v>
      </c>
      <c r="AI87" s="100">
        <v>0.024</v>
      </c>
      <c r="AJ87" s="100">
        <v>0.787597</v>
      </c>
      <c r="AK87" s="100">
        <v>0.794953</v>
      </c>
      <c r="AL87" s="100">
        <v>0.861538</v>
      </c>
      <c r="AM87" s="100">
        <v>0.60066</v>
      </c>
      <c r="AN87" s="100">
        <v>0.616352</v>
      </c>
      <c r="AO87" s="98">
        <v>3553.415864282439</v>
      </c>
      <c r="AP87" s="158">
        <v>1.565460358</v>
      </c>
      <c r="AQ87" s="100">
        <v>0.14193548387096774</v>
      </c>
      <c r="AR87" s="100">
        <v>0.6470588235294118</v>
      </c>
      <c r="AS87" s="98">
        <v>504.35580009170104</v>
      </c>
      <c r="AT87" s="98">
        <v>389.7294818890417</v>
      </c>
      <c r="AU87" s="98">
        <v>183.40210912425493</v>
      </c>
      <c r="AV87" s="98">
        <v>687.757909215956</v>
      </c>
      <c r="AW87" s="98" t="s">
        <v>695</v>
      </c>
      <c r="AX87" s="98" t="s">
        <v>695</v>
      </c>
      <c r="AY87" s="98">
        <v>366.80421824850987</v>
      </c>
      <c r="AZ87" s="98">
        <v>848.234754699679</v>
      </c>
      <c r="BA87" s="100" t="s">
        <v>695</v>
      </c>
      <c r="BB87" s="100" t="s">
        <v>695</v>
      </c>
      <c r="BC87" s="100" t="s">
        <v>695</v>
      </c>
      <c r="BD87" s="158">
        <v>1.328713684</v>
      </c>
      <c r="BE87" s="158">
        <v>1.8322239690000002</v>
      </c>
      <c r="BF87" s="162">
        <v>645</v>
      </c>
      <c r="BG87" s="162">
        <v>634</v>
      </c>
      <c r="BH87" s="162">
        <v>910</v>
      </c>
      <c r="BI87" s="162">
        <v>606</v>
      </c>
      <c r="BJ87" s="162">
        <v>318</v>
      </c>
      <c r="BK87" s="97"/>
      <c r="BL87" s="97"/>
      <c r="BM87" s="97"/>
      <c r="BN87" s="97"/>
    </row>
    <row r="88" spans="1:66" ht="12.75">
      <c r="A88" s="79" t="s">
        <v>592</v>
      </c>
      <c r="B88" s="79" t="s">
        <v>295</v>
      </c>
      <c r="C88" s="79" t="s">
        <v>255</v>
      </c>
      <c r="D88" s="99">
        <v>8466</v>
      </c>
      <c r="E88" s="99">
        <v>2002</v>
      </c>
      <c r="F88" s="99" t="s">
        <v>418</v>
      </c>
      <c r="G88" s="99">
        <v>63</v>
      </c>
      <c r="H88" s="99">
        <v>43</v>
      </c>
      <c r="I88" s="99">
        <v>203</v>
      </c>
      <c r="J88" s="99">
        <v>1006</v>
      </c>
      <c r="K88" s="99">
        <v>974</v>
      </c>
      <c r="L88" s="99">
        <v>1465</v>
      </c>
      <c r="M88" s="99">
        <v>681</v>
      </c>
      <c r="N88" s="99">
        <v>357</v>
      </c>
      <c r="O88" s="99">
        <v>244</v>
      </c>
      <c r="P88" s="159">
        <v>244</v>
      </c>
      <c r="Q88" s="99">
        <v>34</v>
      </c>
      <c r="R88" s="99">
        <v>64</v>
      </c>
      <c r="S88" s="99">
        <v>50</v>
      </c>
      <c r="T88" s="99">
        <v>35</v>
      </c>
      <c r="U88" s="99">
        <v>9</v>
      </c>
      <c r="V88" s="99">
        <v>50</v>
      </c>
      <c r="W88" s="99">
        <v>13</v>
      </c>
      <c r="X88" s="99">
        <v>6</v>
      </c>
      <c r="Y88" s="99">
        <v>25</v>
      </c>
      <c r="Z88" s="99">
        <v>59</v>
      </c>
      <c r="AA88" s="99" t="s">
        <v>695</v>
      </c>
      <c r="AB88" s="99" t="s">
        <v>695</v>
      </c>
      <c r="AC88" s="99" t="s">
        <v>695</v>
      </c>
      <c r="AD88" s="98" t="s">
        <v>395</v>
      </c>
      <c r="AE88" s="100">
        <v>0.23647531301677296</v>
      </c>
      <c r="AF88" s="100">
        <v>0.13</v>
      </c>
      <c r="AG88" s="98">
        <v>744.1530829199149</v>
      </c>
      <c r="AH88" s="98">
        <v>507.9140089770848</v>
      </c>
      <c r="AI88" s="100">
        <v>0.024</v>
      </c>
      <c r="AJ88" s="100">
        <v>0.808682</v>
      </c>
      <c r="AK88" s="100">
        <v>0.800987</v>
      </c>
      <c r="AL88" s="100">
        <v>0.788482</v>
      </c>
      <c r="AM88" s="100">
        <v>0.567973</v>
      </c>
      <c r="AN88" s="100">
        <v>0.611301</v>
      </c>
      <c r="AO88" s="98">
        <v>2882.1167021025276</v>
      </c>
      <c r="AP88" s="158">
        <v>1.2883694460000001</v>
      </c>
      <c r="AQ88" s="100">
        <v>0.13934426229508196</v>
      </c>
      <c r="AR88" s="100">
        <v>0.53125</v>
      </c>
      <c r="AS88" s="98">
        <v>590.5976848570754</v>
      </c>
      <c r="AT88" s="98">
        <v>413.41837939995276</v>
      </c>
      <c r="AU88" s="98">
        <v>106.30758327427357</v>
      </c>
      <c r="AV88" s="98">
        <v>590.5976848570754</v>
      </c>
      <c r="AW88" s="98">
        <v>153.5553980628396</v>
      </c>
      <c r="AX88" s="98">
        <v>70.87172218284904</v>
      </c>
      <c r="AY88" s="98">
        <v>295.2988424285377</v>
      </c>
      <c r="AZ88" s="98">
        <v>696.905268131349</v>
      </c>
      <c r="BA88" s="100" t="s">
        <v>695</v>
      </c>
      <c r="BB88" s="100" t="s">
        <v>695</v>
      </c>
      <c r="BC88" s="100" t="s">
        <v>695</v>
      </c>
      <c r="BD88" s="158">
        <v>1.13177063</v>
      </c>
      <c r="BE88" s="158">
        <v>1.460579071</v>
      </c>
      <c r="BF88" s="162">
        <v>1244</v>
      </c>
      <c r="BG88" s="162">
        <v>1216</v>
      </c>
      <c r="BH88" s="162">
        <v>1858</v>
      </c>
      <c r="BI88" s="162">
        <v>1199</v>
      </c>
      <c r="BJ88" s="162">
        <v>584</v>
      </c>
      <c r="BK88" s="97"/>
      <c r="BL88" s="97"/>
      <c r="BM88" s="97"/>
      <c r="BN88" s="97"/>
    </row>
    <row r="89" spans="1:66" ht="12.75">
      <c r="A89" s="79" t="s">
        <v>672</v>
      </c>
      <c r="B89" s="79" t="s">
        <v>378</v>
      </c>
      <c r="C89" s="79" t="s">
        <v>255</v>
      </c>
      <c r="D89" s="99">
        <v>8847</v>
      </c>
      <c r="E89" s="99">
        <v>678</v>
      </c>
      <c r="F89" s="99" t="s">
        <v>415</v>
      </c>
      <c r="G89" s="99">
        <v>21</v>
      </c>
      <c r="H89" s="99">
        <v>8</v>
      </c>
      <c r="I89" s="99">
        <v>60</v>
      </c>
      <c r="J89" s="99">
        <v>370</v>
      </c>
      <c r="K89" s="99" t="s">
        <v>695</v>
      </c>
      <c r="L89" s="99">
        <v>1424</v>
      </c>
      <c r="M89" s="99">
        <v>243</v>
      </c>
      <c r="N89" s="99">
        <v>119</v>
      </c>
      <c r="O89" s="99">
        <v>192</v>
      </c>
      <c r="P89" s="159">
        <v>192</v>
      </c>
      <c r="Q89" s="99">
        <v>12</v>
      </c>
      <c r="R89" s="99">
        <v>19</v>
      </c>
      <c r="S89" s="99">
        <v>52</v>
      </c>
      <c r="T89" s="99">
        <v>31</v>
      </c>
      <c r="U89" s="99" t="s">
        <v>695</v>
      </c>
      <c r="V89" s="99">
        <v>39</v>
      </c>
      <c r="W89" s="99" t="s">
        <v>695</v>
      </c>
      <c r="X89" s="99">
        <v>9</v>
      </c>
      <c r="Y89" s="99">
        <v>17</v>
      </c>
      <c r="Z89" s="99">
        <v>30</v>
      </c>
      <c r="AA89" s="99" t="s">
        <v>695</v>
      </c>
      <c r="AB89" s="99" t="s">
        <v>695</v>
      </c>
      <c r="AC89" s="99" t="s">
        <v>695</v>
      </c>
      <c r="AD89" s="98" t="s">
        <v>395</v>
      </c>
      <c r="AE89" s="100">
        <v>0.0766361478467277</v>
      </c>
      <c r="AF89" s="100">
        <v>0.19</v>
      </c>
      <c r="AG89" s="98">
        <v>237.3685995252628</v>
      </c>
      <c r="AH89" s="98">
        <v>90.42613315248107</v>
      </c>
      <c r="AI89" s="100">
        <v>0.006999999999999999</v>
      </c>
      <c r="AJ89" s="100">
        <v>0.580848</v>
      </c>
      <c r="AK89" s="100" t="s">
        <v>695</v>
      </c>
      <c r="AL89" s="100">
        <v>0.693957</v>
      </c>
      <c r="AM89" s="100">
        <v>0.461977</v>
      </c>
      <c r="AN89" s="100">
        <v>0.464844</v>
      </c>
      <c r="AO89" s="98">
        <v>2170.2271956595455</v>
      </c>
      <c r="AP89" s="158">
        <v>1.738717194</v>
      </c>
      <c r="AQ89" s="100">
        <v>0.0625</v>
      </c>
      <c r="AR89" s="100">
        <v>0.631578947368421</v>
      </c>
      <c r="AS89" s="98">
        <v>587.7698654911269</v>
      </c>
      <c r="AT89" s="98">
        <v>350.4012659658641</v>
      </c>
      <c r="AU89" s="98" t="s">
        <v>695</v>
      </c>
      <c r="AV89" s="98">
        <v>440.8273991183452</v>
      </c>
      <c r="AW89" s="98" t="s">
        <v>695</v>
      </c>
      <c r="AX89" s="98">
        <v>101.7293997965412</v>
      </c>
      <c r="AY89" s="98">
        <v>192.15553294902227</v>
      </c>
      <c r="AZ89" s="98">
        <v>339.097999321804</v>
      </c>
      <c r="BA89" s="100" t="s">
        <v>695</v>
      </c>
      <c r="BB89" s="100" t="s">
        <v>695</v>
      </c>
      <c r="BC89" s="100" t="s">
        <v>695</v>
      </c>
      <c r="BD89" s="158">
        <v>1.501464996</v>
      </c>
      <c r="BE89" s="158">
        <v>2.00281311</v>
      </c>
      <c r="BF89" s="162">
        <v>637</v>
      </c>
      <c r="BG89" s="162" t="s">
        <v>695</v>
      </c>
      <c r="BH89" s="162">
        <v>2052</v>
      </c>
      <c r="BI89" s="162">
        <v>526</v>
      </c>
      <c r="BJ89" s="162">
        <v>256</v>
      </c>
      <c r="BK89" s="97"/>
      <c r="BL89" s="97"/>
      <c r="BM89" s="97"/>
      <c r="BN89" s="97"/>
    </row>
    <row r="90" spans="1:66" ht="12.75">
      <c r="A90" s="79" t="s">
        <v>610</v>
      </c>
      <c r="B90" s="79" t="s">
        <v>314</v>
      </c>
      <c r="C90" s="79" t="s">
        <v>255</v>
      </c>
      <c r="D90" s="99">
        <v>14234</v>
      </c>
      <c r="E90" s="99">
        <v>1624</v>
      </c>
      <c r="F90" s="99" t="s">
        <v>418</v>
      </c>
      <c r="G90" s="99">
        <v>59</v>
      </c>
      <c r="H90" s="99">
        <v>18</v>
      </c>
      <c r="I90" s="99">
        <v>196</v>
      </c>
      <c r="J90" s="99">
        <v>850</v>
      </c>
      <c r="K90" s="99">
        <v>20</v>
      </c>
      <c r="L90" s="99">
        <v>2206</v>
      </c>
      <c r="M90" s="99">
        <v>602</v>
      </c>
      <c r="N90" s="99">
        <v>307</v>
      </c>
      <c r="O90" s="99">
        <v>233</v>
      </c>
      <c r="P90" s="159">
        <v>233</v>
      </c>
      <c r="Q90" s="99">
        <v>22</v>
      </c>
      <c r="R90" s="99">
        <v>38</v>
      </c>
      <c r="S90" s="99">
        <v>56</v>
      </c>
      <c r="T90" s="99">
        <v>23</v>
      </c>
      <c r="U90" s="99">
        <v>6</v>
      </c>
      <c r="V90" s="99">
        <v>46</v>
      </c>
      <c r="W90" s="99">
        <v>7</v>
      </c>
      <c r="X90" s="99">
        <v>8</v>
      </c>
      <c r="Y90" s="99">
        <v>21</v>
      </c>
      <c r="Z90" s="99">
        <v>43</v>
      </c>
      <c r="AA90" s="99" t="s">
        <v>695</v>
      </c>
      <c r="AB90" s="99" t="s">
        <v>695</v>
      </c>
      <c r="AC90" s="99" t="s">
        <v>695</v>
      </c>
      <c r="AD90" s="98" t="s">
        <v>395</v>
      </c>
      <c r="AE90" s="100">
        <v>0.11409301672052831</v>
      </c>
      <c r="AF90" s="100">
        <v>0.13</v>
      </c>
      <c r="AG90" s="98">
        <v>414.5004917802445</v>
      </c>
      <c r="AH90" s="98">
        <v>126.45777715329493</v>
      </c>
      <c r="AI90" s="100">
        <v>0.013999999999999999</v>
      </c>
      <c r="AJ90" s="100">
        <v>0.678372</v>
      </c>
      <c r="AK90" s="100">
        <v>0.416667</v>
      </c>
      <c r="AL90" s="100">
        <v>0.707278</v>
      </c>
      <c r="AM90" s="100">
        <v>0.526684</v>
      </c>
      <c r="AN90" s="100">
        <v>0.553153</v>
      </c>
      <c r="AO90" s="98">
        <v>1636.9256709287622</v>
      </c>
      <c r="AP90" s="158">
        <v>1.091880188</v>
      </c>
      <c r="AQ90" s="100">
        <v>0.0944206008583691</v>
      </c>
      <c r="AR90" s="100">
        <v>0.5789473684210527</v>
      </c>
      <c r="AS90" s="98">
        <v>393.4241955880287</v>
      </c>
      <c r="AT90" s="98">
        <v>161.58493747365463</v>
      </c>
      <c r="AU90" s="98">
        <v>42.15259238443164</v>
      </c>
      <c r="AV90" s="98">
        <v>323.16987494730927</v>
      </c>
      <c r="AW90" s="98">
        <v>49.178024448503585</v>
      </c>
      <c r="AX90" s="98">
        <v>56.20345651257552</v>
      </c>
      <c r="AY90" s="98">
        <v>147.53407334551076</v>
      </c>
      <c r="AZ90" s="98">
        <v>302.09357875509346</v>
      </c>
      <c r="BA90" s="100" t="s">
        <v>695</v>
      </c>
      <c r="BB90" s="100" t="s">
        <v>695</v>
      </c>
      <c r="BC90" s="100" t="s">
        <v>695</v>
      </c>
      <c r="BD90" s="158">
        <v>0.9561710358000001</v>
      </c>
      <c r="BE90" s="158">
        <v>1.2414505</v>
      </c>
      <c r="BF90" s="162">
        <v>1253</v>
      </c>
      <c r="BG90" s="162">
        <v>48</v>
      </c>
      <c r="BH90" s="162">
        <v>3119</v>
      </c>
      <c r="BI90" s="162">
        <v>1143</v>
      </c>
      <c r="BJ90" s="162">
        <v>555</v>
      </c>
      <c r="BK90" s="97"/>
      <c r="BL90" s="97"/>
      <c r="BM90" s="97"/>
      <c r="BN90" s="97"/>
    </row>
    <row r="91" spans="1:66" ht="12.75">
      <c r="A91" s="79" t="s">
        <v>595</v>
      </c>
      <c r="B91" s="79" t="s">
        <v>298</v>
      </c>
      <c r="C91" s="79" t="s">
        <v>255</v>
      </c>
      <c r="D91" s="99">
        <v>7327</v>
      </c>
      <c r="E91" s="99">
        <v>1298</v>
      </c>
      <c r="F91" s="99" t="s">
        <v>415</v>
      </c>
      <c r="G91" s="99">
        <v>46</v>
      </c>
      <c r="H91" s="99">
        <v>20</v>
      </c>
      <c r="I91" s="99">
        <v>127</v>
      </c>
      <c r="J91" s="99">
        <v>748</v>
      </c>
      <c r="K91" s="99">
        <v>728</v>
      </c>
      <c r="L91" s="99">
        <v>1211</v>
      </c>
      <c r="M91" s="99">
        <v>475</v>
      </c>
      <c r="N91" s="99">
        <v>230</v>
      </c>
      <c r="O91" s="99">
        <v>188</v>
      </c>
      <c r="P91" s="159">
        <v>188</v>
      </c>
      <c r="Q91" s="99">
        <v>19</v>
      </c>
      <c r="R91" s="99">
        <v>38</v>
      </c>
      <c r="S91" s="99">
        <v>43</v>
      </c>
      <c r="T91" s="99">
        <v>20</v>
      </c>
      <c r="U91" s="99">
        <v>7</v>
      </c>
      <c r="V91" s="99">
        <v>34</v>
      </c>
      <c r="W91" s="99">
        <v>7</v>
      </c>
      <c r="X91" s="99" t="s">
        <v>695</v>
      </c>
      <c r="Y91" s="99">
        <v>19</v>
      </c>
      <c r="Z91" s="99">
        <v>41</v>
      </c>
      <c r="AA91" s="99" t="s">
        <v>695</v>
      </c>
      <c r="AB91" s="99" t="s">
        <v>695</v>
      </c>
      <c r="AC91" s="99" t="s">
        <v>695</v>
      </c>
      <c r="AD91" s="98" t="s">
        <v>395</v>
      </c>
      <c r="AE91" s="100">
        <v>0.17715299576907328</v>
      </c>
      <c r="AF91" s="100">
        <v>0.22</v>
      </c>
      <c r="AG91" s="98">
        <v>627.8149310768391</v>
      </c>
      <c r="AH91" s="98">
        <v>272.96301351166915</v>
      </c>
      <c r="AI91" s="100">
        <v>0.017</v>
      </c>
      <c r="AJ91" s="100">
        <v>0.782427</v>
      </c>
      <c r="AK91" s="100">
        <v>0.783638</v>
      </c>
      <c r="AL91" s="100">
        <v>0.750775</v>
      </c>
      <c r="AM91" s="100">
        <v>0.519694</v>
      </c>
      <c r="AN91" s="100">
        <v>0.538642</v>
      </c>
      <c r="AO91" s="98">
        <v>2565.8523270096903</v>
      </c>
      <c r="AP91" s="158">
        <v>1.353568726</v>
      </c>
      <c r="AQ91" s="100">
        <v>0.10106382978723404</v>
      </c>
      <c r="AR91" s="100">
        <v>0.5</v>
      </c>
      <c r="AS91" s="98">
        <v>586.8704790500888</v>
      </c>
      <c r="AT91" s="98">
        <v>272.96301351166915</v>
      </c>
      <c r="AU91" s="98">
        <v>95.5370547290842</v>
      </c>
      <c r="AV91" s="98">
        <v>464.0371229698376</v>
      </c>
      <c r="AW91" s="98">
        <v>95.5370547290842</v>
      </c>
      <c r="AX91" s="98" t="s">
        <v>695</v>
      </c>
      <c r="AY91" s="98">
        <v>259.3148628360857</v>
      </c>
      <c r="AZ91" s="98">
        <v>559.5741776989217</v>
      </c>
      <c r="BA91" s="100" t="s">
        <v>695</v>
      </c>
      <c r="BB91" s="100" t="s">
        <v>695</v>
      </c>
      <c r="BC91" s="100" t="s">
        <v>695</v>
      </c>
      <c r="BD91" s="158">
        <v>1.16698967</v>
      </c>
      <c r="BE91" s="158">
        <v>1.561495209</v>
      </c>
      <c r="BF91" s="162">
        <v>956</v>
      </c>
      <c r="BG91" s="162">
        <v>929</v>
      </c>
      <c r="BH91" s="162">
        <v>1613</v>
      </c>
      <c r="BI91" s="162">
        <v>914</v>
      </c>
      <c r="BJ91" s="162">
        <v>427</v>
      </c>
      <c r="BK91" s="97"/>
      <c r="BL91" s="97"/>
      <c r="BM91" s="97"/>
      <c r="BN91" s="97"/>
    </row>
    <row r="92" spans="1:66" ht="12.75">
      <c r="A92" s="79" t="s">
        <v>585</v>
      </c>
      <c r="B92" s="79" t="s">
        <v>287</v>
      </c>
      <c r="C92" s="79" t="s">
        <v>255</v>
      </c>
      <c r="D92" s="99">
        <v>5912</v>
      </c>
      <c r="E92" s="99">
        <v>1641</v>
      </c>
      <c r="F92" s="99" t="s">
        <v>417</v>
      </c>
      <c r="G92" s="99">
        <v>52</v>
      </c>
      <c r="H92" s="99">
        <v>25</v>
      </c>
      <c r="I92" s="99">
        <v>165</v>
      </c>
      <c r="J92" s="99">
        <v>658</v>
      </c>
      <c r="K92" s="99" t="s">
        <v>695</v>
      </c>
      <c r="L92" s="99">
        <v>955</v>
      </c>
      <c r="M92" s="99">
        <v>485</v>
      </c>
      <c r="N92" s="99">
        <v>258</v>
      </c>
      <c r="O92" s="99">
        <v>270</v>
      </c>
      <c r="P92" s="159">
        <v>270</v>
      </c>
      <c r="Q92" s="99">
        <v>19</v>
      </c>
      <c r="R92" s="99">
        <v>44</v>
      </c>
      <c r="S92" s="99">
        <v>36</v>
      </c>
      <c r="T92" s="99">
        <v>52</v>
      </c>
      <c r="U92" s="99">
        <v>11</v>
      </c>
      <c r="V92" s="99">
        <v>62</v>
      </c>
      <c r="W92" s="99">
        <v>6</v>
      </c>
      <c r="X92" s="99" t="s">
        <v>695</v>
      </c>
      <c r="Y92" s="99">
        <v>32</v>
      </c>
      <c r="Z92" s="99">
        <v>65</v>
      </c>
      <c r="AA92" s="99" t="s">
        <v>695</v>
      </c>
      <c r="AB92" s="99" t="s">
        <v>695</v>
      </c>
      <c r="AC92" s="99" t="s">
        <v>695</v>
      </c>
      <c r="AD92" s="98" t="s">
        <v>395</v>
      </c>
      <c r="AE92" s="100">
        <v>0.2775710419485792</v>
      </c>
      <c r="AF92" s="100">
        <v>0.12</v>
      </c>
      <c r="AG92" s="98">
        <v>879.5669824086604</v>
      </c>
      <c r="AH92" s="98">
        <v>422.8687415426252</v>
      </c>
      <c r="AI92" s="100">
        <v>0.027999999999999997</v>
      </c>
      <c r="AJ92" s="100">
        <v>0.762457</v>
      </c>
      <c r="AK92" s="100" t="s">
        <v>695</v>
      </c>
      <c r="AL92" s="100">
        <v>0.751969</v>
      </c>
      <c r="AM92" s="100">
        <v>0.543113</v>
      </c>
      <c r="AN92" s="100">
        <v>0.572062</v>
      </c>
      <c r="AO92" s="98">
        <v>4566.982408660352</v>
      </c>
      <c r="AP92" s="158">
        <v>1.882901764</v>
      </c>
      <c r="AQ92" s="100">
        <v>0.07037037037037037</v>
      </c>
      <c r="AR92" s="100">
        <v>0.4318181818181818</v>
      </c>
      <c r="AS92" s="98">
        <v>608.9309878213802</v>
      </c>
      <c r="AT92" s="98">
        <v>879.5669824086604</v>
      </c>
      <c r="AU92" s="98">
        <v>186.06224627875508</v>
      </c>
      <c r="AV92" s="98">
        <v>1048.7144790257105</v>
      </c>
      <c r="AW92" s="98">
        <v>101.48849797023004</v>
      </c>
      <c r="AX92" s="98" t="s">
        <v>695</v>
      </c>
      <c r="AY92" s="98">
        <v>541.2719891745602</v>
      </c>
      <c r="AZ92" s="98">
        <v>1099.4587280108256</v>
      </c>
      <c r="BA92" s="101" t="s">
        <v>695</v>
      </c>
      <c r="BB92" s="101" t="s">
        <v>695</v>
      </c>
      <c r="BC92" s="101" t="s">
        <v>695</v>
      </c>
      <c r="BD92" s="158">
        <v>1.66498642</v>
      </c>
      <c r="BE92" s="158">
        <v>2.121413422</v>
      </c>
      <c r="BF92" s="162">
        <v>863</v>
      </c>
      <c r="BG92" s="162" t="s">
        <v>695</v>
      </c>
      <c r="BH92" s="162">
        <v>1270</v>
      </c>
      <c r="BI92" s="162">
        <v>893</v>
      </c>
      <c r="BJ92" s="162">
        <v>451</v>
      </c>
      <c r="BK92" s="97"/>
      <c r="BL92" s="97"/>
      <c r="BM92" s="97"/>
      <c r="BN92" s="97"/>
    </row>
    <row r="93" spans="1:66" ht="12.75">
      <c r="A93" s="79" t="s">
        <v>597</v>
      </c>
      <c r="B93" s="79" t="s">
        <v>300</v>
      </c>
      <c r="C93" s="79" t="s">
        <v>255</v>
      </c>
      <c r="D93" s="99">
        <v>13317</v>
      </c>
      <c r="E93" s="99">
        <v>2110</v>
      </c>
      <c r="F93" s="99" t="s">
        <v>418</v>
      </c>
      <c r="G93" s="99">
        <v>60</v>
      </c>
      <c r="H93" s="99">
        <v>21</v>
      </c>
      <c r="I93" s="99">
        <v>246</v>
      </c>
      <c r="J93" s="99">
        <v>1119</v>
      </c>
      <c r="K93" s="99" t="s">
        <v>695</v>
      </c>
      <c r="L93" s="99">
        <v>2380</v>
      </c>
      <c r="M93" s="99">
        <v>770</v>
      </c>
      <c r="N93" s="99">
        <v>389</v>
      </c>
      <c r="O93" s="99">
        <v>354</v>
      </c>
      <c r="P93" s="159">
        <v>354</v>
      </c>
      <c r="Q93" s="99">
        <v>25</v>
      </c>
      <c r="R93" s="99">
        <v>47</v>
      </c>
      <c r="S93" s="99">
        <v>71</v>
      </c>
      <c r="T93" s="99">
        <v>64</v>
      </c>
      <c r="U93" s="99">
        <v>12</v>
      </c>
      <c r="V93" s="99">
        <v>32</v>
      </c>
      <c r="W93" s="99">
        <v>11</v>
      </c>
      <c r="X93" s="99">
        <v>16</v>
      </c>
      <c r="Y93" s="99">
        <v>32</v>
      </c>
      <c r="Z93" s="99">
        <v>53</v>
      </c>
      <c r="AA93" s="99" t="s">
        <v>695</v>
      </c>
      <c r="AB93" s="99" t="s">
        <v>695</v>
      </c>
      <c r="AC93" s="99" t="s">
        <v>695</v>
      </c>
      <c r="AD93" s="98" t="s">
        <v>395</v>
      </c>
      <c r="AE93" s="100">
        <v>0.15844409401516857</v>
      </c>
      <c r="AF93" s="100">
        <v>0.13</v>
      </c>
      <c r="AG93" s="98">
        <v>450.5519261094841</v>
      </c>
      <c r="AH93" s="98">
        <v>157.69317413831945</v>
      </c>
      <c r="AI93" s="100">
        <v>0.018000000000000002</v>
      </c>
      <c r="AJ93" s="100">
        <v>0.750503</v>
      </c>
      <c r="AK93" s="100" t="s">
        <v>695</v>
      </c>
      <c r="AL93" s="100">
        <v>0.7616</v>
      </c>
      <c r="AM93" s="100">
        <v>0.523098</v>
      </c>
      <c r="AN93" s="100">
        <v>0.530696</v>
      </c>
      <c r="AO93" s="98">
        <v>2658.256364045956</v>
      </c>
      <c r="AP93" s="158">
        <v>1.4861459350000001</v>
      </c>
      <c r="AQ93" s="100">
        <v>0.07062146892655367</v>
      </c>
      <c r="AR93" s="100">
        <v>0.5319148936170213</v>
      </c>
      <c r="AS93" s="98">
        <v>533.1531125628895</v>
      </c>
      <c r="AT93" s="98">
        <v>480.5887211834497</v>
      </c>
      <c r="AU93" s="98">
        <v>90.11038522189682</v>
      </c>
      <c r="AV93" s="98">
        <v>240.29436059172485</v>
      </c>
      <c r="AW93" s="98">
        <v>82.60118645340542</v>
      </c>
      <c r="AX93" s="98">
        <v>120.14718029586243</v>
      </c>
      <c r="AY93" s="98">
        <v>240.29436059172485</v>
      </c>
      <c r="AZ93" s="98">
        <v>397.98753473004433</v>
      </c>
      <c r="BA93" s="100" t="s">
        <v>695</v>
      </c>
      <c r="BB93" s="100" t="s">
        <v>695</v>
      </c>
      <c r="BC93" s="100" t="s">
        <v>695</v>
      </c>
      <c r="BD93" s="158">
        <v>1.33534668</v>
      </c>
      <c r="BE93" s="158">
        <v>1.6493130489999999</v>
      </c>
      <c r="BF93" s="162">
        <v>1491</v>
      </c>
      <c r="BG93" s="162" t="s">
        <v>695</v>
      </c>
      <c r="BH93" s="162">
        <v>3125</v>
      </c>
      <c r="BI93" s="162">
        <v>1472</v>
      </c>
      <c r="BJ93" s="162">
        <v>733</v>
      </c>
      <c r="BK93" s="97"/>
      <c r="BL93" s="97"/>
      <c r="BM93" s="97"/>
      <c r="BN93" s="97"/>
    </row>
    <row r="94" spans="1:66" ht="12.75">
      <c r="A94" s="79" t="s">
        <v>656</v>
      </c>
      <c r="B94" s="79" t="s">
        <v>361</v>
      </c>
      <c r="C94" s="79" t="s">
        <v>255</v>
      </c>
      <c r="D94" s="99">
        <v>1807</v>
      </c>
      <c r="E94" s="99">
        <v>321</v>
      </c>
      <c r="F94" s="99" t="s">
        <v>418</v>
      </c>
      <c r="G94" s="99">
        <v>8</v>
      </c>
      <c r="H94" s="99">
        <v>6</v>
      </c>
      <c r="I94" s="99">
        <v>19</v>
      </c>
      <c r="J94" s="99">
        <v>173</v>
      </c>
      <c r="K94" s="99">
        <v>171</v>
      </c>
      <c r="L94" s="99">
        <v>285</v>
      </c>
      <c r="M94" s="99">
        <v>79</v>
      </c>
      <c r="N94" s="99">
        <v>66</v>
      </c>
      <c r="O94" s="99">
        <v>25</v>
      </c>
      <c r="P94" s="159">
        <v>25</v>
      </c>
      <c r="Q94" s="99" t="s">
        <v>695</v>
      </c>
      <c r="R94" s="99">
        <v>7</v>
      </c>
      <c r="S94" s="99" t="s">
        <v>695</v>
      </c>
      <c r="T94" s="99" t="s">
        <v>695</v>
      </c>
      <c r="U94" s="99" t="s">
        <v>695</v>
      </c>
      <c r="V94" s="99" t="s">
        <v>695</v>
      </c>
      <c r="W94" s="99" t="s">
        <v>695</v>
      </c>
      <c r="X94" s="99" t="s">
        <v>695</v>
      </c>
      <c r="Y94" s="99">
        <v>6</v>
      </c>
      <c r="Z94" s="99">
        <v>21</v>
      </c>
      <c r="AA94" s="99" t="s">
        <v>695</v>
      </c>
      <c r="AB94" s="99" t="s">
        <v>695</v>
      </c>
      <c r="AC94" s="99" t="s">
        <v>695</v>
      </c>
      <c r="AD94" s="98" t="s">
        <v>395</v>
      </c>
      <c r="AE94" s="100">
        <v>0.17764250138350857</v>
      </c>
      <c r="AF94" s="100">
        <v>0.14</v>
      </c>
      <c r="AG94" s="98">
        <v>442.7227448810183</v>
      </c>
      <c r="AH94" s="98">
        <v>332.0420586607637</v>
      </c>
      <c r="AI94" s="100">
        <v>0.011000000000000001</v>
      </c>
      <c r="AJ94" s="100">
        <v>0.816038</v>
      </c>
      <c r="AK94" s="100">
        <v>0.810427</v>
      </c>
      <c r="AL94" s="100">
        <v>0.753968</v>
      </c>
      <c r="AM94" s="100">
        <v>0.325103</v>
      </c>
      <c r="AN94" s="100">
        <v>0.47482</v>
      </c>
      <c r="AO94" s="98">
        <v>1383.5085777531822</v>
      </c>
      <c r="AP94" s="158">
        <v>0.7216470336999999</v>
      </c>
      <c r="AQ94" s="100" t="s">
        <v>695</v>
      </c>
      <c r="AR94" s="100" t="s">
        <v>695</v>
      </c>
      <c r="AS94" s="98" t="s">
        <v>695</v>
      </c>
      <c r="AT94" s="98" t="s">
        <v>695</v>
      </c>
      <c r="AU94" s="98" t="s">
        <v>695</v>
      </c>
      <c r="AV94" s="98" t="s">
        <v>695</v>
      </c>
      <c r="AW94" s="98" t="s">
        <v>695</v>
      </c>
      <c r="AX94" s="98" t="s">
        <v>695</v>
      </c>
      <c r="AY94" s="98">
        <v>332.0420586607637</v>
      </c>
      <c r="AZ94" s="98">
        <v>1162.147205312673</v>
      </c>
      <c r="BA94" s="100" t="s">
        <v>695</v>
      </c>
      <c r="BB94" s="100" t="s">
        <v>695</v>
      </c>
      <c r="BC94" s="100" t="s">
        <v>695</v>
      </c>
      <c r="BD94" s="158">
        <v>0.4670118713</v>
      </c>
      <c r="BE94" s="158">
        <v>1.0652933500000001</v>
      </c>
      <c r="BF94" s="162">
        <v>212</v>
      </c>
      <c r="BG94" s="162">
        <v>211</v>
      </c>
      <c r="BH94" s="162">
        <v>378</v>
      </c>
      <c r="BI94" s="162">
        <v>243</v>
      </c>
      <c r="BJ94" s="162">
        <v>139</v>
      </c>
      <c r="BK94" s="97"/>
      <c r="BL94" s="97"/>
      <c r="BM94" s="97"/>
      <c r="BN94" s="97"/>
    </row>
    <row r="95" spans="1:66" ht="12.75">
      <c r="A95" s="79" t="s">
        <v>680</v>
      </c>
      <c r="B95" s="79" t="s">
        <v>386</v>
      </c>
      <c r="C95" s="79" t="s">
        <v>255</v>
      </c>
      <c r="D95" s="99">
        <v>1995</v>
      </c>
      <c r="E95" s="99">
        <v>474</v>
      </c>
      <c r="F95" s="99" t="s">
        <v>418</v>
      </c>
      <c r="G95" s="99">
        <v>14</v>
      </c>
      <c r="H95" s="99" t="s">
        <v>695</v>
      </c>
      <c r="I95" s="99">
        <v>56</v>
      </c>
      <c r="J95" s="99">
        <v>228</v>
      </c>
      <c r="K95" s="99">
        <v>226</v>
      </c>
      <c r="L95" s="99">
        <v>386</v>
      </c>
      <c r="M95" s="99">
        <v>167</v>
      </c>
      <c r="N95" s="99">
        <v>81</v>
      </c>
      <c r="O95" s="99">
        <v>33</v>
      </c>
      <c r="P95" s="159">
        <v>33</v>
      </c>
      <c r="Q95" s="99">
        <v>7</v>
      </c>
      <c r="R95" s="99">
        <v>12</v>
      </c>
      <c r="S95" s="99">
        <v>6</v>
      </c>
      <c r="T95" s="99">
        <v>11</v>
      </c>
      <c r="U95" s="99" t="s">
        <v>695</v>
      </c>
      <c r="V95" s="99" t="s">
        <v>695</v>
      </c>
      <c r="W95" s="99" t="s">
        <v>695</v>
      </c>
      <c r="X95" s="99" t="s">
        <v>695</v>
      </c>
      <c r="Y95" s="99">
        <v>7</v>
      </c>
      <c r="Z95" s="99">
        <v>8</v>
      </c>
      <c r="AA95" s="99" t="s">
        <v>695</v>
      </c>
      <c r="AB95" s="99" t="s">
        <v>695</v>
      </c>
      <c r="AC95" s="99" t="s">
        <v>695</v>
      </c>
      <c r="AD95" s="98" t="s">
        <v>395</v>
      </c>
      <c r="AE95" s="100">
        <v>0.23759398496240602</v>
      </c>
      <c r="AF95" s="100">
        <v>0.14</v>
      </c>
      <c r="AG95" s="98">
        <v>701.7543859649123</v>
      </c>
      <c r="AH95" s="98" t="s">
        <v>695</v>
      </c>
      <c r="AI95" s="100">
        <v>0.027999999999999997</v>
      </c>
      <c r="AJ95" s="100">
        <v>0.762542</v>
      </c>
      <c r="AK95" s="100">
        <v>0.755853</v>
      </c>
      <c r="AL95" s="100">
        <v>0.91253</v>
      </c>
      <c r="AM95" s="100">
        <v>0.594306</v>
      </c>
      <c r="AN95" s="100">
        <v>0.613636</v>
      </c>
      <c r="AO95" s="98">
        <v>1654.1353383458647</v>
      </c>
      <c r="AP95" s="158">
        <v>0.7399925232</v>
      </c>
      <c r="AQ95" s="100">
        <v>0.21212121212121213</v>
      </c>
      <c r="AR95" s="100">
        <v>0.5833333333333334</v>
      </c>
      <c r="AS95" s="98">
        <v>300.7518796992481</v>
      </c>
      <c r="AT95" s="98">
        <v>551.3784461152882</v>
      </c>
      <c r="AU95" s="98" t="s">
        <v>695</v>
      </c>
      <c r="AV95" s="98" t="s">
        <v>695</v>
      </c>
      <c r="AW95" s="98" t="s">
        <v>695</v>
      </c>
      <c r="AX95" s="98" t="s">
        <v>695</v>
      </c>
      <c r="AY95" s="98">
        <v>350.87719298245617</v>
      </c>
      <c r="AZ95" s="98">
        <v>401.0025062656642</v>
      </c>
      <c r="BA95" s="100" t="s">
        <v>695</v>
      </c>
      <c r="BB95" s="100" t="s">
        <v>695</v>
      </c>
      <c r="BC95" s="100" t="s">
        <v>695</v>
      </c>
      <c r="BD95" s="158">
        <v>0.5093768311</v>
      </c>
      <c r="BE95" s="158">
        <v>1.039224701</v>
      </c>
      <c r="BF95" s="162">
        <v>299</v>
      </c>
      <c r="BG95" s="162">
        <v>299</v>
      </c>
      <c r="BH95" s="162">
        <v>423</v>
      </c>
      <c r="BI95" s="162">
        <v>281</v>
      </c>
      <c r="BJ95" s="162">
        <v>132</v>
      </c>
      <c r="BK95" s="97"/>
      <c r="BL95" s="97"/>
      <c r="BM95" s="97"/>
      <c r="BN95" s="97"/>
    </row>
    <row r="96" spans="1:66" ht="12.75">
      <c r="A96" s="79" t="s">
        <v>646</v>
      </c>
      <c r="B96" s="79" t="s">
        <v>351</v>
      </c>
      <c r="C96" s="79" t="s">
        <v>255</v>
      </c>
      <c r="D96" s="99">
        <v>8296</v>
      </c>
      <c r="E96" s="99">
        <v>2049</v>
      </c>
      <c r="F96" s="99" t="s">
        <v>418</v>
      </c>
      <c r="G96" s="99">
        <v>48</v>
      </c>
      <c r="H96" s="99">
        <v>24</v>
      </c>
      <c r="I96" s="99">
        <v>198</v>
      </c>
      <c r="J96" s="99">
        <v>930</v>
      </c>
      <c r="K96" s="99">
        <v>917</v>
      </c>
      <c r="L96" s="99">
        <v>1463</v>
      </c>
      <c r="M96" s="99">
        <v>619</v>
      </c>
      <c r="N96" s="99">
        <v>338</v>
      </c>
      <c r="O96" s="99">
        <v>237</v>
      </c>
      <c r="P96" s="159">
        <v>237</v>
      </c>
      <c r="Q96" s="99">
        <v>31</v>
      </c>
      <c r="R96" s="99">
        <v>56</v>
      </c>
      <c r="S96" s="99">
        <v>39</v>
      </c>
      <c r="T96" s="99">
        <v>39</v>
      </c>
      <c r="U96" s="99">
        <v>7</v>
      </c>
      <c r="V96" s="99">
        <v>69</v>
      </c>
      <c r="W96" s="99">
        <v>8</v>
      </c>
      <c r="X96" s="99">
        <v>7</v>
      </c>
      <c r="Y96" s="99">
        <v>29</v>
      </c>
      <c r="Z96" s="99">
        <v>55</v>
      </c>
      <c r="AA96" s="99" t="s">
        <v>695</v>
      </c>
      <c r="AB96" s="99" t="s">
        <v>695</v>
      </c>
      <c r="AC96" s="99" t="s">
        <v>695</v>
      </c>
      <c r="AD96" s="98" t="s">
        <v>395</v>
      </c>
      <c r="AE96" s="100">
        <v>0.24698649951783994</v>
      </c>
      <c r="AF96" s="100">
        <v>0.12</v>
      </c>
      <c r="AG96" s="98">
        <v>578.5920925747348</v>
      </c>
      <c r="AH96" s="98">
        <v>289.2960462873674</v>
      </c>
      <c r="AI96" s="100">
        <v>0.024</v>
      </c>
      <c r="AJ96" s="100">
        <v>0.780201</v>
      </c>
      <c r="AK96" s="100">
        <v>0.781756</v>
      </c>
      <c r="AL96" s="100">
        <v>0.785293</v>
      </c>
      <c r="AM96" s="100">
        <v>0.529512</v>
      </c>
      <c r="AN96" s="100">
        <v>0.58885</v>
      </c>
      <c r="AO96" s="98">
        <v>2856.798457087753</v>
      </c>
      <c r="AP96" s="158">
        <v>1.265443573</v>
      </c>
      <c r="AQ96" s="100">
        <v>0.1308016877637131</v>
      </c>
      <c r="AR96" s="100">
        <v>0.5535714285714286</v>
      </c>
      <c r="AS96" s="98">
        <v>470.10607521697204</v>
      </c>
      <c r="AT96" s="98">
        <v>470.10607521697204</v>
      </c>
      <c r="AU96" s="98">
        <v>84.37801350048215</v>
      </c>
      <c r="AV96" s="98">
        <v>831.7261330761813</v>
      </c>
      <c r="AW96" s="98">
        <v>96.43201542912247</v>
      </c>
      <c r="AX96" s="98">
        <v>84.37801350048215</v>
      </c>
      <c r="AY96" s="98">
        <v>349.56605593056895</v>
      </c>
      <c r="AZ96" s="98">
        <v>662.970106075217</v>
      </c>
      <c r="BA96" s="100" t="s">
        <v>695</v>
      </c>
      <c r="BB96" s="100" t="s">
        <v>695</v>
      </c>
      <c r="BC96" s="100" t="s">
        <v>695</v>
      </c>
      <c r="BD96" s="158">
        <v>1.109451065</v>
      </c>
      <c r="BE96" s="158">
        <v>1.437226715</v>
      </c>
      <c r="BF96" s="162">
        <v>1192</v>
      </c>
      <c r="BG96" s="162">
        <v>1173</v>
      </c>
      <c r="BH96" s="162">
        <v>1863</v>
      </c>
      <c r="BI96" s="162">
        <v>1169</v>
      </c>
      <c r="BJ96" s="162">
        <v>574</v>
      </c>
      <c r="BK96" s="97"/>
      <c r="BL96" s="97"/>
      <c r="BM96" s="97"/>
      <c r="BN96" s="97"/>
    </row>
    <row r="97" spans="1:66" ht="12.75">
      <c r="A97" s="79" t="s">
        <v>618</v>
      </c>
      <c r="B97" s="79" t="s">
        <v>322</v>
      </c>
      <c r="C97" s="79" t="s">
        <v>255</v>
      </c>
      <c r="D97" s="99">
        <v>10056</v>
      </c>
      <c r="E97" s="99">
        <v>2496</v>
      </c>
      <c r="F97" s="99" t="s">
        <v>418</v>
      </c>
      <c r="G97" s="99">
        <v>56</v>
      </c>
      <c r="H97" s="99">
        <v>45</v>
      </c>
      <c r="I97" s="99">
        <v>229</v>
      </c>
      <c r="J97" s="99">
        <v>1269</v>
      </c>
      <c r="K97" s="99">
        <v>1238</v>
      </c>
      <c r="L97" s="99">
        <v>1818</v>
      </c>
      <c r="M97" s="99">
        <v>935</v>
      </c>
      <c r="N97" s="99">
        <v>459</v>
      </c>
      <c r="O97" s="99">
        <v>346</v>
      </c>
      <c r="P97" s="159">
        <v>346</v>
      </c>
      <c r="Q97" s="99">
        <v>34</v>
      </c>
      <c r="R97" s="99">
        <v>68</v>
      </c>
      <c r="S97" s="99">
        <v>67</v>
      </c>
      <c r="T97" s="99">
        <v>77</v>
      </c>
      <c r="U97" s="99">
        <v>13</v>
      </c>
      <c r="V97" s="99">
        <v>51</v>
      </c>
      <c r="W97" s="99">
        <v>9</v>
      </c>
      <c r="X97" s="99">
        <v>14</v>
      </c>
      <c r="Y97" s="99">
        <v>36</v>
      </c>
      <c r="Z97" s="99">
        <v>96</v>
      </c>
      <c r="AA97" s="99" t="s">
        <v>695</v>
      </c>
      <c r="AB97" s="99" t="s">
        <v>695</v>
      </c>
      <c r="AC97" s="99" t="s">
        <v>695</v>
      </c>
      <c r="AD97" s="98" t="s">
        <v>395</v>
      </c>
      <c r="AE97" s="100">
        <v>0.24821002386634844</v>
      </c>
      <c r="AF97" s="100">
        <v>0.12</v>
      </c>
      <c r="AG97" s="98">
        <v>556.8814638027048</v>
      </c>
      <c r="AH97" s="98">
        <v>447.4940334128878</v>
      </c>
      <c r="AI97" s="100">
        <v>0.023</v>
      </c>
      <c r="AJ97" s="100">
        <v>0.815029</v>
      </c>
      <c r="AK97" s="100">
        <v>0.813403</v>
      </c>
      <c r="AL97" s="100">
        <v>0.813059</v>
      </c>
      <c r="AM97" s="100">
        <v>0.580385</v>
      </c>
      <c r="AN97" s="100">
        <v>0.586957</v>
      </c>
      <c r="AO97" s="98">
        <v>3440.7319013524266</v>
      </c>
      <c r="AP97" s="158">
        <v>1.508820953</v>
      </c>
      <c r="AQ97" s="100">
        <v>0.09826589595375723</v>
      </c>
      <c r="AR97" s="100">
        <v>0.5</v>
      </c>
      <c r="AS97" s="98">
        <v>666.2688941925219</v>
      </c>
      <c r="AT97" s="98">
        <v>765.7120127287192</v>
      </c>
      <c r="AU97" s="98">
        <v>129.2760540970565</v>
      </c>
      <c r="AV97" s="98">
        <v>507.1599045346062</v>
      </c>
      <c r="AW97" s="98">
        <v>89.49880668257757</v>
      </c>
      <c r="AX97" s="98">
        <v>139.2203659506762</v>
      </c>
      <c r="AY97" s="98">
        <v>357.99522673031026</v>
      </c>
      <c r="AZ97" s="98">
        <v>954.653937947494</v>
      </c>
      <c r="BA97" s="101" t="s">
        <v>695</v>
      </c>
      <c r="BB97" s="101" t="s">
        <v>695</v>
      </c>
      <c r="BC97" s="101" t="s">
        <v>695</v>
      </c>
      <c r="BD97" s="158">
        <v>1.354008789</v>
      </c>
      <c r="BE97" s="158">
        <v>1.6764823910000002</v>
      </c>
      <c r="BF97" s="162">
        <v>1557</v>
      </c>
      <c r="BG97" s="162">
        <v>1522</v>
      </c>
      <c r="BH97" s="162">
        <v>2236</v>
      </c>
      <c r="BI97" s="162">
        <v>1611</v>
      </c>
      <c r="BJ97" s="162">
        <v>782</v>
      </c>
      <c r="BK97" s="97"/>
      <c r="BL97" s="97"/>
      <c r="BM97" s="97"/>
      <c r="BN97" s="97"/>
    </row>
    <row r="98" spans="1:66" ht="12.75">
      <c r="A98" s="79" t="s">
        <v>590</v>
      </c>
      <c r="B98" s="79" t="s">
        <v>293</v>
      </c>
      <c r="C98" s="79" t="s">
        <v>255</v>
      </c>
      <c r="D98" s="99">
        <v>9599</v>
      </c>
      <c r="E98" s="99">
        <v>1972</v>
      </c>
      <c r="F98" s="99" t="s">
        <v>418</v>
      </c>
      <c r="G98" s="99">
        <v>59</v>
      </c>
      <c r="H98" s="99">
        <v>17</v>
      </c>
      <c r="I98" s="99">
        <v>142</v>
      </c>
      <c r="J98" s="99">
        <v>982</v>
      </c>
      <c r="K98" s="99">
        <v>890</v>
      </c>
      <c r="L98" s="99">
        <v>1749</v>
      </c>
      <c r="M98" s="99">
        <v>490</v>
      </c>
      <c r="N98" s="99">
        <v>387</v>
      </c>
      <c r="O98" s="99">
        <v>234</v>
      </c>
      <c r="P98" s="159">
        <v>234</v>
      </c>
      <c r="Q98" s="99">
        <v>19</v>
      </c>
      <c r="R98" s="99">
        <v>34</v>
      </c>
      <c r="S98" s="99">
        <v>67</v>
      </c>
      <c r="T98" s="99">
        <v>44</v>
      </c>
      <c r="U98" s="99">
        <v>9</v>
      </c>
      <c r="V98" s="99">
        <v>39</v>
      </c>
      <c r="W98" s="99">
        <v>64</v>
      </c>
      <c r="X98" s="99">
        <v>45</v>
      </c>
      <c r="Y98" s="99">
        <v>101</v>
      </c>
      <c r="Z98" s="99">
        <v>31</v>
      </c>
      <c r="AA98" s="99" t="s">
        <v>695</v>
      </c>
      <c r="AB98" s="99" t="s">
        <v>695</v>
      </c>
      <c r="AC98" s="99" t="s">
        <v>695</v>
      </c>
      <c r="AD98" s="98" t="s">
        <v>395</v>
      </c>
      <c r="AE98" s="100">
        <v>0.2054380664652568</v>
      </c>
      <c r="AF98" s="100">
        <v>0.14</v>
      </c>
      <c r="AG98" s="98">
        <v>614.6473590999062</v>
      </c>
      <c r="AH98" s="98">
        <v>177.1017814355662</v>
      </c>
      <c r="AI98" s="100">
        <v>0.015</v>
      </c>
      <c r="AJ98" s="100">
        <v>0.750191</v>
      </c>
      <c r="AK98" s="100">
        <v>0.902637</v>
      </c>
      <c r="AL98" s="100">
        <v>0.805249</v>
      </c>
      <c r="AM98" s="100">
        <v>0.400654</v>
      </c>
      <c r="AN98" s="100">
        <v>0.581955</v>
      </c>
      <c r="AO98" s="98">
        <v>2437.7539327013233</v>
      </c>
      <c r="AP98" s="158">
        <v>1.185039597</v>
      </c>
      <c r="AQ98" s="100">
        <v>0.0811965811965812</v>
      </c>
      <c r="AR98" s="100">
        <v>0.5588235294117647</v>
      </c>
      <c r="AS98" s="98">
        <v>697.9893738931139</v>
      </c>
      <c r="AT98" s="98">
        <v>458.38108136264196</v>
      </c>
      <c r="AU98" s="98">
        <v>93.75976664235858</v>
      </c>
      <c r="AV98" s="98">
        <v>406.2923221168872</v>
      </c>
      <c r="AW98" s="98">
        <v>666.736118345661</v>
      </c>
      <c r="AX98" s="98">
        <v>468.7988332117929</v>
      </c>
      <c r="AY98" s="98">
        <v>1052.1929367642463</v>
      </c>
      <c r="AZ98" s="98">
        <v>322.95030732367957</v>
      </c>
      <c r="BA98" s="101" t="s">
        <v>695</v>
      </c>
      <c r="BB98" s="101" t="s">
        <v>695</v>
      </c>
      <c r="BC98" s="101" t="s">
        <v>695</v>
      </c>
      <c r="BD98" s="158">
        <v>1.038056259</v>
      </c>
      <c r="BE98" s="158">
        <v>1.3470018010000002</v>
      </c>
      <c r="BF98" s="162">
        <v>1309</v>
      </c>
      <c r="BG98" s="162">
        <v>986</v>
      </c>
      <c r="BH98" s="162">
        <v>2172</v>
      </c>
      <c r="BI98" s="162">
        <v>1223</v>
      </c>
      <c r="BJ98" s="162">
        <v>665</v>
      </c>
      <c r="BK98" s="97"/>
      <c r="BL98" s="97"/>
      <c r="BM98" s="97"/>
      <c r="BN98" s="97"/>
    </row>
    <row r="99" spans="1:66" ht="12.75">
      <c r="A99" s="79" t="s">
        <v>586</v>
      </c>
      <c r="B99" s="79" t="s">
        <v>288</v>
      </c>
      <c r="C99" s="79" t="s">
        <v>255</v>
      </c>
      <c r="D99" s="99">
        <v>10847</v>
      </c>
      <c r="E99" s="99">
        <v>2038</v>
      </c>
      <c r="F99" s="99" t="s">
        <v>415</v>
      </c>
      <c r="G99" s="99">
        <v>70</v>
      </c>
      <c r="H99" s="99">
        <v>28</v>
      </c>
      <c r="I99" s="99">
        <v>184</v>
      </c>
      <c r="J99" s="99">
        <v>1057</v>
      </c>
      <c r="K99" s="99">
        <v>1042</v>
      </c>
      <c r="L99" s="99">
        <v>1863</v>
      </c>
      <c r="M99" s="99">
        <v>708</v>
      </c>
      <c r="N99" s="99">
        <v>355</v>
      </c>
      <c r="O99" s="99">
        <v>277</v>
      </c>
      <c r="P99" s="159">
        <v>277</v>
      </c>
      <c r="Q99" s="99">
        <v>28</v>
      </c>
      <c r="R99" s="99">
        <v>62</v>
      </c>
      <c r="S99" s="99">
        <v>59</v>
      </c>
      <c r="T99" s="99">
        <v>49</v>
      </c>
      <c r="U99" s="99">
        <v>18</v>
      </c>
      <c r="V99" s="99">
        <v>34</v>
      </c>
      <c r="W99" s="99">
        <v>9</v>
      </c>
      <c r="X99" s="99">
        <v>7</v>
      </c>
      <c r="Y99" s="99">
        <v>27</v>
      </c>
      <c r="Z99" s="99">
        <v>66</v>
      </c>
      <c r="AA99" s="99" t="s">
        <v>695</v>
      </c>
      <c r="AB99" s="99" t="s">
        <v>695</v>
      </c>
      <c r="AC99" s="99" t="s">
        <v>695</v>
      </c>
      <c r="AD99" s="98" t="s">
        <v>395</v>
      </c>
      <c r="AE99" s="100">
        <v>0.18788605144279524</v>
      </c>
      <c r="AF99" s="100">
        <v>0.19</v>
      </c>
      <c r="AG99" s="98">
        <v>645.3397252696598</v>
      </c>
      <c r="AH99" s="98">
        <v>258.13589010786393</v>
      </c>
      <c r="AI99" s="100">
        <v>0.017</v>
      </c>
      <c r="AJ99" s="100">
        <v>0.78065</v>
      </c>
      <c r="AK99" s="100">
        <v>0.779357</v>
      </c>
      <c r="AL99" s="100">
        <v>0.740755</v>
      </c>
      <c r="AM99" s="100">
        <v>0.530337</v>
      </c>
      <c r="AN99" s="100">
        <v>0.548686</v>
      </c>
      <c r="AO99" s="98">
        <v>2553.7014842813683</v>
      </c>
      <c r="AP99" s="158">
        <v>1.2959057619999999</v>
      </c>
      <c r="AQ99" s="100">
        <v>0.10108303249097472</v>
      </c>
      <c r="AR99" s="100">
        <v>0.45161290322580644</v>
      </c>
      <c r="AS99" s="98">
        <v>543.929197012999</v>
      </c>
      <c r="AT99" s="98">
        <v>451.73780768876185</v>
      </c>
      <c r="AU99" s="98">
        <v>165.9445007836268</v>
      </c>
      <c r="AV99" s="98">
        <v>313.4507237024062</v>
      </c>
      <c r="AW99" s="98">
        <v>82.9722503918134</v>
      </c>
      <c r="AX99" s="98">
        <v>64.53397252696598</v>
      </c>
      <c r="AY99" s="98">
        <v>248.91675117544023</v>
      </c>
      <c r="AZ99" s="98">
        <v>608.463169539965</v>
      </c>
      <c r="BA99" s="100" t="s">
        <v>695</v>
      </c>
      <c r="BB99" s="100" t="s">
        <v>695</v>
      </c>
      <c r="BC99" s="100" t="s">
        <v>695</v>
      </c>
      <c r="BD99" s="158">
        <v>1.147774582</v>
      </c>
      <c r="BE99" s="158">
        <v>1.4578506469999999</v>
      </c>
      <c r="BF99" s="162">
        <v>1354</v>
      </c>
      <c r="BG99" s="162">
        <v>1337</v>
      </c>
      <c r="BH99" s="162">
        <v>2515</v>
      </c>
      <c r="BI99" s="162">
        <v>1335</v>
      </c>
      <c r="BJ99" s="162">
        <v>647</v>
      </c>
      <c r="BK99" s="97"/>
      <c r="BL99" s="97"/>
      <c r="BM99" s="97"/>
      <c r="BN99" s="97"/>
    </row>
    <row r="100" spans="1:66" ht="12.75">
      <c r="A100" s="79" t="s">
        <v>598</v>
      </c>
      <c r="B100" s="79" t="s">
        <v>301</v>
      </c>
      <c r="C100" s="79" t="s">
        <v>255</v>
      </c>
      <c r="D100" s="99">
        <v>10079</v>
      </c>
      <c r="E100" s="99">
        <v>1610</v>
      </c>
      <c r="F100" s="99" t="s">
        <v>416</v>
      </c>
      <c r="G100" s="99">
        <v>53</v>
      </c>
      <c r="H100" s="99">
        <v>16</v>
      </c>
      <c r="I100" s="99">
        <v>164</v>
      </c>
      <c r="J100" s="99">
        <v>787</v>
      </c>
      <c r="K100" s="99">
        <v>776</v>
      </c>
      <c r="L100" s="99">
        <v>1646</v>
      </c>
      <c r="M100" s="99">
        <v>497</v>
      </c>
      <c r="N100" s="99">
        <v>243</v>
      </c>
      <c r="O100" s="99">
        <v>262</v>
      </c>
      <c r="P100" s="159">
        <v>262</v>
      </c>
      <c r="Q100" s="99">
        <v>34</v>
      </c>
      <c r="R100" s="99">
        <v>53</v>
      </c>
      <c r="S100" s="99">
        <v>29</v>
      </c>
      <c r="T100" s="99">
        <v>42</v>
      </c>
      <c r="U100" s="99">
        <v>9</v>
      </c>
      <c r="V100" s="99">
        <v>37</v>
      </c>
      <c r="W100" s="99">
        <v>10</v>
      </c>
      <c r="X100" s="99">
        <v>9</v>
      </c>
      <c r="Y100" s="99">
        <v>29</v>
      </c>
      <c r="Z100" s="99">
        <v>62</v>
      </c>
      <c r="AA100" s="99" t="s">
        <v>695</v>
      </c>
      <c r="AB100" s="99" t="s">
        <v>695</v>
      </c>
      <c r="AC100" s="99" t="s">
        <v>695</v>
      </c>
      <c r="AD100" s="98" t="s">
        <v>395</v>
      </c>
      <c r="AE100" s="100">
        <v>0.15973806925290207</v>
      </c>
      <c r="AF100" s="100">
        <v>0.31</v>
      </c>
      <c r="AG100" s="98">
        <v>525.8458180375037</v>
      </c>
      <c r="AH100" s="98">
        <v>158.7459073320766</v>
      </c>
      <c r="AI100" s="100">
        <v>0.016</v>
      </c>
      <c r="AJ100" s="100">
        <v>0.71093</v>
      </c>
      <c r="AK100" s="100">
        <v>0.715207</v>
      </c>
      <c r="AL100" s="100">
        <v>0.723516</v>
      </c>
      <c r="AM100" s="100">
        <v>0.463619</v>
      </c>
      <c r="AN100" s="100">
        <v>0.45591</v>
      </c>
      <c r="AO100" s="98">
        <v>2599.464232562754</v>
      </c>
      <c r="AP100" s="158">
        <v>1.469355927</v>
      </c>
      <c r="AQ100" s="100">
        <v>0.1297709923664122</v>
      </c>
      <c r="AR100" s="100">
        <v>0.6415094339622641</v>
      </c>
      <c r="AS100" s="98">
        <v>287.7269570393888</v>
      </c>
      <c r="AT100" s="98">
        <v>416.7080067467011</v>
      </c>
      <c r="AU100" s="98">
        <v>89.29457287429308</v>
      </c>
      <c r="AV100" s="98">
        <v>367.09991070542713</v>
      </c>
      <c r="AW100" s="98">
        <v>99.21619208254788</v>
      </c>
      <c r="AX100" s="98">
        <v>89.29457287429308</v>
      </c>
      <c r="AY100" s="98">
        <v>287.7269570393888</v>
      </c>
      <c r="AZ100" s="98">
        <v>615.1403909117968</v>
      </c>
      <c r="BA100" s="100" t="s">
        <v>695</v>
      </c>
      <c r="BB100" s="100" t="s">
        <v>695</v>
      </c>
      <c r="BC100" s="100" t="s">
        <v>695</v>
      </c>
      <c r="BD100" s="158">
        <v>1.296805878</v>
      </c>
      <c r="BE100" s="158">
        <v>1.6584741210000002</v>
      </c>
      <c r="BF100" s="162">
        <v>1107</v>
      </c>
      <c r="BG100" s="162">
        <v>1085</v>
      </c>
      <c r="BH100" s="162">
        <v>2275</v>
      </c>
      <c r="BI100" s="162">
        <v>1072</v>
      </c>
      <c r="BJ100" s="162">
        <v>533</v>
      </c>
      <c r="BK100" s="97"/>
      <c r="BL100" s="97"/>
      <c r="BM100" s="97"/>
      <c r="BN100" s="97"/>
    </row>
    <row r="101" spans="1:66" ht="12.75">
      <c r="A101" s="79" t="s">
        <v>603</v>
      </c>
      <c r="B101" s="79" t="s">
        <v>306</v>
      </c>
      <c r="C101" s="79" t="s">
        <v>255</v>
      </c>
      <c r="D101" s="99">
        <v>9004</v>
      </c>
      <c r="E101" s="99">
        <v>1963</v>
      </c>
      <c r="F101" s="99" t="s">
        <v>417</v>
      </c>
      <c r="G101" s="99">
        <v>49</v>
      </c>
      <c r="H101" s="99">
        <v>15</v>
      </c>
      <c r="I101" s="99">
        <v>208</v>
      </c>
      <c r="J101" s="99">
        <v>1066</v>
      </c>
      <c r="K101" s="99">
        <v>27</v>
      </c>
      <c r="L101" s="99">
        <v>1684</v>
      </c>
      <c r="M101" s="99">
        <v>718</v>
      </c>
      <c r="N101" s="99">
        <v>369</v>
      </c>
      <c r="O101" s="99">
        <v>231</v>
      </c>
      <c r="P101" s="159">
        <v>231</v>
      </c>
      <c r="Q101" s="99">
        <v>23</v>
      </c>
      <c r="R101" s="99">
        <v>49</v>
      </c>
      <c r="S101" s="99">
        <v>26</v>
      </c>
      <c r="T101" s="99">
        <v>44</v>
      </c>
      <c r="U101" s="99">
        <v>6</v>
      </c>
      <c r="V101" s="99">
        <v>48</v>
      </c>
      <c r="W101" s="99">
        <v>6</v>
      </c>
      <c r="X101" s="99">
        <v>12</v>
      </c>
      <c r="Y101" s="99">
        <v>22</v>
      </c>
      <c r="Z101" s="99">
        <v>36</v>
      </c>
      <c r="AA101" s="99" t="s">
        <v>695</v>
      </c>
      <c r="AB101" s="99" t="s">
        <v>695</v>
      </c>
      <c r="AC101" s="99" t="s">
        <v>695</v>
      </c>
      <c r="AD101" s="98" t="s">
        <v>395</v>
      </c>
      <c r="AE101" s="100">
        <v>0.21801421590404266</v>
      </c>
      <c r="AF101" s="100">
        <v>0.12</v>
      </c>
      <c r="AG101" s="98">
        <v>544.2025766326077</v>
      </c>
      <c r="AH101" s="98">
        <v>166.59262549977788</v>
      </c>
      <c r="AI101" s="100">
        <v>0.023</v>
      </c>
      <c r="AJ101" s="100">
        <v>0.8003</v>
      </c>
      <c r="AK101" s="100">
        <v>0.509434</v>
      </c>
      <c r="AL101" s="100">
        <v>0.810395</v>
      </c>
      <c r="AM101" s="100">
        <v>0.565354</v>
      </c>
      <c r="AN101" s="100">
        <v>0.571207</v>
      </c>
      <c r="AO101" s="98">
        <v>2565.5264326965794</v>
      </c>
      <c r="AP101" s="158">
        <v>1.186547241</v>
      </c>
      <c r="AQ101" s="100">
        <v>0.09956709956709957</v>
      </c>
      <c r="AR101" s="100">
        <v>0.46938775510204084</v>
      </c>
      <c r="AS101" s="98">
        <v>288.7605508662817</v>
      </c>
      <c r="AT101" s="98">
        <v>488.6717014660151</v>
      </c>
      <c r="AU101" s="98">
        <v>66.63705019991114</v>
      </c>
      <c r="AV101" s="98">
        <v>533.0964015992892</v>
      </c>
      <c r="AW101" s="98">
        <v>66.63705019991114</v>
      </c>
      <c r="AX101" s="98">
        <v>133.2741003998223</v>
      </c>
      <c r="AY101" s="98">
        <v>244.33585073300756</v>
      </c>
      <c r="AZ101" s="98">
        <v>399.8223011994669</v>
      </c>
      <c r="BA101" s="100" t="s">
        <v>695</v>
      </c>
      <c r="BB101" s="100" t="s">
        <v>695</v>
      </c>
      <c r="BC101" s="100" t="s">
        <v>695</v>
      </c>
      <c r="BD101" s="158">
        <v>1.038456345</v>
      </c>
      <c r="BE101" s="158">
        <v>1.349832916</v>
      </c>
      <c r="BF101" s="162">
        <v>1332</v>
      </c>
      <c r="BG101" s="162">
        <v>53</v>
      </c>
      <c r="BH101" s="162">
        <v>2078</v>
      </c>
      <c r="BI101" s="162">
        <v>1270</v>
      </c>
      <c r="BJ101" s="162">
        <v>646</v>
      </c>
      <c r="BK101" s="97"/>
      <c r="BL101" s="97"/>
      <c r="BM101" s="97"/>
      <c r="BN101" s="97"/>
    </row>
    <row r="102" spans="1:66" ht="12.75">
      <c r="A102" s="79" t="s">
        <v>611</v>
      </c>
      <c r="B102" s="79" t="s">
        <v>315</v>
      </c>
      <c r="C102" s="79" t="s">
        <v>255</v>
      </c>
      <c r="D102" s="99">
        <v>9602</v>
      </c>
      <c r="E102" s="99">
        <v>1290</v>
      </c>
      <c r="F102" s="99" t="s">
        <v>415</v>
      </c>
      <c r="G102" s="99">
        <v>39</v>
      </c>
      <c r="H102" s="99">
        <v>25</v>
      </c>
      <c r="I102" s="99">
        <v>136</v>
      </c>
      <c r="J102" s="99">
        <v>789</v>
      </c>
      <c r="K102" s="99" t="s">
        <v>695</v>
      </c>
      <c r="L102" s="99">
        <v>1641</v>
      </c>
      <c r="M102" s="99">
        <v>504</v>
      </c>
      <c r="N102" s="99">
        <v>256</v>
      </c>
      <c r="O102" s="99">
        <v>202</v>
      </c>
      <c r="P102" s="159">
        <v>202</v>
      </c>
      <c r="Q102" s="99">
        <v>28</v>
      </c>
      <c r="R102" s="99">
        <v>45</v>
      </c>
      <c r="S102" s="99">
        <v>32</v>
      </c>
      <c r="T102" s="99">
        <v>31</v>
      </c>
      <c r="U102" s="99">
        <v>14</v>
      </c>
      <c r="V102" s="99">
        <v>37</v>
      </c>
      <c r="W102" s="99">
        <v>12</v>
      </c>
      <c r="X102" s="99">
        <v>8</v>
      </c>
      <c r="Y102" s="99">
        <v>29</v>
      </c>
      <c r="Z102" s="99">
        <v>51</v>
      </c>
      <c r="AA102" s="99" t="s">
        <v>695</v>
      </c>
      <c r="AB102" s="99" t="s">
        <v>695</v>
      </c>
      <c r="AC102" s="99" t="s">
        <v>695</v>
      </c>
      <c r="AD102" s="98" t="s">
        <v>395</v>
      </c>
      <c r="AE102" s="100">
        <v>0.1343470110393668</v>
      </c>
      <c r="AF102" s="100">
        <v>0.21</v>
      </c>
      <c r="AG102" s="98">
        <v>406.16538221203916</v>
      </c>
      <c r="AH102" s="98">
        <v>260.3624244948969</v>
      </c>
      <c r="AI102" s="100">
        <v>0.013999999999999999</v>
      </c>
      <c r="AJ102" s="100">
        <v>0.705725</v>
      </c>
      <c r="AK102" s="100" t="s">
        <v>695</v>
      </c>
      <c r="AL102" s="100">
        <v>0.718476</v>
      </c>
      <c r="AM102" s="100">
        <v>0.506024</v>
      </c>
      <c r="AN102" s="100">
        <v>0.515091</v>
      </c>
      <c r="AO102" s="98">
        <v>2103.728389918767</v>
      </c>
      <c r="AP102" s="158">
        <v>1.2395105739999999</v>
      </c>
      <c r="AQ102" s="100">
        <v>0.13861386138613863</v>
      </c>
      <c r="AR102" s="100">
        <v>0.6222222222222222</v>
      </c>
      <c r="AS102" s="98">
        <v>333.26390335346804</v>
      </c>
      <c r="AT102" s="98">
        <v>322.84940637367214</v>
      </c>
      <c r="AU102" s="98">
        <v>145.80295771714225</v>
      </c>
      <c r="AV102" s="98">
        <v>385.3363882524474</v>
      </c>
      <c r="AW102" s="98">
        <v>124.97396375755051</v>
      </c>
      <c r="AX102" s="98">
        <v>83.31597583836701</v>
      </c>
      <c r="AY102" s="98">
        <v>302.0204124140804</v>
      </c>
      <c r="AZ102" s="98">
        <v>531.1393459695896</v>
      </c>
      <c r="BA102" s="100" t="s">
        <v>695</v>
      </c>
      <c r="BB102" s="100" t="s">
        <v>695</v>
      </c>
      <c r="BC102" s="100" t="s">
        <v>695</v>
      </c>
      <c r="BD102" s="158">
        <v>1.074462891</v>
      </c>
      <c r="BE102" s="158">
        <v>1.422736969</v>
      </c>
      <c r="BF102" s="162">
        <v>1118</v>
      </c>
      <c r="BG102" s="162" t="s">
        <v>695</v>
      </c>
      <c r="BH102" s="162">
        <v>2284</v>
      </c>
      <c r="BI102" s="162">
        <v>996</v>
      </c>
      <c r="BJ102" s="162">
        <v>497</v>
      </c>
      <c r="BK102" s="97"/>
      <c r="BL102" s="97"/>
      <c r="BM102" s="97"/>
      <c r="BN102" s="97"/>
    </row>
    <row r="103" spans="1:66" ht="12.75">
      <c r="A103" s="79" t="s">
        <v>678</v>
      </c>
      <c r="B103" s="79" t="s">
        <v>384</v>
      </c>
      <c r="C103" s="79" t="s">
        <v>255</v>
      </c>
      <c r="D103" s="99">
        <v>5473</v>
      </c>
      <c r="E103" s="99">
        <v>903</v>
      </c>
      <c r="F103" s="99" t="s">
        <v>417</v>
      </c>
      <c r="G103" s="99">
        <v>19</v>
      </c>
      <c r="H103" s="99">
        <v>14</v>
      </c>
      <c r="I103" s="99">
        <v>95</v>
      </c>
      <c r="J103" s="99">
        <v>472</v>
      </c>
      <c r="K103" s="99">
        <v>6</v>
      </c>
      <c r="L103" s="99">
        <v>1032</v>
      </c>
      <c r="M103" s="99">
        <v>354</v>
      </c>
      <c r="N103" s="99">
        <v>186</v>
      </c>
      <c r="O103" s="99">
        <v>63</v>
      </c>
      <c r="P103" s="159">
        <v>63</v>
      </c>
      <c r="Q103" s="99">
        <v>13</v>
      </c>
      <c r="R103" s="99">
        <v>24</v>
      </c>
      <c r="S103" s="99">
        <v>20</v>
      </c>
      <c r="T103" s="99">
        <v>7</v>
      </c>
      <c r="U103" s="99" t="s">
        <v>695</v>
      </c>
      <c r="V103" s="99">
        <v>7</v>
      </c>
      <c r="W103" s="99">
        <v>7</v>
      </c>
      <c r="X103" s="99" t="s">
        <v>695</v>
      </c>
      <c r="Y103" s="99">
        <v>13</v>
      </c>
      <c r="Z103" s="99">
        <v>15</v>
      </c>
      <c r="AA103" s="99" t="s">
        <v>695</v>
      </c>
      <c r="AB103" s="99" t="s">
        <v>695</v>
      </c>
      <c r="AC103" s="99" t="s">
        <v>695</v>
      </c>
      <c r="AD103" s="98" t="s">
        <v>395</v>
      </c>
      <c r="AE103" s="100">
        <v>0.16499177781838115</v>
      </c>
      <c r="AF103" s="100">
        <v>0.1</v>
      </c>
      <c r="AG103" s="98">
        <v>347.15877946281745</v>
      </c>
      <c r="AH103" s="98">
        <v>255.80120591997076</v>
      </c>
      <c r="AI103" s="100">
        <v>0.017</v>
      </c>
      <c r="AJ103" s="100">
        <v>0.670455</v>
      </c>
      <c r="AK103" s="100">
        <v>0.272727</v>
      </c>
      <c r="AL103" s="100">
        <v>0.767286</v>
      </c>
      <c r="AM103" s="100">
        <v>0.543779</v>
      </c>
      <c r="AN103" s="100">
        <v>0.568807</v>
      </c>
      <c r="AO103" s="98">
        <v>1151.1054266398685</v>
      </c>
      <c r="AP103" s="158">
        <v>0.6124015808</v>
      </c>
      <c r="AQ103" s="100">
        <v>0.20634920634920634</v>
      </c>
      <c r="AR103" s="100">
        <v>0.5416666666666666</v>
      </c>
      <c r="AS103" s="98">
        <v>365.43029417138683</v>
      </c>
      <c r="AT103" s="98">
        <v>127.90060295998538</v>
      </c>
      <c r="AU103" s="98" t="s">
        <v>695</v>
      </c>
      <c r="AV103" s="98">
        <v>127.90060295998538</v>
      </c>
      <c r="AW103" s="98">
        <v>127.90060295998538</v>
      </c>
      <c r="AX103" s="98" t="s">
        <v>695</v>
      </c>
      <c r="AY103" s="98">
        <v>237.52969121140143</v>
      </c>
      <c r="AZ103" s="98">
        <v>274.0727206285401</v>
      </c>
      <c r="BA103" s="100" t="s">
        <v>695</v>
      </c>
      <c r="BB103" s="100" t="s">
        <v>695</v>
      </c>
      <c r="BC103" s="100" t="s">
        <v>695</v>
      </c>
      <c r="BD103" s="158">
        <v>0.4705862045</v>
      </c>
      <c r="BE103" s="158">
        <v>0.7835276794000001</v>
      </c>
      <c r="BF103" s="162">
        <v>704</v>
      </c>
      <c r="BG103" s="162">
        <v>22</v>
      </c>
      <c r="BH103" s="162">
        <v>1345</v>
      </c>
      <c r="BI103" s="162">
        <v>651</v>
      </c>
      <c r="BJ103" s="162">
        <v>327</v>
      </c>
      <c r="BK103" s="97"/>
      <c r="BL103" s="97"/>
      <c r="BM103" s="97"/>
      <c r="BN103" s="97"/>
    </row>
    <row r="104" spans="1:66" ht="12.75">
      <c r="A104" s="79" t="s">
        <v>658</v>
      </c>
      <c r="B104" s="79" t="s">
        <v>363</v>
      </c>
      <c r="C104" s="79" t="s">
        <v>255</v>
      </c>
      <c r="D104" s="99">
        <v>5236</v>
      </c>
      <c r="E104" s="99">
        <v>837</v>
      </c>
      <c r="F104" s="99" t="s">
        <v>415</v>
      </c>
      <c r="G104" s="99">
        <v>23</v>
      </c>
      <c r="H104" s="99">
        <v>21</v>
      </c>
      <c r="I104" s="99">
        <v>75</v>
      </c>
      <c r="J104" s="99">
        <v>411</v>
      </c>
      <c r="K104" s="99" t="s">
        <v>695</v>
      </c>
      <c r="L104" s="99">
        <v>840</v>
      </c>
      <c r="M104" s="99">
        <v>181</v>
      </c>
      <c r="N104" s="99">
        <v>143</v>
      </c>
      <c r="O104" s="99">
        <v>123</v>
      </c>
      <c r="P104" s="159">
        <v>123</v>
      </c>
      <c r="Q104" s="99">
        <v>13</v>
      </c>
      <c r="R104" s="99">
        <v>20</v>
      </c>
      <c r="S104" s="99">
        <v>46</v>
      </c>
      <c r="T104" s="99">
        <v>20</v>
      </c>
      <c r="U104" s="99">
        <v>10</v>
      </c>
      <c r="V104" s="99">
        <v>28</v>
      </c>
      <c r="W104" s="99">
        <v>32</v>
      </c>
      <c r="X104" s="99">
        <v>23</v>
      </c>
      <c r="Y104" s="99">
        <v>31</v>
      </c>
      <c r="Z104" s="99">
        <v>32</v>
      </c>
      <c r="AA104" s="99" t="s">
        <v>695</v>
      </c>
      <c r="AB104" s="99" t="s">
        <v>695</v>
      </c>
      <c r="AC104" s="99" t="s">
        <v>695</v>
      </c>
      <c r="AD104" s="98" t="s">
        <v>395</v>
      </c>
      <c r="AE104" s="100">
        <v>0.15985485103132163</v>
      </c>
      <c r="AF104" s="100">
        <v>0.21</v>
      </c>
      <c r="AG104" s="98">
        <v>439.26661573720395</v>
      </c>
      <c r="AH104" s="98">
        <v>401.06951871657753</v>
      </c>
      <c r="AI104" s="100">
        <v>0.013999999999999999</v>
      </c>
      <c r="AJ104" s="100">
        <v>0.667208</v>
      </c>
      <c r="AK104" s="100" t="s">
        <v>695</v>
      </c>
      <c r="AL104" s="100">
        <v>0.751342</v>
      </c>
      <c r="AM104" s="100">
        <v>0.297209</v>
      </c>
      <c r="AN104" s="100">
        <v>0.419355</v>
      </c>
      <c r="AO104" s="98">
        <v>2349.121466768526</v>
      </c>
      <c r="AP104" s="158">
        <v>1.315573578</v>
      </c>
      <c r="AQ104" s="100">
        <v>0.10569105691056911</v>
      </c>
      <c r="AR104" s="100">
        <v>0.65</v>
      </c>
      <c r="AS104" s="98">
        <v>878.5332314744079</v>
      </c>
      <c r="AT104" s="98">
        <v>381.9709702062643</v>
      </c>
      <c r="AU104" s="98">
        <v>190.98548510313216</v>
      </c>
      <c r="AV104" s="98">
        <v>534.75935828877</v>
      </c>
      <c r="AW104" s="98">
        <v>611.1535523300229</v>
      </c>
      <c r="AX104" s="98">
        <v>439.26661573720395</v>
      </c>
      <c r="AY104" s="98">
        <v>592.0550038197097</v>
      </c>
      <c r="AZ104" s="98">
        <v>611.1535523300229</v>
      </c>
      <c r="BA104" s="100" t="s">
        <v>695</v>
      </c>
      <c r="BB104" s="100" t="s">
        <v>695</v>
      </c>
      <c r="BC104" s="100" t="s">
        <v>695</v>
      </c>
      <c r="BD104" s="158">
        <v>1.093370285</v>
      </c>
      <c r="BE104" s="158">
        <v>1.56966568</v>
      </c>
      <c r="BF104" s="162">
        <v>616</v>
      </c>
      <c r="BG104" s="162" t="s">
        <v>695</v>
      </c>
      <c r="BH104" s="162">
        <v>1118</v>
      </c>
      <c r="BI104" s="162">
        <v>609</v>
      </c>
      <c r="BJ104" s="162">
        <v>341</v>
      </c>
      <c r="BK104" s="97"/>
      <c r="BL104" s="97"/>
      <c r="BM104" s="97"/>
      <c r="BN104" s="97"/>
    </row>
    <row r="105" spans="1:66" ht="12.75">
      <c r="A105" s="79" t="s">
        <v>622</v>
      </c>
      <c r="B105" s="79" t="s">
        <v>326</v>
      </c>
      <c r="C105" s="79" t="s">
        <v>255</v>
      </c>
      <c r="D105" s="99">
        <v>14597</v>
      </c>
      <c r="E105" s="99">
        <v>2842</v>
      </c>
      <c r="F105" s="99" t="s">
        <v>418</v>
      </c>
      <c r="G105" s="99">
        <v>80</v>
      </c>
      <c r="H105" s="99">
        <v>37</v>
      </c>
      <c r="I105" s="99">
        <v>282</v>
      </c>
      <c r="J105" s="99">
        <v>1515</v>
      </c>
      <c r="K105" s="99">
        <v>15</v>
      </c>
      <c r="L105" s="99">
        <v>2597</v>
      </c>
      <c r="M105" s="99">
        <v>1049</v>
      </c>
      <c r="N105" s="99">
        <v>538</v>
      </c>
      <c r="O105" s="99">
        <v>557</v>
      </c>
      <c r="P105" s="159">
        <v>557</v>
      </c>
      <c r="Q105" s="99">
        <v>39</v>
      </c>
      <c r="R105" s="99">
        <v>66</v>
      </c>
      <c r="S105" s="99">
        <v>106</v>
      </c>
      <c r="T105" s="99">
        <v>102</v>
      </c>
      <c r="U105" s="99">
        <v>14</v>
      </c>
      <c r="V105" s="99">
        <v>94</v>
      </c>
      <c r="W105" s="99">
        <v>11</v>
      </c>
      <c r="X105" s="99">
        <v>13</v>
      </c>
      <c r="Y105" s="99">
        <v>50</v>
      </c>
      <c r="Z105" s="99">
        <v>88</v>
      </c>
      <c r="AA105" s="99" t="s">
        <v>695</v>
      </c>
      <c r="AB105" s="99" t="s">
        <v>695</v>
      </c>
      <c r="AC105" s="99" t="s">
        <v>695</v>
      </c>
      <c r="AD105" s="98" t="s">
        <v>395</v>
      </c>
      <c r="AE105" s="100">
        <v>0.1946975405905323</v>
      </c>
      <c r="AF105" s="100">
        <v>0.12</v>
      </c>
      <c r="AG105" s="98">
        <v>548.0578201000205</v>
      </c>
      <c r="AH105" s="98">
        <v>253.47674179625952</v>
      </c>
      <c r="AI105" s="100">
        <v>0.019</v>
      </c>
      <c r="AJ105" s="100">
        <v>0.771385</v>
      </c>
      <c r="AK105" s="100">
        <v>0.294118</v>
      </c>
      <c r="AL105" s="100">
        <v>0.785779</v>
      </c>
      <c r="AM105" s="100">
        <v>0.547781</v>
      </c>
      <c r="AN105" s="100">
        <v>0.56572</v>
      </c>
      <c r="AO105" s="98">
        <v>3815.852572446393</v>
      </c>
      <c r="AP105" s="158">
        <v>1.9001052859999998</v>
      </c>
      <c r="AQ105" s="100">
        <v>0.07001795332136446</v>
      </c>
      <c r="AR105" s="100">
        <v>0.5909090909090909</v>
      </c>
      <c r="AS105" s="98">
        <v>726.1766116325273</v>
      </c>
      <c r="AT105" s="98">
        <v>698.7737206275262</v>
      </c>
      <c r="AU105" s="98">
        <v>95.91011851750359</v>
      </c>
      <c r="AV105" s="98">
        <v>643.9679386175242</v>
      </c>
      <c r="AW105" s="98">
        <v>75.35795026375283</v>
      </c>
      <c r="AX105" s="98">
        <v>89.05939576625335</v>
      </c>
      <c r="AY105" s="98">
        <v>342.53613756251286</v>
      </c>
      <c r="AZ105" s="98">
        <v>602.8636021100226</v>
      </c>
      <c r="BA105" s="100" t="s">
        <v>695</v>
      </c>
      <c r="BB105" s="100" t="s">
        <v>695</v>
      </c>
      <c r="BC105" s="100" t="s">
        <v>695</v>
      </c>
      <c r="BD105" s="158">
        <v>1.7455615230000001</v>
      </c>
      <c r="BE105" s="158">
        <v>2.064662628</v>
      </c>
      <c r="BF105" s="162">
        <v>1964</v>
      </c>
      <c r="BG105" s="162">
        <v>51</v>
      </c>
      <c r="BH105" s="162">
        <v>3305</v>
      </c>
      <c r="BI105" s="162">
        <v>1915</v>
      </c>
      <c r="BJ105" s="162">
        <v>951</v>
      </c>
      <c r="BK105" s="97"/>
      <c r="BL105" s="97"/>
      <c r="BM105" s="97"/>
      <c r="BN105" s="97"/>
    </row>
    <row r="106" spans="1:66" ht="12.75">
      <c r="A106" s="79" t="s">
        <v>627</v>
      </c>
      <c r="B106" s="79" t="s">
        <v>331</v>
      </c>
      <c r="C106" s="79" t="s">
        <v>255</v>
      </c>
      <c r="D106" s="99">
        <v>13754</v>
      </c>
      <c r="E106" s="99">
        <v>202</v>
      </c>
      <c r="F106" s="99" t="s">
        <v>419</v>
      </c>
      <c r="G106" s="99">
        <v>6</v>
      </c>
      <c r="H106" s="99" t="s">
        <v>695</v>
      </c>
      <c r="I106" s="99">
        <v>39</v>
      </c>
      <c r="J106" s="99">
        <v>176</v>
      </c>
      <c r="K106" s="99" t="s">
        <v>695</v>
      </c>
      <c r="L106" s="99">
        <v>732</v>
      </c>
      <c r="M106" s="99">
        <v>130</v>
      </c>
      <c r="N106" s="99">
        <v>66</v>
      </c>
      <c r="O106" s="99">
        <v>74</v>
      </c>
      <c r="P106" s="159">
        <v>74</v>
      </c>
      <c r="Q106" s="99" t="s">
        <v>695</v>
      </c>
      <c r="R106" s="99">
        <v>8</v>
      </c>
      <c r="S106" s="99">
        <v>15</v>
      </c>
      <c r="T106" s="99" t="s">
        <v>695</v>
      </c>
      <c r="U106" s="99" t="s">
        <v>695</v>
      </c>
      <c r="V106" s="99">
        <v>29</v>
      </c>
      <c r="W106" s="99">
        <v>8</v>
      </c>
      <c r="X106" s="99">
        <v>7</v>
      </c>
      <c r="Y106" s="99">
        <v>13</v>
      </c>
      <c r="Z106" s="99">
        <v>8</v>
      </c>
      <c r="AA106" s="99" t="s">
        <v>695</v>
      </c>
      <c r="AB106" s="99" t="s">
        <v>695</v>
      </c>
      <c r="AC106" s="99" t="s">
        <v>695</v>
      </c>
      <c r="AD106" s="98" t="s">
        <v>395</v>
      </c>
      <c r="AE106" s="100">
        <v>0.014686636614802967</v>
      </c>
      <c r="AF106" s="100">
        <v>0.05</v>
      </c>
      <c r="AG106" s="98">
        <v>43.62367311327614</v>
      </c>
      <c r="AH106" s="98" t="s">
        <v>695</v>
      </c>
      <c r="AI106" s="100">
        <v>0.003</v>
      </c>
      <c r="AJ106" s="100">
        <v>0.698413</v>
      </c>
      <c r="AK106" s="100" t="s">
        <v>695</v>
      </c>
      <c r="AL106" s="100">
        <v>0.650089</v>
      </c>
      <c r="AM106" s="100">
        <v>0.588235</v>
      </c>
      <c r="AN106" s="100">
        <v>0.616822</v>
      </c>
      <c r="AO106" s="98">
        <v>538.0253017304057</v>
      </c>
      <c r="AP106" s="158">
        <v>0.8014004517</v>
      </c>
      <c r="AQ106" s="100" t="s">
        <v>695</v>
      </c>
      <c r="AR106" s="100" t="s">
        <v>695</v>
      </c>
      <c r="AS106" s="98">
        <v>109.05918278319035</v>
      </c>
      <c r="AT106" s="98" t="s">
        <v>695</v>
      </c>
      <c r="AU106" s="98" t="s">
        <v>695</v>
      </c>
      <c r="AV106" s="98">
        <v>210.84775338083466</v>
      </c>
      <c r="AW106" s="98">
        <v>58.16489748436818</v>
      </c>
      <c r="AX106" s="98">
        <v>50.89428529882216</v>
      </c>
      <c r="AY106" s="98">
        <v>94.5179584120983</v>
      </c>
      <c r="AZ106" s="98">
        <v>58.16489748436818</v>
      </c>
      <c r="BA106" s="100" t="s">
        <v>695</v>
      </c>
      <c r="BB106" s="100" t="s">
        <v>695</v>
      </c>
      <c r="BC106" s="100" t="s">
        <v>695</v>
      </c>
      <c r="BD106" s="158">
        <v>0.629271698</v>
      </c>
      <c r="BE106" s="158">
        <v>1.006084824</v>
      </c>
      <c r="BF106" s="162">
        <v>252</v>
      </c>
      <c r="BG106" s="162" t="s">
        <v>695</v>
      </c>
      <c r="BH106" s="162">
        <v>1126</v>
      </c>
      <c r="BI106" s="162">
        <v>221</v>
      </c>
      <c r="BJ106" s="162">
        <v>107</v>
      </c>
      <c r="BK106" s="97"/>
      <c r="BL106" s="97"/>
      <c r="BM106" s="97"/>
      <c r="BN106" s="97"/>
    </row>
    <row r="107" spans="1:66" ht="12.75">
      <c r="A107" s="79" t="s">
        <v>654</v>
      </c>
      <c r="B107" s="79" t="s">
        <v>359</v>
      </c>
      <c r="C107" s="79" t="s">
        <v>255</v>
      </c>
      <c r="D107" s="99">
        <v>2569</v>
      </c>
      <c r="E107" s="99">
        <v>664</v>
      </c>
      <c r="F107" s="99" t="s">
        <v>418</v>
      </c>
      <c r="G107" s="99">
        <v>13</v>
      </c>
      <c r="H107" s="99">
        <v>9</v>
      </c>
      <c r="I107" s="99">
        <v>52</v>
      </c>
      <c r="J107" s="99">
        <v>333</v>
      </c>
      <c r="K107" s="99">
        <v>6</v>
      </c>
      <c r="L107" s="99">
        <v>392</v>
      </c>
      <c r="M107" s="99">
        <v>269</v>
      </c>
      <c r="N107" s="99">
        <v>131</v>
      </c>
      <c r="O107" s="99">
        <v>45</v>
      </c>
      <c r="P107" s="159">
        <v>45</v>
      </c>
      <c r="Q107" s="99">
        <v>7</v>
      </c>
      <c r="R107" s="99">
        <v>12</v>
      </c>
      <c r="S107" s="99">
        <v>10</v>
      </c>
      <c r="T107" s="99" t="s">
        <v>695</v>
      </c>
      <c r="U107" s="99" t="s">
        <v>695</v>
      </c>
      <c r="V107" s="99">
        <v>11</v>
      </c>
      <c r="W107" s="99" t="s">
        <v>695</v>
      </c>
      <c r="X107" s="99" t="s">
        <v>695</v>
      </c>
      <c r="Y107" s="99">
        <v>8</v>
      </c>
      <c r="Z107" s="99">
        <v>14</v>
      </c>
      <c r="AA107" s="99" t="s">
        <v>695</v>
      </c>
      <c r="AB107" s="99" t="s">
        <v>695</v>
      </c>
      <c r="AC107" s="99" t="s">
        <v>695</v>
      </c>
      <c r="AD107" s="98" t="s">
        <v>395</v>
      </c>
      <c r="AE107" s="100">
        <v>0.258466329311016</v>
      </c>
      <c r="AF107" s="100">
        <v>0.15</v>
      </c>
      <c r="AG107" s="98">
        <v>506.033476060724</v>
      </c>
      <c r="AH107" s="98">
        <v>350.3308680420397</v>
      </c>
      <c r="AI107" s="100">
        <v>0.02</v>
      </c>
      <c r="AJ107" s="100">
        <v>0.787234</v>
      </c>
      <c r="AK107" s="100">
        <v>0.545455</v>
      </c>
      <c r="AL107" s="100">
        <v>0.779324</v>
      </c>
      <c r="AM107" s="100">
        <v>0.580994</v>
      </c>
      <c r="AN107" s="100">
        <v>0.615023</v>
      </c>
      <c r="AO107" s="98">
        <v>1751.6543402101986</v>
      </c>
      <c r="AP107" s="158">
        <v>0.7537441253999999</v>
      </c>
      <c r="AQ107" s="100">
        <v>0.15555555555555556</v>
      </c>
      <c r="AR107" s="100">
        <v>0.5833333333333334</v>
      </c>
      <c r="AS107" s="98">
        <v>389.25652004671076</v>
      </c>
      <c r="AT107" s="98" t="s">
        <v>695</v>
      </c>
      <c r="AU107" s="98" t="s">
        <v>695</v>
      </c>
      <c r="AV107" s="98">
        <v>428.1821720513819</v>
      </c>
      <c r="AW107" s="98" t="s">
        <v>695</v>
      </c>
      <c r="AX107" s="98" t="s">
        <v>695</v>
      </c>
      <c r="AY107" s="98">
        <v>311.40521603736863</v>
      </c>
      <c r="AZ107" s="98">
        <v>544.9591280653951</v>
      </c>
      <c r="BA107" s="100" t="s">
        <v>695</v>
      </c>
      <c r="BB107" s="100" t="s">
        <v>695</v>
      </c>
      <c r="BC107" s="100" t="s">
        <v>695</v>
      </c>
      <c r="BD107" s="158">
        <v>0.5497861481</v>
      </c>
      <c r="BE107" s="158">
        <v>1.008568954</v>
      </c>
      <c r="BF107" s="162">
        <v>423</v>
      </c>
      <c r="BG107" s="162">
        <v>11</v>
      </c>
      <c r="BH107" s="162">
        <v>503</v>
      </c>
      <c r="BI107" s="162">
        <v>463</v>
      </c>
      <c r="BJ107" s="162">
        <v>213</v>
      </c>
      <c r="BK107" s="97"/>
      <c r="BL107" s="97"/>
      <c r="BM107" s="97"/>
      <c r="BN107" s="97"/>
    </row>
    <row r="108" spans="1:66" ht="12.75">
      <c r="A108" s="79" t="s">
        <v>648</v>
      </c>
      <c r="B108" s="79" t="s">
        <v>353</v>
      </c>
      <c r="C108" s="79" t="s">
        <v>255</v>
      </c>
      <c r="D108" s="99">
        <v>2439</v>
      </c>
      <c r="E108" s="99">
        <v>290</v>
      </c>
      <c r="F108" s="99" t="s">
        <v>416</v>
      </c>
      <c r="G108" s="99">
        <v>10</v>
      </c>
      <c r="H108" s="99">
        <v>9</v>
      </c>
      <c r="I108" s="99">
        <v>24</v>
      </c>
      <c r="J108" s="99">
        <v>154</v>
      </c>
      <c r="K108" s="99">
        <v>146</v>
      </c>
      <c r="L108" s="99">
        <v>445</v>
      </c>
      <c r="M108" s="99">
        <v>84</v>
      </c>
      <c r="N108" s="99">
        <v>40</v>
      </c>
      <c r="O108" s="99">
        <v>65</v>
      </c>
      <c r="P108" s="159">
        <v>65</v>
      </c>
      <c r="Q108" s="99">
        <v>6</v>
      </c>
      <c r="R108" s="99">
        <v>10</v>
      </c>
      <c r="S108" s="99">
        <v>15</v>
      </c>
      <c r="T108" s="99">
        <v>8</v>
      </c>
      <c r="U108" s="99" t="s">
        <v>695</v>
      </c>
      <c r="V108" s="99">
        <v>18</v>
      </c>
      <c r="W108" s="99" t="s">
        <v>695</v>
      </c>
      <c r="X108" s="99" t="s">
        <v>695</v>
      </c>
      <c r="Y108" s="99" t="s">
        <v>695</v>
      </c>
      <c r="Z108" s="99">
        <v>24</v>
      </c>
      <c r="AA108" s="99" t="s">
        <v>695</v>
      </c>
      <c r="AB108" s="99" t="s">
        <v>695</v>
      </c>
      <c r="AC108" s="99" t="s">
        <v>695</v>
      </c>
      <c r="AD108" s="98" t="s">
        <v>395</v>
      </c>
      <c r="AE108" s="100">
        <v>0.11890118901189012</v>
      </c>
      <c r="AF108" s="100">
        <v>0.29</v>
      </c>
      <c r="AG108" s="98">
        <v>410.0041000410004</v>
      </c>
      <c r="AH108" s="98">
        <v>369.00369003690037</v>
      </c>
      <c r="AI108" s="100">
        <v>0.01</v>
      </c>
      <c r="AJ108" s="100">
        <v>0.675439</v>
      </c>
      <c r="AK108" s="100">
        <v>0.669725</v>
      </c>
      <c r="AL108" s="100">
        <v>0.793226</v>
      </c>
      <c r="AM108" s="100">
        <v>0.430769</v>
      </c>
      <c r="AN108" s="100">
        <v>0.384615</v>
      </c>
      <c r="AO108" s="98">
        <v>2665.0266502665027</v>
      </c>
      <c r="AP108" s="158">
        <v>1.7164328</v>
      </c>
      <c r="AQ108" s="100">
        <v>0.09230769230769231</v>
      </c>
      <c r="AR108" s="100">
        <v>0.6</v>
      </c>
      <c r="AS108" s="98">
        <v>615.0061500615006</v>
      </c>
      <c r="AT108" s="98">
        <v>328.0032800328003</v>
      </c>
      <c r="AU108" s="98" t="s">
        <v>695</v>
      </c>
      <c r="AV108" s="98">
        <v>738.0073800738007</v>
      </c>
      <c r="AW108" s="98" t="s">
        <v>695</v>
      </c>
      <c r="AX108" s="98" t="s">
        <v>695</v>
      </c>
      <c r="AY108" s="98" t="s">
        <v>695</v>
      </c>
      <c r="AZ108" s="98">
        <v>984.009840098401</v>
      </c>
      <c r="BA108" s="100" t="s">
        <v>695</v>
      </c>
      <c r="BB108" s="100" t="s">
        <v>695</v>
      </c>
      <c r="BC108" s="100" t="s">
        <v>695</v>
      </c>
      <c r="BD108" s="158">
        <v>1.324706573</v>
      </c>
      <c r="BE108" s="158">
        <v>2.187734528</v>
      </c>
      <c r="BF108" s="162">
        <v>228</v>
      </c>
      <c r="BG108" s="162">
        <v>218</v>
      </c>
      <c r="BH108" s="162">
        <v>561</v>
      </c>
      <c r="BI108" s="162">
        <v>195</v>
      </c>
      <c r="BJ108" s="162">
        <v>104</v>
      </c>
      <c r="BK108" s="97"/>
      <c r="BL108" s="97"/>
      <c r="BM108" s="97"/>
      <c r="BN108" s="97"/>
    </row>
    <row r="109" spans="1:66" ht="12.75">
      <c r="A109" s="79" t="s">
        <v>608</v>
      </c>
      <c r="B109" s="79" t="s">
        <v>312</v>
      </c>
      <c r="C109" s="79" t="s">
        <v>255</v>
      </c>
      <c r="D109" s="99">
        <v>9074</v>
      </c>
      <c r="E109" s="99">
        <v>2275</v>
      </c>
      <c r="F109" s="99" t="s">
        <v>415</v>
      </c>
      <c r="G109" s="99">
        <v>61</v>
      </c>
      <c r="H109" s="99">
        <v>53</v>
      </c>
      <c r="I109" s="99">
        <v>204</v>
      </c>
      <c r="J109" s="99">
        <v>1041</v>
      </c>
      <c r="K109" s="99">
        <v>1020</v>
      </c>
      <c r="L109" s="99">
        <v>1602</v>
      </c>
      <c r="M109" s="99">
        <v>692</v>
      </c>
      <c r="N109" s="99">
        <v>341</v>
      </c>
      <c r="O109" s="99">
        <v>178</v>
      </c>
      <c r="P109" s="159">
        <v>178</v>
      </c>
      <c r="Q109" s="99">
        <v>29</v>
      </c>
      <c r="R109" s="99">
        <v>64</v>
      </c>
      <c r="S109" s="99">
        <v>41</v>
      </c>
      <c r="T109" s="99">
        <v>11</v>
      </c>
      <c r="U109" s="99">
        <v>16</v>
      </c>
      <c r="V109" s="99">
        <v>37</v>
      </c>
      <c r="W109" s="99" t="s">
        <v>695</v>
      </c>
      <c r="X109" s="99" t="s">
        <v>695</v>
      </c>
      <c r="Y109" s="99">
        <v>24</v>
      </c>
      <c r="Z109" s="99">
        <v>74</v>
      </c>
      <c r="AA109" s="99" t="s">
        <v>695</v>
      </c>
      <c r="AB109" s="99" t="s">
        <v>695</v>
      </c>
      <c r="AC109" s="99" t="s">
        <v>695</v>
      </c>
      <c r="AD109" s="98" t="s">
        <v>395</v>
      </c>
      <c r="AE109" s="100">
        <v>0.2507163323782235</v>
      </c>
      <c r="AF109" s="100">
        <v>0.18</v>
      </c>
      <c r="AG109" s="98">
        <v>672.2503857174345</v>
      </c>
      <c r="AH109" s="98">
        <v>584.0864007053119</v>
      </c>
      <c r="AI109" s="100">
        <v>0.022000000000000002</v>
      </c>
      <c r="AJ109" s="100">
        <v>0.79648</v>
      </c>
      <c r="AK109" s="100">
        <v>0.799373</v>
      </c>
      <c r="AL109" s="100">
        <v>0.796619</v>
      </c>
      <c r="AM109" s="100">
        <v>0.552716</v>
      </c>
      <c r="AN109" s="100">
        <v>0.587931</v>
      </c>
      <c r="AO109" s="98">
        <v>1961.6486665197267</v>
      </c>
      <c r="AP109" s="158">
        <v>0.8629924774</v>
      </c>
      <c r="AQ109" s="100">
        <v>0.16292134831460675</v>
      </c>
      <c r="AR109" s="100">
        <v>0.453125</v>
      </c>
      <c r="AS109" s="98">
        <v>451.84042318712807</v>
      </c>
      <c r="AT109" s="98">
        <v>121.2254793916685</v>
      </c>
      <c r="AU109" s="98">
        <v>176.3279700242451</v>
      </c>
      <c r="AV109" s="98">
        <v>407.7584306810668</v>
      </c>
      <c r="AW109" s="98" t="s">
        <v>695</v>
      </c>
      <c r="AX109" s="98" t="s">
        <v>695</v>
      </c>
      <c r="AY109" s="98">
        <v>264.49195503636764</v>
      </c>
      <c r="AZ109" s="98">
        <v>815.5168613621336</v>
      </c>
      <c r="BA109" s="100" t="s">
        <v>695</v>
      </c>
      <c r="BB109" s="100" t="s">
        <v>695</v>
      </c>
      <c r="BC109" s="100" t="s">
        <v>695</v>
      </c>
      <c r="BD109" s="158">
        <v>0.7408667755</v>
      </c>
      <c r="BE109" s="158">
        <v>0.9995027161</v>
      </c>
      <c r="BF109" s="162">
        <v>1307</v>
      </c>
      <c r="BG109" s="162">
        <v>1276</v>
      </c>
      <c r="BH109" s="162">
        <v>2011</v>
      </c>
      <c r="BI109" s="162">
        <v>1252</v>
      </c>
      <c r="BJ109" s="162">
        <v>580</v>
      </c>
      <c r="BK109" s="97"/>
      <c r="BL109" s="97"/>
      <c r="BM109" s="97"/>
      <c r="BN109" s="97"/>
    </row>
    <row r="110" spans="1:66" ht="12.75">
      <c r="A110" s="79" t="s">
        <v>669</v>
      </c>
      <c r="B110" s="79" t="s">
        <v>375</v>
      </c>
      <c r="C110" s="79" t="s">
        <v>255</v>
      </c>
      <c r="D110" s="99">
        <v>6376</v>
      </c>
      <c r="E110" s="99">
        <v>1187</v>
      </c>
      <c r="F110" s="99" t="s">
        <v>418</v>
      </c>
      <c r="G110" s="99">
        <v>35</v>
      </c>
      <c r="H110" s="99">
        <v>25</v>
      </c>
      <c r="I110" s="99">
        <v>139</v>
      </c>
      <c r="J110" s="99">
        <v>574</v>
      </c>
      <c r="K110" s="99">
        <v>17</v>
      </c>
      <c r="L110" s="99">
        <v>1224</v>
      </c>
      <c r="M110" s="99">
        <v>435</v>
      </c>
      <c r="N110" s="99">
        <v>204</v>
      </c>
      <c r="O110" s="99">
        <v>124</v>
      </c>
      <c r="P110" s="159">
        <v>124</v>
      </c>
      <c r="Q110" s="99">
        <v>12</v>
      </c>
      <c r="R110" s="99">
        <v>24</v>
      </c>
      <c r="S110" s="99">
        <v>17</v>
      </c>
      <c r="T110" s="99">
        <v>20</v>
      </c>
      <c r="U110" s="99" t="s">
        <v>695</v>
      </c>
      <c r="V110" s="99">
        <v>12</v>
      </c>
      <c r="W110" s="99" t="s">
        <v>695</v>
      </c>
      <c r="X110" s="99" t="s">
        <v>695</v>
      </c>
      <c r="Y110" s="99">
        <v>23</v>
      </c>
      <c r="Z110" s="99">
        <v>45</v>
      </c>
      <c r="AA110" s="99" t="s">
        <v>695</v>
      </c>
      <c r="AB110" s="99" t="s">
        <v>695</v>
      </c>
      <c r="AC110" s="99" t="s">
        <v>695</v>
      </c>
      <c r="AD110" s="98" t="s">
        <v>395</v>
      </c>
      <c r="AE110" s="100">
        <v>0.18616687578419072</v>
      </c>
      <c r="AF110" s="100">
        <v>0.16</v>
      </c>
      <c r="AG110" s="98">
        <v>548.9335006273526</v>
      </c>
      <c r="AH110" s="98">
        <v>392.0953575909661</v>
      </c>
      <c r="AI110" s="100">
        <v>0.022000000000000002</v>
      </c>
      <c r="AJ110" s="100">
        <v>0.703431</v>
      </c>
      <c r="AK110" s="100">
        <v>0.548387</v>
      </c>
      <c r="AL110" s="100">
        <v>0.841237</v>
      </c>
      <c r="AM110" s="100">
        <v>0.563472</v>
      </c>
      <c r="AN110" s="100">
        <v>0.571429</v>
      </c>
      <c r="AO110" s="98">
        <v>1944.792973651192</v>
      </c>
      <c r="AP110" s="158">
        <v>0.9786128998</v>
      </c>
      <c r="AQ110" s="100">
        <v>0.0967741935483871</v>
      </c>
      <c r="AR110" s="100">
        <v>0.5</v>
      </c>
      <c r="AS110" s="98">
        <v>266.624843161857</v>
      </c>
      <c r="AT110" s="98">
        <v>313.6762860727729</v>
      </c>
      <c r="AU110" s="98" t="s">
        <v>695</v>
      </c>
      <c r="AV110" s="98">
        <v>188.20577164366375</v>
      </c>
      <c r="AW110" s="98" t="s">
        <v>695</v>
      </c>
      <c r="AX110" s="98" t="s">
        <v>695</v>
      </c>
      <c r="AY110" s="98">
        <v>360.72772898368885</v>
      </c>
      <c r="AZ110" s="98">
        <v>705.771643663739</v>
      </c>
      <c r="BA110" s="100" t="s">
        <v>695</v>
      </c>
      <c r="BB110" s="100" t="s">
        <v>695</v>
      </c>
      <c r="BC110" s="100" t="s">
        <v>695</v>
      </c>
      <c r="BD110" s="158">
        <v>0.8139595795</v>
      </c>
      <c r="BE110" s="158">
        <v>1.166793213</v>
      </c>
      <c r="BF110" s="162">
        <v>816</v>
      </c>
      <c r="BG110" s="162">
        <v>31</v>
      </c>
      <c r="BH110" s="162">
        <v>1455</v>
      </c>
      <c r="BI110" s="162">
        <v>772</v>
      </c>
      <c r="BJ110" s="162">
        <v>357</v>
      </c>
      <c r="BK110" s="97"/>
      <c r="BL110" s="97"/>
      <c r="BM110" s="97"/>
      <c r="BN110" s="97"/>
    </row>
    <row r="111" spans="1:66" ht="12.75">
      <c r="A111" s="79" t="s">
        <v>606</v>
      </c>
      <c r="B111" s="79" t="s">
        <v>309</v>
      </c>
      <c r="C111" s="79" t="s">
        <v>255</v>
      </c>
      <c r="D111" s="99">
        <v>10317</v>
      </c>
      <c r="E111" s="99">
        <v>1706</v>
      </c>
      <c r="F111" s="99" t="s">
        <v>418</v>
      </c>
      <c r="G111" s="99">
        <v>45</v>
      </c>
      <c r="H111" s="99">
        <v>18</v>
      </c>
      <c r="I111" s="99">
        <v>116</v>
      </c>
      <c r="J111" s="99">
        <v>883</v>
      </c>
      <c r="K111" s="99">
        <v>7</v>
      </c>
      <c r="L111" s="99">
        <v>1887</v>
      </c>
      <c r="M111" s="99">
        <v>634</v>
      </c>
      <c r="N111" s="99">
        <v>328</v>
      </c>
      <c r="O111" s="99">
        <v>196</v>
      </c>
      <c r="P111" s="159">
        <v>196</v>
      </c>
      <c r="Q111" s="99">
        <v>28</v>
      </c>
      <c r="R111" s="99">
        <v>44</v>
      </c>
      <c r="S111" s="99">
        <v>43</v>
      </c>
      <c r="T111" s="99">
        <v>30</v>
      </c>
      <c r="U111" s="99" t="s">
        <v>695</v>
      </c>
      <c r="V111" s="99">
        <v>43</v>
      </c>
      <c r="W111" s="99" t="s">
        <v>695</v>
      </c>
      <c r="X111" s="99">
        <v>6</v>
      </c>
      <c r="Y111" s="99">
        <v>21</v>
      </c>
      <c r="Z111" s="99">
        <v>30</v>
      </c>
      <c r="AA111" s="99" t="s">
        <v>695</v>
      </c>
      <c r="AB111" s="99" t="s">
        <v>695</v>
      </c>
      <c r="AC111" s="99" t="s">
        <v>695</v>
      </c>
      <c r="AD111" s="98" t="s">
        <v>395</v>
      </c>
      <c r="AE111" s="100">
        <v>0.1653581467480857</v>
      </c>
      <c r="AF111" s="100">
        <v>0.14</v>
      </c>
      <c r="AG111" s="98">
        <v>436.17330619366095</v>
      </c>
      <c r="AH111" s="98">
        <v>174.46932247746437</v>
      </c>
      <c r="AI111" s="100">
        <v>0.011000000000000001</v>
      </c>
      <c r="AJ111" s="100">
        <v>0.703586</v>
      </c>
      <c r="AK111" s="100">
        <v>0.142857</v>
      </c>
      <c r="AL111" s="100">
        <v>0.798561</v>
      </c>
      <c r="AM111" s="100">
        <v>0.540034</v>
      </c>
      <c r="AN111" s="100">
        <v>0.559727</v>
      </c>
      <c r="AO111" s="98">
        <v>1899.7770669768342</v>
      </c>
      <c r="AP111" s="158">
        <v>1.024124756</v>
      </c>
      <c r="AQ111" s="100">
        <v>0.14285714285714285</v>
      </c>
      <c r="AR111" s="100">
        <v>0.6363636363636364</v>
      </c>
      <c r="AS111" s="98">
        <v>416.7878259183871</v>
      </c>
      <c r="AT111" s="98">
        <v>290.7822041291073</v>
      </c>
      <c r="AU111" s="98" t="s">
        <v>695</v>
      </c>
      <c r="AV111" s="98">
        <v>416.7878259183871</v>
      </c>
      <c r="AW111" s="98" t="s">
        <v>695</v>
      </c>
      <c r="AX111" s="98">
        <v>58.15644082582146</v>
      </c>
      <c r="AY111" s="98">
        <v>203.5475428903751</v>
      </c>
      <c r="AZ111" s="98">
        <v>290.7822041291073</v>
      </c>
      <c r="BA111" s="100" t="s">
        <v>695</v>
      </c>
      <c r="BB111" s="100" t="s">
        <v>695</v>
      </c>
      <c r="BC111" s="100" t="s">
        <v>695</v>
      </c>
      <c r="BD111" s="158">
        <v>0.8857611847</v>
      </c>
      <c r="BE111" s="158">
        <v>1.177973175</v>
      </c>
      <c r="BF111" s="162">
        <v>1255</v>
      </c>
      <c r="BG111" s="162">
        <v>49</v>
      </c>
      <c r="BH111" s="162">
        <v>2363</v>
      </c>
      <c r="BI111" s="162">
        <v>1174</v>
      </c>
      <c r="BJ111" s="162">
        <v>586</v>
      </c>
      <c r="BK111" s="97"/>
      <c r="BL111" s="97"/>
      <c r="BM111" s="97"/>
      <c r="BN111" s="97"/>
    </row>
    <row r="112" spans="1:66" ht="12.75">
      <c r="A112" s="79" t="s">
        <v>685</v>
      </c>
      <c r="B112" s="79" t="s">
        <v>391</v>
      </c>
      <c r="C112" s="79" t="s">
        <v>255</v>
      </c>
      <c r="D112" s="99">
        <v>1870</v>
      </c>
      <c r="E112" s="99">
        <v>366</v>
      </c>
      <c r="F112" s="99" t="s">
        <v>415</v>
      </c>
      <c r="G112" s="99">
        <v>16</v>
      </c>
      <c r="H112" s="99">
        <v>8</v>
      </c>
      <c r="I112" s="99">
        <v>27</v>
      </c>
      <c r="J112" s="99">
        <v>168</v>
      </c>
      <c r="K112" s="99">
        <v>161</v>
      </c>
      <c r="L112" s="99">
        <v>289</v>
      </c>
      <c r="M112" s="99">
        <v>120</v>
      </c>
      <c r="N112" s="99">
        <v>59</v>
      </c>
      <c r="O112" s="99">
        <v>52</v>
      </c>
      <c r="P112" s="159">
        <v>52</v>
      </c>
      <c r="Q112" s="99" t="s">
        <v>695</v>
      </c>
      <c r="R112" s="99">
        <v>11</v>
      </c>
      <c r="S112" s="99" t="s">
        <v>695</v>
      </c>
      <c r="T112" s="99">
        <v>19</v>
      </c>
      <c r="U112" s="99" t="s">
        <v>695</v>
      </c>
      <c r="V112" s="99">
        <v>7</v>
      </c>
      <c r="W112" s="99" t="s">
        <v>695</v>
      </c>
      <c r="X112" s="99" t="s">
        <v>695</v>
      </c>
      <c r="Y112" s="99" t="s">
        <v>695</v>
      </c>
      <c r="Z112" s="99">
        <v>9</v>
      </c>
      <c r="AA112" s="99" t="s">
        <v>695</v>
      </c>
      <c r="AB112" s="99" t="s">
        <v>695</v>
      </c>
      <c r="AC112" s="99" t="s">
        <v>695</v>
      </c>
      <c r="AD112" s="98" t="s">
        <v>395</v>
      </c>
      <c r="AE112" s="100">
        <v>0.19572192513368983</v>
      </c>
      <c r="AF112" s="100">
        <v>0.17</v>
      </c>
      <c r="AG112" s="98">
        <v>855.6149732620321</v>
      </c>
      <c r="AH112" s="98">
        <v>427.80748663101605</v>
      </c>
      <c r="AI112" s="100">
        <v>0.013999999999999999</v>
      </c>
      <c r="AJ112" s="100">
        <v>0.717949</v>
      </c>
      <c r="AK112" s="100">
        <v>0.70614</v>
      </c>
      <c r="AL112" s="100">
        <v>0.7225</v>
      </c>
      <c r="AM112" s="100">
        <v>0.478088</v>
      </c>
      <c r="AN112" s="100">
        <v>0.44697</v>
      </c>
      <c r="AO112" s="98">
        <v>2780.748663101604</v>
      </c>
      <c r="AP112" s="158">
        <v>1.371178131</v>
      </c>
      <c r="AQ112" s="100" t="s">
        <v>695</v>
      </c>
      <c r="AR112" s="100" t="s">
        <v>695</v>
      </c>
      <c r="AS112" s="98" t="s">
        <v>695</v>
      </c>
      <c r="AT112" s="98">
        <v>1016.0427807486631</v>
      </c>
      <c r="AU112" s="98" t="s">
        <v>695</v>
      </c>
      <c r="AV112" s="98">
        <v>374.331550802139</v>
      </c>
      <c r="AW112" s="98" t="s">
        <v>695</v>
      </c>
      <c r="AX112" s="98" t="s">
        <v>695</v>
      </c>
      <c r="AY112" s="98" t="s">
        <v>695</v>
      </c>
      <c r="AZ112" s="98">
        <v>481.2834224598931</v>
      </c>
      <c r="BA112" s="100" t="s">
        <v>695</v>
      </c>
      <c r="BB112" s="100" t="s">
        <v>695</v>
      </c>
      <c r="BC112" s="100" t="s">
        <v>695</v>
      </c>
      <c r="BD112" s="158">
        <v>1.024061356</v>
      </c>
      <c r="BE112" s="158">
        <v>1.798117676</v>
      </c>
      <c r="BF112" s="162">
        <v>234</v>
      </c>
      <c r="BG112" s="162">
        <v>228</v>
      </c>
      <c r="BH112" s="162">
        <v>400</v>
      </c>
      <c r="BI112" s="162">
        <v>251</v>
      </c>
      <c r="BJ112" s="162">
        <v>132</v>
      </c>
      <c r="BK112" s="97"/>
      <c r="BL112" s="97"/>
      <c r="BM112" s="97"/>
      <c r="BN112" s="97"/>
    </row>
    <row r="113" spans="1:66" ht="12.75">
      <c r="A113" s="79" t="s">
        <v>609</v>
      </c>
      <c r="B113" s="79" t="s">
        <v>313</v>
      </c>
      <c r="C113" s="79" t="s">
        <v>255</v>
      </c>
      <c r="D113" s="99">
        <v>12457</v>
      </c>
      <c r="E113" s="99">
        <v>2148</v>
      </c>
      <c r="F113" s="99" t="s">
        <v>417</v>
      </c>
      <c r="G113" s="99">
        <v>51</v>
      </c>
      <c r="H113" s="99">
        <v>38</v>
      </c>
      <c r="I113" s="99">
        <v>224</v>
      </c>
      <c r="J113" s="99">
        <v>1075</v>
      </c>
      <c r="K113" s="99">
        <v>6</v>
      </c>
      <c r="L113" s="99">
        <v>2201</v>
      </c>
      <c r="M113" s="99">
        <v>786</v>
      </c>
      <c r="N113" s="99">
        <v>373</v>
      </c>
      <c r="O113" s="99">
        <v>327</v>
      </c>
      <c r="P113" s="159">
        <v>327</v>
      </c>
      <c r="Q113" s="99">
        <v>40</v>
      </c>
      <c r="R113" s="99">
        <v>59</v>
      </c>
      <c r="S113" s="99">
        <v>79</v>
      </c>
      <c r="T113" s="99">
        <v>49</v>
      </c>
      <c r="U113" s="99">
        <v>16</v>
      </c>
      <c r="V113" s="99">
        <v>64</v>
      </c>
      <c r="W113" s="99">
        <v>14</v>
      </c>
      <c r="X113" s="99">
        <v>16</v>
      </c>
      <c r="Y113" s="99">
        <v>34</v>
      </c>
      <c r="Z113" s="99">
        <v>64</v>
      </c>
      <c r="AA113" s="99" t="s">
        <v>695</v>
      </c>
      <c r="AB113" s="99" t="s">
        <v>695</v>
      </c>
      <c r="AC113" s="99" t="s">
        <v>695</v>
      </c>
      <c r="AD113" s="98" t="s">
        <v>395</v>
      </c>
      <c r="AE113" s="100">
        <v>0.17243317010516176</v>
      </c>
      <c r="AF113" s="100">
        <v>0.11</v>
      </c>
      <c r="AG113" s="98">
        <v>409.4083647748254</v>
      </c>
      <c r="AH113" s="98">
        <v>305.04936983222285</v>
      </c>
      <c r="AI113" s="100">
        <v>0.018000000000000002</v>
      </c>
      <c r="AJ113" s="100">
        <v>0.709103</v>
      </c>
      <c r="AK113" s="100">
        <v>0.352941</v>
      </c>
      <c r="AL113" s="100">
        <v>0.748639</v>
      </c>
      <c r="AM113" s="100">
        <v>0.552354</v>
      </c>
      <c r="AN113" s="100">
        <v>0.543732</v>
      </c>
      <c r="AO113" s="98">
        <v>2625.0301035562334</v>
      </c>
      <c r="AP113" s="158">
        <v>1.3959346009999998</v>
      </c>
      <c r="AQ113" s="100">
        <v>0.12232415902140673</v>
      </c>
      <c r="AR113" s="100">
        <v>0.6779661016949152</v>
      </c>
      <c r="AS113" s="98">
        <v>634.1815846512002</v>
      </c>
      <c r="AT113" s="98">
        <v>393.3531347836558</v>
      </c>
      <c r="AU113" s="98">
        <v>128.441839929357</v>
      </c>
      <c r="AV113" s="98">
        <v>513.767359717428</v>
      </c>
      <c r="AW113" s="98">
        <v>112.38660993818736</v>
      </c>
      <c r="AX113" s="98">
        <v>128.441839929357</v>
      </c>
      <c r="AY113" s="98">
        <v>272.9389098498836</v>
      </c>
      <c r="AZ113" s="98">
        <v>513.767359717428</v>
      </c>
      <c r="BA113" s="100" t="s">
        <v>695</v>
      </c>
      <c r="BB113" s="100" t="s">
        <v>695</v>
      </c>
      <c r="BC113" s="100" t="s">
        <v>695</v>
      </c>
      <c r="BD113" s="158">
        <v>1.248717499</v>
      </c>
      <c r="BE113" s="158">
        <v>1.555736694</v>
      </c>
      <c r="BF113" s="162">
        <v>1516</v>
      </c>
      <c r="BG113" s="162">
        <v>17</v>
      </c>
      <c r="BH113" s="162">
        <v>2940</v>
      </c>
      <c r="BI113" s="162">
        <v>1423</v>
      </c>
      <c r="BJ113" s="162">
        <v>686</v>
      </c>
      <c r="BK113" s="97"/>
      <c r="BL113" s="97"/>
      <c r="BM113" s="97"/>
      <c r="BN113" s="97"/>
    </row>
    <row r="114" spans="1:66" ht="12.75">
      <c r="A114" s="79" t="s">
        <v>599</v>
      </c>
      <c r="B114" s="79" t="s">
        <v>302</v>
      </c>
      <c r="C114" s="79" t="s">
        <v>255</v>
      </c>
      <c r="D114" s="99">
        <v>3418</v>
      </c>
      <c r="E114" s="99">
        <v>827</v>
      </c>
      <c r="F114" s="99" t="s">
        <v>417</v>
      </c>
      <c r="G114" s="99">
        <v>17</v>
      </c>
      <c r="H114" s="99" t="s">
        <v>695</v>
      </c>
      <c r="I114" s="99">
        <v>53</v>
      </c>
      <c r="J114" s="99">
        <v>404</v>
      </c>
      <c r="K114" s="99" t="s">
        <v>695</v>
      </c>
      <c r="L114" s="99">
        <v>638</v>
      </c>
      <c r="M114" s="99">
        <v>337</v>
      </c>
      <c r="N114" s="99">
        <v>167</v>
      </c>
      <c r="O114" s="99">
        <v>65</v>
      </c>
      <c r="P114" s="159">
        <v>65</v>
      </c>
      <c r="Q114" s="99" t="s">
        <v>695</v>
      </c>
      <c r="R114" s="99">
        <v>11</v>
      </c>
      <c r="S114" s="99">
        <v>20</v>
      </c>
      <c r="T114" s="99">
        <v>13</v>
      </c>
      <c r="U114" s="99" t="s">
        <v>695</v>
      </c>
      <c r="V114" s="99">
        <v>13</v>
      </c>
      <c r="W114" s="99">
        <v>18</v>
      </c>
      <c r="X114" s="99">
        <v>8</v>
      </c>
      <c r="Y114" s="99">
        <v>15</v>
      </c>
      <c r="Z114" s="99">
        <v>21</v>
      </c>
      <c r="AA114" s="99" t="s">
        <v>695</v>
      </c>
      <c r="AB114" s="99" t="s">
        <v>695</v>
      </c>
      <c r="AC114" s="99" t="s">
        <v>695</v>
      </c>
      <c r="AD114" s="98" t="s">
        <v>395</v>
      </c>
      <c r="AE114" s="100">
        <v>0.2419543592744295</v>
      </c>
      <c r="AF114" s="100">
        <v>0.09</v>
      </c>
      <c r="AG114" s="98">
        <v>497.366881217086</v>
      </c>
      <c r="AH114" s="98" t="s">
        <v>695</v>
      </c>
      <c r="AI114" s="100">
        <v>0.016</v>
      </c>
      <c r="AJ114" s="100">
        <v>0.762264</v>
      </c>
      <c r="AK114" s="100" t="s">
        <v>695</v>
      </c>
      <c r="AL114" s="100">
        <v>0.826425</v>
      </c>
      <c r="AM114" s="100">
        <v>0.59331</v>
      </c>
      <c r="AN114" s="100">
        <v>0.602888</v>
      </c>
      <c r="AO114" s="98">
        <v>1901.6968987712112</v>
      </c>
      <c r="AP114" s="158">
        <v>0.8346421051</v>
      </c>
      <c r="AQ114" s="100" t="s">
        <v>695</v>
      </c>
      <c r="AR114" s="100" t="s">
        <v>695</v>
      </c>
      <c r="AS114" s="98">
        <v>585.1375073142189</v>
      </c>
      <c r="AT114" s="98">
        <v>380.33937975424226</v>
      </c>
      <c r="AU114" s="98" t="s">
        <v>695</v>
      </c>
      <c r="AV114" s="98">
        <v>380.33937975424226</v>
      </c>
      <c r="AW114" s="98">
        <v>526.623756582797</v>
      </c>
      <c r="AX114" s="98">
        <v>234.05500292568755</v>
      </c>
      <c r="AY114" s="98">
        <v>438.8531304856641</v>
      </c>
      <c r="AZ114" s="98">
        <v>614.3943826799298</v>
      </c>
      <c r="BA114" s="100" t="s">
        <v>695</v>
      </c>
      <c r="BB114" s="100" t="s">
        <v>695</v>
      </c>
      <c r="BC114" s="100" t="s">
        <v>695</v>
      </c>
      <c r="BD114" s="158">
        <v>0.6441591644</v>
      </c>
      <c r="BE114" s="158">
        <v>1.063819809</v>
      </c>
      <c r="BF114" s="162">
        <v>530</v>
      </c>
      <c r="BG114" s="162" t="s">
        <v>695</v>
      </c>
      <c r="BH114" s="162">
        <v>772</v>
      </c>
      <c r="BI114" s="162">
        <v>568</v>
      </c>
      <c r="BJ114" s="162">
        <v>277</v>
      </c>
      <c r="BK114" s="97"/>
      <c r="BL114" s="97"/>
      <c r="BM114" s="97"/>
      <c r="BN114" s="97"/>
    </row>
    <row r="115" spans="1:66" ht="12.75">
      <c r="A115" s="79" t="s">
        <v>628</v>
      </c>
      <c r="B115" s="79" t="s">
        <v>332</v>
      </c>
      <c r="C115" s="79" t="s">
        <v>255</v>
      </c>
      <c r="D115" s="99">
        <v>7805</v>
      </c>
      <c r="E115" s="99">
        <v>1534</v>
      </c>
      <c r="F115" s="99" t="s">
        <v>419</v>
      </c>
      <c r="G115" s="99">
        <v>39</v>
      </c>
      <c r="H115" s="99">
        <v>18</v>
      </c>
      <c r="I115" s="99">
        <v>164</v>
      </c>
      <c r="J115" s="99">
        <v>862</v>
      </c>
      <c r="K115" s="99" t="s">
        <v>695</v>
      </c>
      <c r="L115" s="99">
        <v>1584</v>
      </c>
      <c r="M115" s="99">
        <v>621</v>
      </c>
      <c r="N115" s="99">
        <v>288</v>
      </c>
      <c r="O115" s="99">
        <v>260</v>
      </c>
      <c r="P115" s="159">
        <v>260</v>
      </c>
      <c r="Q115" s="99">
        <v>24</v>
      </c>
      <c r="R115" s="99">
        <v>37</v>
      </c>
      <c r="S115" s="99">
        <v>58</v>
      </c>
      <c r="T115" s="99">
        <v>46</v>
      </c>
      <c r="U115" s="99" t="s">
        <v>695</v>
      </c>
      <c r="V115" s="99">
        <v>47</v>
      </c>
      <c r="W115" s="99" t="s">
        <v>695</v>
      </c>
      <c r="X115" s="99" t="s">
        <v>695</v>
      </c>
      <c r="Y115" s="99">
        <v>17</v>
      </c>
      <c r="Z115" s="99">
        <v>32</v>
      </c>
      <c r="AA115" s="99" t="s">
        <v>695</v>
      </c>
      <c r="AB115" s="99" t="s">
        <v>695</v>
      </c>
      <c r="AC115" s="99" t="s">
        <v>695</v>
      </c>
      <c r="AD115" s="98" t="s">
        <v>395</v>
      </c>
      <c r="AE115" s="100">
        <v>0.19654067905188982</v>
      </c>
      <c r="AF115" s="100">
        <v>0.08</v>
      </c>
      <c r="AG115" s="98">
        <v>499.6796925048046</v>
      </c>
      <c r="AH115" s="98">
        <v>230.62139654067906</v>
      </c>
      <c r="AI115" s="100">
        <v>0.021</v>
      </c>
      <c r="AJ115" s="100">
        <v>0.772401</v>
      </c>
      <c r="AK115" s="100" t="s">
        <v>695</v>
      </c>
      <c r="AL115" s="100">
        <v>0.840764</v>
      </c>
      <c r="AM115" s="100">
        <v>0.595969</v>
      </c>
      <c r="AN115" s="100">
        <v>0.615385</v>
      </c>
      <c r="AO115" s="98">
        <v>3331.197950032031</v>
      </c>
      <c r="AP115" s="158">
        <v>1.6077435299999998</v>
      </c>
      <c r="AQ115" s="100">
        <v>0.09230769230769231</v>
      </c>
      <c r="AR115" s="100">
        <v>0.6486486486486487</v>
      </c>
      <c r="AS115" s="98">
        <v>743.1133888532992</v>
      </c>
      <c r="AT115" s="98">
        <v>589.3657911595132</v>
      </c>
      <c r="AU115" s="98" t="s">
        <v>695</v>
      </c>
      <c r="AV115" s="98">
        <v>602.1780909673287</v>
      </c>
      <c r="AW115" s="98" t="s">
        <v>695</v>
      </c>
      <c r="AX115" s="98" t="s">
        <v>695</v>
      </c>
      <c r="AY115" s="98">
        <v>217.80909673286354</v>
      </c>
      <c r="AZ115" s="98">
        <v>409.9935938500961</v>
      </c>
      <c r="BA115" s="100" t="s">
        <v>695</v>
      </c>
      <c r="BB115" s="100" t="s">
        <v>695</v>
      </c>
      <c r="BC115" s="100" t="s">
        <v>695</v>
      </c>
      <c r="BD115" s="158">
        <v>1.418240509</v>
      </c>
      <c r="BE115" s="158">
        <v>1.8155162050000002</v>
      </c>
      <c r="BF115" s="162">
        <v>1116</v>
      </c>
      <c r="BG115" s="162" t="s">
        <v>695</v>
      </c>
      <c r="BH115" s="162">
        <v>1884</v>
      </c>
      <c r="BI115" s="162">
        <v>1042</v>
      </c>
      <c r="BJ115" s="162">
        <v>468</v>
      </c>
      <c r="BK115" s="97"/>
      <c r="BL115" s="97"/>
      <c r="BM115" s="97"/>
      <c r="BN115" s="97"/>
    </row>
    <row r="116" spans="1:66" ht="12.75">
      <c r="A116" s="79" t="s">
        <v>508</v>
      </c>
      <c r="B116" s="94" t="s">
        <v>255</v>
      </c>
      <c r="C116" s="94" t="s">
        <v>7</v>
      </c>
      <c r="D116" s="99">
        <v>769993</v>
      </c>
      <c r="E116" s="99">
        <v>143546</v>
      </c>
      <c r="F116" s="99">
        <v>113754.77999999998</v>
      </c>
      <c r="G116" s="99">
        <v>3819</v>
      </c>
      <c r="H116" s="99">
        <v>2093</v>
      </c>
      <c r="I116" s="99">
        <v>13512</v>
      </c>
      <c r="J116" s="99">
        <v>73672</v>
      </c>
      <c r="K116" s="99">
        <v>27494</v>
      </c>
      <c r="L116" s="99">
        <v>134142</v>
      </c>
      <c r="M116" s="99">
        <v>49463</v>
      </c>
      <c r="N116" s="99">
        <v>26188</v>
      </c>
      <c r="O116" s="99">
        <v>19936</v>
      </c>
      <c r="P116" s="99">
        <v>19936</v>
      </c>
      <c r="Q116" s="99">
        <v>2014</v>
      </c>
      <c r="R116" s="99">
        <v>3762</v>
      </c>
      <c r="S116" s="99">
        <v>3815</v>
      </c>
      <c r="T116" s="99">
        <v>3207</v>
      </c>
      <c r="U116" s="99">
        <v>777</v>
      </c>
      <c r="V116" s="99">
        <v>3877</v>
      </c>
      <c r="W116" s="99">
        <v>1230</v>
      </c>
      <c r="X116" s="99">
        <v>885</v>
      </c>
      <c r="Y116" s="99">
        <v>2774</v>
      </c>
      <c r="Z116" s="99">
        <v>4369</v>
      </c>
      <c r="AA116" s="99">
        <v>0</v>
      </c>
      <c r="AB116" s="99">
        <v>0</v>
      </c>
      <c r="AC116" s="99">
        <v>0</v>
      </c>
      <c r="AD116" s="98">
        <v>0</v>
      </c>
      <c r="AE116" s="101">
        <v>0.18642507139675296</v>
      </c>
      <c r="AF116" s="101">
        <v>0.14773482356333106</v>
      </c>
      <c r="AG116" s="98">
        <v>495.9785348697975</v>
      </c>
      <c r="AH116" s="98">
        <v>271.8206529150265</v>
      </c>
      <c r="AI116" s="101">
        <v>0.017548211477247194</v>
      </c>
      <c r="AJ116" s="101">
        <v>0.7475899579891624</v>
      </c>
      <c r="AK116" s="101">
        <v>0.7658069188346053</v>
      </c>
      <c r="AL116" s="101">
        <v>0.7705900262527502</v>
      </c>
      <c r="AM116" s="101">
        <v>0.5237061663560901</v>
      </c>
      <c r="AN116" s="101">
        <v>0.5616608759061468</v>
      </c>
      <c r="AO116" s="98">
        <v>2589.114446494968</v>
      </c>
      <c r="AP116" s="98">
        <v>0</v>
      </c>
      <c r="AQ116" s="101">
        <v>0.10102327447833066</v>
      </c>
      <c r="AR116" s="101">
        <v>0.5353535353535354</v>
      </c>
      <c r="AS116" s="98">
        <v>495.4590496277239</v>
      </c>
      <c r="AT116" s="98">
        <v>416.49729283253225</v>
      </c>
      <c r="AU116" s="98">
        <v>100.91000827280249</v>
      </c>
      <c r="AV116" s="98">
        <v>503.51107087986514</v>
      </c>
      <c r="AW116" s="98">
        <v>159.74171193764099</v>
      </c>
      <c r="AX116" s="98">
        <v>114.93610980879048</v>
      </c>
      <c r="AY116" s="98">
        <v>360.2630153780619</v>
      </c>
      <c r="AZ116" s="98">
        <v>567.4077556549215</v>
      </c>
      <c r="BA116" s="101">
        <v>0</v>
      </c>
      <c r="BB116" s="101">
        <v>0</v>
      </c>
      <c r="BC116" s="101">
        <v>0</v>
      </c>
      <c r="BD116" s="98">
        <v>0</v>
      </c>
      <c r="BE116" s="98">
        <v>0</v>
      </c>
      <c r="BF116" s="99">
        <v>98546</v>
      </c>
      <c r="BG116" s="99">
        <v>35902</v>
      </c>
      <c r="BH116" s="99">
        <v>174077</v>
      </c>
      <c r="BI116" s="99">
        <v>94448</v>
      </c>
      <c r="BJ116" s="99">
        <v>46626</v>
      </c>
      <c r="BK116" s="97"/>
      <c r="BL116" s="97"/>
      <c r="BM116" s="97"/>
      <c r="BN116" s="97"/>
    </row>
    <row r="117" spans="1:66" ht="12.75">
      <c r="A117" s="79" t="s">
        <v>24</v>
      </c>
      <c r="B117" s="94" t="s">
        <v>7</v>
      </c>
      <c r="C117" s="94" t="s">
        <v>7</v>
      </c>
      <c r="D117" s="99">
        <v>54615830</v>
      </c>
      <c r="E117" s="99">
        <v>8737890</v>
      </c>
      <c r="F117" s="99">
        <v>8198344.169999988</v>
      </c>
      <c r="G117" s="99">
        <v>243379</v>
      </c>
      <c r="H117" s="99">
        <v>127868</v>
      </c>
      <c r="I117" s="99">
        <v>870616</v>
      </c>
      <c r="J117" s="99">
        <v>4592627</v>
      </c>
      <c r="K117" s="99">
        <v>1679592</v>
      </c>
      <c r="L117" s="99">
        <v>10150944</v>
      </c>
      <c r="M117" s="99">
        <v>2959539</v>
      </c>
      <c r="N117" s="99">
        <v>1629320</v>
      </c>
      <c r="O117" s="99">
        <v>989730</v>
      </c>
      <c r="P117" s="99">
        <v>989730</v>
      </c>
      <c r="Q117" s="99">
        <v>108072</v>
      </c>
      <c r="R117" s="99">
        <v>238330</v>
      </c>
      <c r="S117" s="99">
        <v>206300</v>
      </c>
      <c r="T117" s="99">
        <v>154264</v>
      </c>
      <c r="U117" s="99">
        <v>38486</v>
      </c>
      <c r="V117" s="99">
        <v>176535</v>
      </c>
      <c r="W117" s="99">
        <v>307276</v>
      </c>
      <c r="X117" s="99">
        <v>221506</v>
      </c>
      <c r="Y117" s="99">
        <v>578574</v>
      </c>
      <c r="Z117" s="99">
        <v>318377</v>
      </c>
      <c r="AA117" s="99">
        <v>0</v>
      </c>
      <c r="AB117" s="99">
        <v>0</v>
      </c>
      <c r="AC117" s="99">
        <v>0</v>
      </c>
      <c r="AD117" s="98">
        <v>0</v>
      </c>
      <c r="AE117" s="101">
        <v>0.1599882305185145</v>
      </c>
      <c r="AF117" s="101">
        <v>0.15010930292554353</v>
      </c>
      <c r="AG117" s="98">
        <v>445.6198871279627</v>
      </c>
      <c r="AH117" s="98">
        <v>234.12259778895606</v>
      </c>
      <c r="AI117" s="101">
        <v>0.015940726342527432</v>
      </c>
      <c r="AJ117" s="101">
        <v>0.7248631360507991</v>
      </c>
      <c r="AK117" s="101">
        <v>0.7467412166569077</v>
      </c>
      <c r="AL117" s="101">
        <v>0.7559681673907895</v>
      </c>
      <c r="AM117" s="101">
        <v>0.5147293797466616</v>
      </c>
      <c r="AN117" s="101">
        <v>0.5752927626212945</v>
      </c>
      <c r="AO117" s="98">
        <v>1812.1669120472948</v>
      </c>
      <c r="AP117" s="98">
        <v>1</v>
      </c>
      <c r="AQ117" s="101">
        <v>0.10919341638628717</v>
      </c>
      <c r="AR117" s="101">
        <v>0.4534552930810221</v>
      </c>
      <c r="AS117" s="98">
        <v>377.7293140102421</v>
      </c>
      <c r="AT117" s="98">
        <v>282.45290788403287</v>
      </c>
      <c r="AU117" s="98">
        <v>70.46674929228394</v>
      </c>
      <c r="AV117" s="98">
        <v>323.23046266988894</v>
      </c>
      <c r="AW117" s="98">
        <v>562.6134400960308</v>
      </c>
      <c r="AX117" s="98">
        <v>405.57105879375996</v>
      </c>
      <c r="AY117" s="98">
        <v>1059.3522061277838</v>
      </c>
      <c r="AZ117" s="98">
        <v>582.9390489900089</v>
      </c>
      <c r="BA117" s="101">
        <v>0</v>
      </c>
      <c r="BB117" s="101">
        <v>0</v>
      </c>
      <c r="BC117" s="101">
        <v>0</v>
      </c>
      <c r="BD117" s="98">
        <v>0</v>
      </c>
      <c r="BE117" s="98">
        <v>0</v>
      </c>
      <c r="BF117" s="99">
        <v>6335854</v>
      </c>
      <c r="BG117" s="99">
        <v>2249229</v>
      </c>
      <c r="BH117" s="99">
        <v>13427740</v>
      </c>
      <c r="BI117" s="99">
        <v>5749699</v>
      </c>
      <c r="BJ117" s="99">
        <v>2832158</v>
      </c>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445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400</v>
      </c>
      <c r="O4" s="75" t="s">
        <v>399</v>
      </c>
      <c r="P4" s="75" t="s">
        <v>527</v>
      </c>
      <c r="Q4" s="75" t="s">
        <v>528</v>
      </c>
      <c r="R4" s="75" t="s">
        <v>529</v>
      </c>
      <c r="S4" s="75" t="s">
        <v>530</v>
      </c>
      <c r="T4" s="39" t="s">
        <v>278</v>
      </c>
      <c r="U4" s="40" t="s">
        <v>279</v>
      </c>
      <c r="V4" s="41" t="s">
        <v>7</v>
      </c>
      <c r="W4" s="24" t="s">
        <v>2</v>
      </c>
      <c r="X4" s="24" t="s">
        <v>3</v>
      </c>
      <c r="Y4" s="75" t="s">
        <v>703</v>
      </c>
      <c r="Z4" s="75" t="s">
        <v>702</v>
      </c>
      <c r="AA4" s="26" t="s">
        <v>280</v>
      </c>
      <c r="AB4" s="24" t="s">
        <v>5</v>
      </c>
      <c r="AC4" s="75" t="s">
        <v>35</v>
      </c>
      <c r="AD4" s="24" t="s">
        <v>6</v>
      </c>
      <c r="AE4" s="24" t="s">
        <v>281</v>
      </c>
      <c r="AF4" s="24" t="s">
        <v>16</v>
      </c>
      <c r="AG4" s="24" t="s">
        <v>15</v>
      </c>
      <c r="AH4" s="24" t="s">
        <v>14</v>
      </c>
      <c r="AI4" s="25" t="s">
        <v>30</v>
      </c>
      <c r="AJ4" s="47" t="s">
        <v>10</v>
      </c>
      <c r="AK4" s="26" t="s">
        <v>21</v>
      </c>
      <c r="AL4" s="25" t="s">
        <v>22</v>
      </c>
      <c r="AQ4" s="102" t="s">
        <v>442</v>
      </c>
      <c r="AR4" s="102" t="s">
        <v>444</v>
      </c>
      <c r="AS4" s="102" t="s">
        <v>443</v>
      </c>
      <c r="AY4" s="102" t="s">
        <v>524</v>
      </c>
      <c r="AZ4" s="102" t="s">
        <v>525</v>
      </c>
      <c r="BA4" s="102" t="s">
        <v>526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465</v>
      </c>
      <c r="BA5" s="103" t="s">
        <v>395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450</v>
      </c>
      <c r="BA6" s="103" t="s">
        <v>395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833</v>
      </c>
      <c r="E7" s="38">
        <f>IF(LEFT(VLOOKUP($B7,'Indicator chart'!$D$1:$J$36,5,FALSE),1)=" "," ",VLOOKUP($B7,'Indicator chart'!$D$1:$J$36,5,FALSE))</f>
        <v>0.1975806451612903</v>
      </c>
      <c r="F7" s="38">
        <f>IF(LEFT(VLOOKUP($B7,'Indicator chart'!$D$1:$J$36,6,FALSE),1)=" "," ",VLOOKUP($B7,'Indicator chart'!$D$1:$J$36,6,FALSE))</f>
        <v>0.18583898954796926</v>
      </c>
      <c r="G7" s="38">
        <f>IF(LEFT(VLOOKUP($B7,'Indicator chart'!$D$1:$J$36,7,FALSE),1)=" "," ",VLOOKUP($B7,'Indicator chart'!$D$1:$J$36,7,FALSE))</f>
        <v>0.20987292532580232</v>
      </c>
      <c r="H7" s="50">
        <f aca="true" t="shared" si="0" ref="H7:H31">IF(LEFT(F7,1)=" ",4,IF(AND(ABS(N7-E7)&gt;SQRT((E7-G7)^2+(N7-R7)^2),E7&lt;N7),1,IF(AND(ABS(N7-E7)&gt;SQRT((E7-F7)^2+(N7-S7)^2),E7&gt;N7),3,2)))</f>
        <v>2</v>
      </c>
      <c r="I7" s="38">
        <v>0.014686636626720428</v>
      </c>
      <c r="J7" s="38">
        <v>0.15446019172668457</v>
      </c>
      <c r="K7" s="38">
        <v>0.18584972620010376</v>
      </c>
      <c r="L7" s="38">
        <v>0.22104156017303467</v>
      </c>
      <c r="M7" s="38">
        <v>0.34708908200263977</v>
      </c>
      <c r="N7" s="80">
        <f>VLOOKUP('Hide - Control'!B$3,'All practice data'!A:CA,A7+29,FALSE)</f>
        <v>0.18642507139675296</v>
      </c>
      <c r="O7" s="80">
        <f>VLOOKUP('Hide - Control'!C$3,'All practice data'!A:CA,A7+29,FALSE)</f>
        <v>0.1599882305185145</v>
      </c>
      <c r="P7" s="38">
        <f>VLOOKUP('Hide - Control'!$B$4,'All practice data'!B:BC,A7+2,FALSE)</f>
        <v>143546</v>
      </c>
      <c r="Q7" s="38">
        <f>VLOOKUP('Hide - Control'!$B$4,'All practice data'!B:BC,3,FALSE)</f>
        <v>769993</v>
      </c>
      <c r="R7" s="38">
        <f>+((2*P7+1.96^2-1.96*SQRT(1.96^2+4*P7*(1-P7/Q7)))/(2*(Q7+1.96^2)))</f>
        <v>0.18555674805848704</v>
      </c>
      <c r="S7" s="38">
        <f>+((2*P7+1.96^2+1.96*SQRT(1.96^2+4*P7*(1-P7/Q7)))/(2*(Q7+1.96^2)))</f>
        <v>0.1872965236555043</v>
      </c>
      <c r="T7" s="53">
        <f>IF($C7=1,M7,I7)</f>
        <v>0.34708908200263977</v>
      </c>
      <c r="U7" s="51">
        <f aca="true" t="shared" si="1" ref="U7:U15">IF($C7=1,I7,M7)</f>
        <v>0.014686636626720428</v>
      </c>
      <c r="V7" s="7">
        <v>1</v>
      </c>
      <c r="W7" s="27">
        <f aca="true" t="shared" si="2" ref="W7:W31">IF((K7-I7)&gt;(M7-K7),I7,(K7-(M7-K7)))</f>
        <v>0.014686636626720428</v>
      </c>
      <c r="X7" s="27">
        <f aca="true" t="shared" si="3" ref="X7:X31">IF(W7=I7,K7+(K7-I7),M7)</f>
        <v>0.3570128157734871</v>
      </c>
      <c r="Y7" s="27">
        <f aca="true" t="shared" si="4" ref="Y7:Y31">IF(C7=1,W7,X7)</f>
        <v>0.014686636626720428</v>
      </c>
      <c r="Z7" s="27">
        <f aca="true" t="shared" si="5" ref="Z7:Z31">IF(C7=1,X7,W7)</f>
        <v>0.3570128157734871</v>
      </c>
      <c r="AA7" s="32">
        <f aca="true" t="shared" si="6" ref="AA7:AA31">IF(ISERROR(IF(C7=1,(I7-$Y7)/($Z7-$Y7),(U7-$Y7)/($Z7-$Y7))),"",IF(C7=1,(I7-$Y7)/($Z7-$Y7),(U7-$Y7)/($Z7-$Y7)))</f>
        <v>0</v>
      </c>
      <c r="AB7" s="33">
        <f aca="true" t="shared" si="7" ref="AB7:AB31">IF(ISERROR(IF(C7=1,(J7-$Y7)/($Z7-$Y7),(L7-$Y7)/($Z7-$Y7))),"",IF(C7=1,(J7-$Y7)/($Z7-$Y7),(L7-$Y7)/($Z7-$Y7)))</f>
        <v>0.40830518848527375</v>
      </c>
      <c r="AC7" s="33">
        <v>0.5</v>
      </c>
      <c r="AD7" s="33">
        <f aca="true" t="shared" si="8" ref="AD7:AD31">IF(ISERROR(IF(C7=1,(L7-$Y7)/($Z7-$Y7),(J7-$Y7)/($Z7-$Y7))),"",IF(C7=1,(L7-$Y7)/($Z7-$Y7),(J7-$Y7)/($Z7-$Y7)))</f>
        <v>0.6028020528860663</v>
      </c>
      <c r="AE7" s="33">
        <f aca="true" t="shared" si="9" ref="AE7:AE31">IF(ISERROR(IF(C7=1,(M7-$Y7)/($Z7-$Y7),(I7-$Y7)/($Z7-$Y7))),"",IF(C7=1,(M7-$Y7)/($Z7-$Y7),(I7-$Y7)/($Z7-$Y7)))</f>
        <v>0.971010882674583</v>
      </c>
      <c r="AF7" s="33">
        <f aca="true" t="shared" si="10" ref="AF7:AF30">IF(E7=" ",-999,IF(H7=4,(E7-$Y7)/($Z7-$Y7),-999))</f>
        <v>-999</v>
      </c>
      <c r="AG7" s="33">
        <f aca="true" t="shared" si="11" ref="AG7:AG31">IF(E7=" ",-999,IF(H7=2,(E7-$Y7)/($Z7-$Y7),-999))</f>
        <v>0.5342682496279583</v>
      </c>
      <c r="AH7" s="33">
        <f aca="true" t="shared" si="12" ref="AH7:AH31">IF(E7=" ",-999,IF(MAX(AK7:AL7)&gt;-999,MAX(AK7:AL7),-999))</f>
        <v>-999</v>
      </c>
      <c r="AI7" s="34">
        <f aca="true" t="shared" si="13" ref="AI7:AI31">IF(ISERROR((O7-$Y7)/($Z7-$Y7)),-999,(O7-$Y7)/($Z7-$Y7))</f>
        <v>0.42445364317141054</v>
      </c>
      <c r="AJ7" s="4">
        <v>2.7020512924389086</v>
      </c>
      <c r="AK7" s="32">
        <f aca="true" t="shared" si="14" ref="AK7:AK31">IF(H7=1,(E7-$Y7)/($Z7-$Y7),-999)</f>
        <v>-999</v>
      </c>
      <c r="AL7" s="34">
        <f aca="true" t="shared" si="15" ref="AL7:AL31">IF(H7=3,(E7-$Y7)/($Z7-$Y7),-999)</f>
        <v>-999</v>
      </c>
      <c r="AQ7" s="103">
        <v>2</v>
      </c>
      <c r="AR7" s="103">
        <v>0.2422</v>
      </c>
      <c r="AS7" s="103">
        <v>7.2247</v>
      </c>
      <c r="AY7" s="103" t="s">
        <v>68</v>
      </c>
      <c r="AZ7" s="103" t="s">
        <v>449</v>
      </c>
      <c r="BA7" s="103" t="s">
        <v>395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0.11053501068199802</v>
      </c>
      <c r="G8" s="38">
        <f>IF(LEFT(VLOOKUP($B8,'Indicator chart'!$D$1:$J$36,7,FALSE),1)=" "," ",VLOOKUP($B8,'Indicator chart'!$D$1:$J$36,7,FALSE))</f>
        <v>0.13015686742072505</v>
      </c>
      <c r="H8" s="50">
        <f t="shared" si="0"/>
        <v>1</v>
      </c>
      <c r="I8" s="38">
        <v>0.05000000074505806</v>
      </c>
      <c r="J8" s="38">
        <v>0.11999999731779099</v>
      </c>
      <c r="K8" s="38">
        <v>0.14000000059604645</v>
      </c>
      <c r="L8" s="38">
        <v>0.18250000476837158</v>
      </c>
      <c r="M8" s="38">
        <v>0.3199999928474426</v>
      </c>
      <c r="N8" s="80">
        <f>VLOOKUP('Hide - Control'!B$3,'All practice data'!A:CA,A8+29,FALSE)</f>
        <v>0.14773482356333106</v>
      </c>
      <c r="O8" s="80">
        <f>VLOOKUP('Hide - Control'!C$3,'All practice data'!A:CA,A8+29,FALSE)</f>
        <v>0.15010930292554353</v>
      </c>
      <c r="P8" s="38">
        <f>VLOOKUP('Hide - Control'!$B$4,'All practice data'!B:BC,A8+2,FALSE)</f>
        <v>113754.77999999998</v>
      </c>
      <c r="Q8" s="38">
        <f>VLOOKUP('Hide - Control'!$B$4,'All practice data'!B:BC,3,FALSE)</f>
        <v>769993</v>
      </c>
      <c r="R8" s="38">
        <f>+((2*P8+1.96^2-1.96*SQRT(1.96^2+4*P8*(1-P8/Q8)))/(2*(Q8+1.96^2)))</f>
        <v>0.14694400403053565</v>
      </c>
      <c r="S8" s="38">
        <f>+((2*P8+1.96^2+1.96*SQRT(1.96^2+4*P8*(1-P8/Q8)))/(2*(Q8+1.96^2)))</f>
        <v>0.14852915807652303</v>
      </c>
      <c r="T8" s="53">
        <f aca="true" t="shared" si="16" ref="T8:T15">IF($C8=1,M8,I8)</f>
        <v>0.3199999928474426</v>
      </c>
      <c r="U8" s="51">
        <f t="shared" si="1"/>
        <v>0.05000000074505806</v>
      </c>
      <c r="V8" s="7"/>
      <c r="W8" s="27">
        <f t="shared" si="2"/>
        <v>-0.03999999165534973</v>
      </c>
      <c r="X8" s="27">
        <f t="shared" si="3"/>
        <v>0.3199999928474426</v>
      </c>
      <c r="Y8" s="27">
        <f t="shared" si="4"/>
        <v>-0.03999999165534973</v>
      </c>
      <c r="Z8" s="27">
        <f t="shared" si="5"/>
        <v>0.3199999928474426</v>
      </c>
      <c r="AA8" s="32">
        <f t="shared" si="6"/>
        <v>0.24999998965197096</v>
      </c>
      <c r="AB8" s="33">
        <f t="shared" si="7"/>
        <v>0.4444444329466344</v>
      </c>
      <c r="AC8" s="33">
        <v>0.5</v>
      </c>
      <c r="AD8" s="33">
        <f t="shared" si="8"/>
        <v>0.6180555722273802</v>
      </c>
      <c r="AE8" s="33">
        <f t="shared" si="9"/>
        <v>1</v>
      </c>
      <c r="AF8" s="33">
        <f t="shared" si="10"/>
        <v>-999</v>
      </c>
      <c r="AG8" s="33">
        <f t="shared" si="11"/>
        <v>-999</v>
      </c>
      <c r="AH8" s="33">
        <f t="shared" si="12"/>
        <v>0.4444444403972153</v>
      </c>
      <c r="AI8" s="34">
        <f t="shared" si="13"/>
        <v>0.5280813965685565</v>
      </c>
      <c r="AJ8" s="4">
        <v>3.778046717820832</v>
      </c>
      <c r="AK8" s="32">
        <f t="shared" si="14"/>
        <v>0.4444444403972153</v>
      </c>
      <c r="AL8" s="34">
        <f t="shared" si="15"/>
        <v>-999</v>
      </c>
      <c r="AQ8" s="103">
        <v>3</v>
      </c>
      <c r="AR8" s="103">
        <v>0.6187</v>
      </c>
      <c r="AS8" s="103">
        <v>8.7673</v>
      </c>
      <c r="AY8" s="103" t="s">
        <v>118</v>
      </c>
      <c r="AZ8" s="103" t="s">
        <v>119</v>
      </c>
      <c r="BA8" s="103" t="s">
        <v>395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379.5066413662239</v>
      </c>
      <c r="F9" s="38">
        <f>IF(LEFT(VLOOKUP($B9,'Indicator chart'!$D$1:$J$36,6,FALSE),1)=" "," ",VLOOKUP($B9,'Indicator chart'!$D$1:$J$36,6,FALSE))</f>
        <v>216.77916841550777</v>
      </c>
      <c r="G9" s="38">
        <f>IF(LEFT(VLOOKUP($B9,'Indicator chart'!$D$1:$J$36,7,FALSE),1)=" "," ",VLOOKUP($B9,'Indicator chart'!$D$1:$J$36,7,FALSE))</f>
        <v>616.3338528332991</v>
      </c>
      <c r="H9" s="50">
        <f t="shared" si="0"/>
        <v>2</v>
      </c>
      <c r="I9" s="38">
        <v>43.62367248535156</v>
      </c>
      <c r="J9" s="38">
        <v>391.99493408203125</v>
      </c>
      <c r="K9" s="38">
        <v>480.3515625</v>
      </c>
      <c r="L9" s="38">
        <v>610.54345703125</v>
      </c>
      <c r="M9" s="38">
        <v>898.3572998046875</v>
      </c>
      <c r="N9" s="80">
        <f>VLOOKUP('Hide - Control'!B$3,'All practice data'!A:CA,A9+29,FALSE)</f>
        <v>495.9785348697975</v>
      </c>
      <c r="O9" s="80">
        <f>VLOOKUP('Hide - Control'!C$3,'All practice data'!A:CA,A9+29,FALSE)</f>
        <v>445.6198871279627</v>
      </c>
      <c r="P9" s="38">
        <f>VLOOKUP('Hide - Control'!$B$4,'All practice data'!B:BC,A9+2,FALSE)</f>
        <v>3819</v>
      </c>
      <c r="Q9" s="38">
        <f>VLOOKUP('Hide - Control'!$B$4,'All practice data'!B:BC,3,FALSE)</f>
        <v>769993</v>
      </c>
      <c r="R9" s="38">
        <f>100000*(P9*(1-1/(9*P9)-1.96/(3*SQRT(P9)))^3)/Q9</f>
        <v>480.37131683552536</v>
      </c>
      <c r="S9" s="38">
        <f>100000*((P9+1)*(1-1/(9*(P9+1))+1.96/(3*SQRT(P9+1)))^3)/Q9</f>
        <v>511.9637046891004</v>
      </c>
      <c r="T9" s="53">
        <f t="shared" si="16"/>
        <v>898.3572998046875</v>
      </c>
      <c r="U9" s="51">
        <f t="shared" si="1"/>
        <v>43.62367248535156</v>
      </c>
      <c r="V9" s="7"/>
      <c r="W9" s="27">
        <f t="shared" si="2"/>
        <v>43.62367248535156</v>
      </c>
      <c r="X9" s="27">
        <f t="shared" si="3"/>
        <v>917.0794525146484</v>
      </c>
      <c r="Y9" s="27">
        <f t="shared" si="4"/>
        <v>43.62367248535156</v>
      </c>
      <c r="Z9" s="27">
        <f t="shared" si="5"/>
        <v>917.0794525146484</v>
      </c>
      <c r="AA9" s="32">
        <f t="shared" si="6"/>
        <v>0</v>
      </c>
      <c r="AB9" s="33">
        <f t="shared" si="7"/>
        <v>0.3988424709777464</v>
      </c>
      <c r="AC9" s="33">
        <v>0.5</v>
      </c>
      <c r="AD9" s="33">
        <f t="shared" si="8"/>
        <v>0.6490537901379314</v>
      </c>
      <c r="AE9" s="33">
        <f t="shared" si="9"/>
        <v>0.9785654258200307</v>
      </c>
      <c r="AF9" s="33">
        <f t="shared" si="10"/>
        <v>-999</v>
      </c>
      <c r="AG9" s="33">
        <f t="shared" si="11"/>
        <v>0.38454490377246847</v>
      </c>
      <c r="AH9" s="33">
        <f t="shared" si="12"/>
        <v>-999</v>
      </c>
      <c r="AI9" s="34">
        <f t="shared" si="13"/>
        <v>0.4602364811520598</v>
      </c>
      <c r="AJ9" s="4">
        <v>4.854042143202755</v>
      </c>
      <c r="AK9" s="32">
        <f t="shared" si="14"/>
        <v>-999</v>
      </c>
      <c r="AL9" s="34">
        <f t="shared" si="15"/>
        <v>-999</v>
      </c>
      <c r="AQ9" s="103">
        <v>4</v>
      </c>
      <c r="AR9" s="103">
        <v>1.0899</v>
      </c>
      <c r="AS9" s="103">
        <v>10.2416</v>
      </c>
      <c r="AY9" s="103" t="s">
        <v>90</v>
      </c>
      <c r="AZ9" s="103" t="s">
        <v>459</v>
      </c>
      <c r="BA9" s="103" t="s">
        <v>395</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189.78482055664062</v>
      </c>
      <c r="K10" s="38">
        <v>259.45440673828125</v>
      </c>
      <c r="L10" s="38">
        <v>359.095947265625</v>
      </c>
      <c r="M10" s="38">
        <v>639.06640625</v>
      </c>
      <c r="N10" s="80">
        <f>VLOOKUP('Hide - Control'!B$3,'All practice data'!A:CA,A10+29,FALSE)</f>
        <v>271.8206529150265</v>
      </c>
      <c r="O10" s="80">
        <f>VLOOKUP('Hide - Control'!C$3,'All practice data'!A:CA,A10+29,FALSE)</f>
        <v>234.12259778895606</v>
      </c>
      <c r="P10" s="38">
        <f>VLOOKUP('Hide - Control'!$B$4,'All practice data'!B:BC,A10+2,FALSE)</f>
        <v>2093</v>
      </c>
      <c r="Q10" s="38">
        <f>VLOOKUP('Hide - Control'!$B$4,'All practice data'!B:BC,3,FALSE)</f>
        <v>769993</v>
      </c>
      <c r="R10" s="38">
        <f>100000*(P10*(1-1/(9*P10)-1.96/(3*SQRT(P10)))^3)/Q10</f>
        <v>260.29871870335893</v>
      </c>
      <c r="S10" s="38">
        <f>100000*((P10+1)*(1-1/(9*(P10+1))+1.96/(3*SQRT(P10+1)))^3)/Q10</f>
        <v>283.72125534833407</v>
      </c>
      <c r="T10" s="53">
        <f t="shared" si="16"/>
        <v>639.06640625</v>
      </c>
      <c r="U10" s="51">
        <f t="shared" si="1"/>
        <v>44.173431396484375</v>
      </c>
      <c r="V10" s="7"/>
      <c r="W10" s="27">
        <f t="shared" si="2"/>
        <v>-120.1575927734375</v>
      </c>
      <c r="X10" s="27">
        <f t="shared" si="3"/>
        <v>639.06640625</v>
      </c>
      <c r="Y10" s="27">
        <f t="shared" si="4"/>
        <v>-120.1575927734375</v>
      </c>
      <c r="Z10" s="27">
        <f t="shared" si="5"/>
        <v>639.06640625</v>
      </c>
      <c r="AA10" s="32">
        <f t="shared" si="6"/>
        <v>0.21644603487415434</v>
      </c>
      <c r="AB10" s="33">
        <f t="shared" si="7"/>
        <v>0.4082357956660299</v>
      </c>
      <c r="AC10" s="33">
        <v>0.5</v>
      </c>
      <c r="AD10" s="33">
        <f t="shared" si="8"/>
        <v>0.6312412946054249</v>
      </c>
      <c r="AE10" s="33">
        <f t="shared" si="9"/>
        <v>1</v>
      </c>
      <c r="AF10" s="33">
        <f t="shared" si="10"/>
        <v>-999</v>
      </c>
      <c r="AG10" s="33">
        <f t="shared" si="11"/>
        <v>-999</v>
      </c>
      <c r="AH10" s="33">
        <f t="shared" si="12"/>
        <v>-999</v>
      </c>
      <c r="AI10" s="34">
        <f t="shared" si="13"/>
        <v>0.46663460456741546</v>
      </c>
      <c r="AJ10" s="4">
        <v>5.930037568584676</v>
      </c>
      <c r="AK10" s="32">
        <f t="shared" si="14"/>
        <v>-999</v>
      </c>
      <c r="AL10" s="34">
        <f t="shared" si="15"/>
        <v>-999</v>
      </c>
      <c r="AY10" s="103" t="s">
        <v>96</v>
      </c>
      <c r="AZ10" s="103" t="s">
        <v>97</v>
      </c>
      <c r="BA10" s="103" t="s">
        <v>576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92</v>
      </c>
      <c r="E11" s="38">
        <f>IF(LEFT(VLOOKUP($B11,'Indicator chart'!$D$1:$J$36,5,FALSE),1)=" "," ",VLOOKUP($B11,'Indicator chart'!$D$1:$J$36,5,FALSE))</f>
        <v>0.022000000000000002</v>
      </c>
      <c r="F11" s="38">
        <f>IF(LEFT(VLOOKUP($B11,'Indicator chart'!$D$1:$J$36,6,FALSE),1)=" "," ",VLOOKUP($B11,'Indicator chart'!$D$1:$J$36,6,FALSE))</f>
        <v>0.017827313758307824</v>
      </c>
      <c r="G11" s="38">
        <f>IF(LEFT(VLOOKUP($B11,'Indicator chart'!$D$1:$J$36,7,FALSE),1)=" "," ",VLOOKUP($B11,'Indicator chart'!$D$1:$J$36,7,FALSE))</f>
        <v>0.02668658458327922</v>
      </c>
      <c r="H11" s="50">
        <f t="shared" si="0"/>
        <v>3</v>
      </c>
      <c r="I11" s="38">
        <v>0.003000000026077032</v>
      </c>
      <c r="J11" s="38">
        <v>0.013749999925494194</v>
      </c>
      <c r="K11" s="38">
        <v>0.017000000923871994</v>
      </c>
      <c r="L11" s="38">
        <v>0.020999999716877937</v>
      </c>
      <c r="M11" s="38">
        <v>0.029999999329447746</v>
      </c>
      <c r="N11" s="80">
        <f>VLOOKUP('Hide - Control'!B$3,'All practice data'!A:CA,A11+29,FALSE)</f>
        <v>0.017548211477247194</v>
      </c>
      <c r="O11" s="80">
        <f>VLOOKUP('Hide - Control'!C$3,'All practice data'!A:CA,A11+29,FALSE)</f>
        <v>0.015940726342527432</v>
      </c>
      <c r="P11" s="38">
        <f>VLOOKUP('Hide - Control'!$B$4,'All practice data'!B:BC,A11+2,FALSE)</f>
        <v>13512</v>
      </c>
      <c r="Q11" s="38">
        <f>VLOOKUP('Hide - Control'!$B$4,'All practice data'!B:BC,3,FALSE)</f>
        <v>769993</v>
      </c>
      <c r="R11" s="80">
        <f aca="true" t="shared" si="17" ref="R11:R16">+((2*P11+1.96^2-1.96*SQRT(1.96^2+4*P11*(1-P11/Q11)))/(2*(Q11+1.96^2)))</f>
        <v>0.017257327791738268</v>
      </c>
      <c r="S11" s="80">
        <f aca="true" t="shared" si="18" ref="S11:S16">+((2*P11+1.96^2+1.96*SQRT(1.96^2+4*P11*(1-P11/Q11)))/(2*(Q11+1.96^2)))</f>
        <v>0.017843909174166707</v>
      </c>
      <c r="T11" s="53">
        <f t="shared" si="16"/>
        <v>0.029999999329447746</v>
      </c>
      <c r="U11" s="51">
        <f t="shared" si="1"/>
        <v>0.003000000026077032</v>
      </c>
      <c r="V11" s="7"/>
      <c r="W11" s="27">
        <f t="shared" si="2"/>
        <v>0.003000000026077032</v>
      </c>
      <c r="X11" s="27">
        <f t="shared" si="3"/>
        <v>0.031000001821666956</v>
      </c>
      <c r="Y11" s="27">
        <f t="shared" si="4"/>
        <v>0.003000000026077032</v>
      </c>
      <c r="Z11" s="27">
        <f t="shared" si="5"/>
        <v>0.031000001821666956</v>
      </c>
      <c r="AA11" s="32">
        <f t="shared" si="6"/>
        <v>0</v>
      </c>
      <c r="AB11" s="33">
        <f t="shared" si="7"/>
        <v>0.3839285432156764</v>
      </c>
      <c r="AC11" s="33">
        <v>0.5</v>
      </c>
      <c r="AD11" s="33">
        <f t="shared" si="8"/>
        <v>0.6428570905890425</v>
      </c>
      <c r="AE11" s="33">
        <f t="shared" si="9"/>
        <v>0.9642856275681841</v>
      </c>
      <c r="AF11" s="33">
        <f t="shared" si="10"/>
        <v>-999</v>
      </c>
      <c r="AG11" s="33">
        <f t="shared" si="11"/>
        <v>-999</v>
      </c>
      <c r="AH11" s="33">
        <f t="shared" si="12"/>
        <v>0.6785713841245368</v>
      </c>
      <c r="AI11" s="34">
        <f t="shared" si="13"/>
        <v>0.46216876737802925</v>
      </c>
      <c r="AJ11" s="4">
        <v>7.0060329939666</v>
      </c>
      <c r="AK11" s="32">
        <f t="shared" si="14"/>
        <v>-999</v>
      </c>
      <c r="AL11" s="34">
        <f t="shared" si="15"/>
        <v>0.6785713841245368</v>
      </c>
      <c r="AY11" s="103" t="s">
        <v>214</v>
      </c>
      <c r="AZ11" s="103" t="s">
        <v>215</v>
      </c>
      <c r="BA11" s="103" t="s">
        <v>576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512</v>
      </c>
      <c r="E12" s="38">
        <f>IF(LEFT(VLOOKUP($B12,'Indicator chart'!$D$1:$J$36,5,FALSE),1)=" "," ",VLOOKUP($B12,'Indicator chart'!$D$1:$J$36,5,FALSE))</f>
        <v>0.793798</v>
      </c>
      <c r="F12" s="38">
        <f>IF(LEFT(VLOOKUP($B12,'Indicator chart'!$D$1:$J$36,6,FALSE),1)=" "," ",VLOOKUP($B12,'Indicator chart'!$D$1:$J$36,6,FALSE))</f>
        <v>0.7608797711510752</v>
      </c>
      <c r="G12" s="38">
        <f>IF(LEFT(VLOOKUP($B12,'Indicator chart'!$D$1:$J$36,7,FALSE),1)=" "," ",VLOOKUP($B12,'Indicator chart'!$D$1:$J$36,7,FALSE))</f>
        <v>0.8232381399076486</v>
      </c>
      <c r="H12" s="50">
        <f t="shared" si="0"/>
        <v>3</v>
      </c>
      <c r="I12" s="38">
        <v>0.570796012878418</v>
      </c>
      <c r="J12" s="38">
        <v>0.7000172734260559</v>
      </c>
      <c r="K12" s="38">
        <v>0.746814489364624</v>
      </c>
      <c r="L12" s="38">
        <v>0.7777507305145264</v>
      </c>
      <c r="M12" s="38">
        <v>0.8635169863700867</v>
      </c>
      <c r="N12" s="80">
        <f>VLOOKUP('Hide - Control'!B$3,'All practice data'!A:CA,A12+29,FALSE)</f>
        <v>0.7475899579891624</v>
      </c>
      <c r="O12" s="80">
        <f>VLOOKUP('Hide - Control'!C$3,'All practice data'!A:CA,A12+29,FALSE)</f>
        <v>0.7248631360507991</v>
      </c>
      <c r="P12" s="38">
        <f>VLOOKUP('Hide - Control'!$B$4,'All practice data'!B:BC,A12+2,FALSE)</f>
        <v>73672</v>
      </c>
      <c r="Q12" s="38">
        <f>VLOOKUP('Hide - Control'!$B$4,'All practice data'!B:BJ,57,FALSE)</f>
        <v>98546</v>
      </c>
      <c r="R12" s="38">
        <f t="shared" si="17"/>
        <v>0.744868142907006</v>
      </c>
      <c r="S12" s="38">
        <f t="shared" si="18"/>
        <v>0.7502924703191852</v>
      </c>
      <c r="T12" s="53">
        <f t="shared" si="16"/>
        <v>0.8635169863700867</v>
      </c>
      <c r="U12" s="51">
        <f t="shared" si="1"/>
        <v>0.570796012878418</v>
      </c>
      <c r="V12" s="7"/>
      <c r="W12" s="27">
        <f t="shared" si="2"/>
        <v>0.570796012878418</v>
      </c>
      <c r="X12" s="27">
        <f t="shared" si="3"/>
        <v>0.9228329658508301</v>
      </c>
      <c r="Y12" s="27">
        <f t="shared" si="4"/>
        <v>0.570796012878418</v>
      </c>
      <c r="Z12" s="27">
        <f t="shared" si="5"/>
        <v>0.9228329658508301</v>
      </c>
      <c r="AA12" s="32">
        <f t="shared" si="6"/>
        <v>0</v>
      </c>
      <c r="AB12" s="33">
        <f t="shared" si="7"/>
        <v>0.36706731908841556</v>
      </c>
      <c r="AC12" s="33">
        <v>0.5</v>
      </c>
      <c r="AD12" s="33">
        <f t="shared" si="8"/>
        <v>0.5878778233043243</v>
      </c>
      <c r="AE12" s="33">
        <f t="shared" si="9"/>
        <v>0.8315063831228201</v>
      </c>
      <c r="AF12" s="33">
        <f t="shared" si="10"/>
        <v>-999</v>
      </c>
      <c r="AG12" s="33">
        <f t="shared" si="11"/>
        <v>-999</v>
      </c>
      <c r="AH12" s="33">
        <f t="shared" si="12"/>
        <v>0.6334618716548711</v>
      </c>
      <c r="AI12" s="34">
        <f t="shared" si="13"/>
        <v>0.43764474686966975</v>
      </c>
      <c r="AJ12" s="4">
        <v>8.082028419348523</v>
      </c>
      <c r="AK12" s="32">
        <f t="shared" si="14"/>
        <v>-999</v>
      </c>
      <c r="AL12" s="34">
        <f t="shared" si="15"/>
        <v>0.6334618716548711</v>
      </c>
      <c r="AY12" s="103" t="s">
        <v>261</v>
      </c>
      <c r="AZ12" s="103" t="s">
        <v>512</v>
      </c>
      <c r="BA12" s="103" t="s">
        <v>395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0.444444</v>
      </c>
      <c r="F13" s="38">
        <f>IF(LEFT(VLOOKUP($B13,'Indicator chart'!$D$1:$J$36,6,FALSE),1)=" "," ",VLOOKUP($B13,'Indicator chart'!$D$1:$J$36,6,FALSE))</f>
        <v>0.24559231101389126</v>
      </c>
      <c r="G13" s="38">
        <f>IF(LEFT(VLOOKUP($B13,'Indicator chart'!$D$1:$J$36,7,FALSE),1)=" "," ",VLOOKUP($B13,'Indicator chart'!$D$1:$J$36,7,FALSE))</f>
        <v>0.6628393057174837</v>
      </c>
      <c r="H13" s="50">
        <f t="shared" si="0"/>
        <v>1</v>
      </c>
      <c r="I13" s="38">
        <v>0</v>
      </c>
      <c r="J13" s="38">
        <v>0.33333298563957214</v>
      </c>
      <c r="K13" s="38">
        <v>0.5</v>
      </c>
      <c r="L13" s="38">
        <v>0.7683799862861633</v>
      </c>
      <c r="M13" s="38">
        <v>0.9026370048522949</v>
      </c>
      <c r="N13" s="80">
        <f>VLOOKUP('Hide - Control'!B$3,'All practice data'!A:CA,A13+29,FALSE)</f>
        <v>0.7658069188346053</v>
      </c>
      <c r="O13" s="80">
        <f>VLOOKUP('Hide - Control'!C$3,'All practice data'!A:CA,A13+29,FALSE)</f>
        <v>0.7467412166569077</v>
      </c>
      <c r="P13" s="38">
        <f>VLOOKUP('Hide - Control'!$B$4,'All practice data'!B:BC,A13+2,FALSE)</f>
        <v>27494</v>
      </c>
      <c r="Q13" s="38">
        <f>VLOOKUP('Hide - Control'!$B$4,'All practice data'!B:BJ,58,FALSE)</f>
        <v>35902</v>
      </c>
      <c r="R13" s="38">
        <f t="shared" si="17"/>
        <v>0.761397922843267</v>
      </c>
      <c r="S13" s="38">
        <f t="shared" si="18"/>
        <v>0.7701590369579482</v>
      </c>
      <c r="T13" s="53">
        <f t="shared" si="16"/>
        <v>0.9026370048522949</v>
      </c>
      <c r="U13" s="51">
        <f t="shared" si="1"/>
        <v>0</v>
      </c>
      <c r="V13" s="7"/>
      <c r="W13" s="27">
        <f t="shared" si="2"/>
        <v>0</v>
      </c>
      <c r="X13" s="27">
        <f t="shared" si="3"/>
        <v>1</v>
      </c>
      <c r="Y13" s="27">
        <f t="shared" si="4"/>
        <v>0</v>
      </c>
      <c r="Z13" s="27">
        <f t="shared" si="5"/>
        <v>1</v>
      </c>
      <c r="AA13" s="32">
        <f t="shared" si="6"/>
        <v>0</v>
      </c>
      <c r="AB13" s="33">
        <f t="shared" si="7"/>
        <v>0.33333298563957214</v>
      </c>
      <c r="AC13" s="33">
        <v>0.5</v>
      </c>
      <c r="AD13" s="33">
        <f t="shared" si="8"/>
        <v>0.7683799862861633</v>
      </c>
      <c r="AE13" s="33">
        <f t="shared" si="9"/>
        <v>0.9026370048522949</v>
      </c>
      <c r="AF13" s="33">
        <f t="shared" si="10"/>
        <v>-999</v>
      </c>
      <c r="AG13" s="33">
        <f t="shared" si="11"/>
        <v>-999</v>
      </c>
      <c r="AH13" s="33">
        <f t="shared" si="12"/>
        <v>0.444444</v>
      </c>
      <c r="AI13" s="34">
        <f t="shared" si="13"/>
        <v>0.7467412166569077</v>
      </c>
      <c r="AJ13" s="4">
        <v>9.158023844730446</v>
      </c>
      <c r="AK13" s="32">
        <f t="shared" si="14"/>
        <v>0.444444</v>
      </c>
      <c r="AL13" s="34">
        <f t="shared" si="15"/>
        <v>-999</v>
      </c>
      <c r="AY13" s="103" t="s">
        <v>260</v>
      </c>
      <c r="AZ13" s="103" t="s">
        <v>511</v>
      </c>
      <c r="BA13" s="103" t="s">
        <v>395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767</v>
      </c>
      <c r="E14" s="38">
        <f>IF(LEFT(VLOOKUP($B14,'Indicator chart'!$D$1:$J$36,5,FALSE),1)=" "," ",VLOOKUP($B14,'Indicator chart'!$D$1:$J$36,5,FALSE))</f>
        <v>0.768537</v>
      </c>
      <c r="F14" s="38">
        <f>IF(LEFT(VLOOKUP($B14,'Indicator chart'!$D$1:$J$36,6,FALSE),1)=" "," ",VLOOKUP($B14,'Indicator chart'!$D$1:$J$36,6,FALSE))</f>
        <v>0.7413696834984717</v>
      </c>
      <c r="G14" s="38">
        <f>IF(LEFT(VLOOKUP($B14,'Indicator chart'!$D$1:$J$36,7,FALSE),1)=" "," ",VLOOKUP($B14,'Indicator chart'!$D$1:$J$36,7,FALSE))</f>
        <v>0.7936450333988901</v>
      </c>
      <c r="H14" s="50">
        <f t="shared" si="0"/>
        <v>2</v>
      </c>
      <c r="I14" s="38">
        <v>0.6500890254974365</v>
      </c>
      <c r="J14" s="38">
        <v>0.7380629777908325</v>
      </c>
      <c r="K14" s="38">
        <v>0.771016001701355</v>
      </c>
      <c r="L14" s="38">
        <v>0.8079527616500854</v>
      </c>
      <c r="M14" s="38">
        <v>0.9125300049781799</v>
      </c>
      <c r="N14" s="80">
        <f>VLOOKUP('Hide - Control'!B$3,'All practice data'!A:CA,A14+29,FALSE)</f>
        <v>0.7705900262527502</v>
      </c>
      <c r="O14" s="80">
        <f>VLOOKUP('Hide - Control'!C$3,'All practice data'!A:CA,A14+29,FALSE)</f>
        <v>0.7559681673907895</v>
      </c>
      <c r="P14" s="38">
        <f>VLOOKUP('Hide - Control'!$B$4,'All practice data'!B:BC,A14+2,FALSE)</f>
        <v>134142</v>
      </c>
      <c r="Q14" s="38">
        <f>VLOOKUP('Hide - Control'!$B$4,'All practice data'!B:BJ,59,FALSE)</f>
        <v>174077</v>
      </c>
      <c r="R14" s="38">
        <f t="shared" si="17"/>
        <v>0.768608903425258</v>
      </c>
      <c r="S14" s="38">
        <f t="shared" si="18"/>
        <v>0.7725592063686227</v>
      </c>
      <c r="T14" s="53">
        <f t="shared" si="16"/>
        <v>0.9125300049781799</v>
      </c>
      <c r="U14" s="51">
        <f t="shared" si="1"/>
        <v>0.6500890254974365</v>
      </c>
      <c r="V14" s="7"/>
      <c r="W14" s="27">
        <f t="shared" si="2"/>
        <v>0.62950199842453</v>
      </c>
      <c r="X14" s="27">
        <f t="shared" si="3"/>
        <v>0.9125300049781799</v>
      </c>
      <c r="Y14" s="27">
        <f t="shared" si="4"/>
        <v>0.62950199842453</v>
      </c>
      <c r="Z14" s="27">
        <f t="shared" si="5"/>
        <v>0.9125300049781799</v>
      </c>
      <c r="AA14" s="32">
        <f t="shared" si="6"/>
        <v>0.07273848027829034</v>
      </c>
      <c r="AB14" s="33">
        <f t="shared" si="7"/>
        <v>0.38356974169524105</v>
      </c>
      <c r="AC14" s="33">
        <v>0.5</v>
      </c>
      <c r="AD14" s="33">
        <f t="shared" si="8"/>
        <v>0.6305056711471727</v>
      </c>
      <c r="AE14" s="33">
        <f t="shared" si="9"/>
        <v>1</v>
      </c>
      <c r="AF14" s="33">
        <f t="shared" si="10"/>
        <v>-999</v>
      </c>
      <c r="AG14" s="33">
        <f t="shared" si="11"/>
        <v>0.4912411434771384</v>
      </c>
      <c r="AH14" s="33">
        <f t="shared" si="12"/>
        <v>-999</v>
      </c>
      <c r="AI14" s="34">
        <f t="shared" si="13"/>
        <v>0.44683270219863197</v>
      </c>
      <c r="AJ14" s="4">
        <v>10.234019270112368</v>
      </c>
      <c r="AK14" s="32">
        <f t="shared" si="14"/>
        <v>-999</v>
      </c>
      <c r="AL14" s="34">
        <f t="shared" si="15"/>
        <v>-999</v>
      </c>
      <c r="AY14" s="103" t="s">
        <v>53</v>
      </c>
      <c r="AZ14" s="103" t="s">
        <v>519</v>
      </c>
      <c r="BA14" s="103" t="s">
        <v>576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315</v>
      </c>
      <c r="E15" s="38">
        <f>IF(LEFT(VLOOKUP($B15,'Indicator chart'!$D$1:$J$36,5,FALSE),1)=" "," ",VLOOKUP($B15,'Indicator chart'!$D$1:$J$36,5,FALSE))</f>
        <v>0.518946</v>
      </c>
      <c r="F15" s="38">
        <f>IF(LEFT(VLOOKUP($B15,'Indicator chart'!$D$1:$J$36,6,FALSE),1)=" "," ",VLOOKUP($B15,'Indicator chart'!$D$1:$J$36,6,FALSE))</f>
        <v>0.4792030842096045</v>
      </c>
      <c r="G15" s="38">
        <f>IF(LEFT(VLOOKUP($B15,'Indicator chart'!$D$1:$J$36,7,FALSE),1)=" "," ",VLOOKUP($B15,'Indicator chart'!$D$1:$J$36,7,FALSE))</f>
        <v>0.5584498850708113</v>
      </c>
      <c r="H15" s="50">
        <f t="shared" si="0"/>
        <v>2</v>
      </c>
      <c r="I15" s="38">
        <v>0.2709360122680664</v>
      </c>
      <c r="J15" s="38">
        <v>0.45210498571395874</v>
      </c>
      <c r="K15" s="38">
        <v>0.5259249806404114</v>
      </c>
      <c r="L15" s="38">
        <v>0.5654799938201904</v>
      </c>
      <c r="M15" s="38">
        <v>0.6716139912605286</v>
      </c>
      <c r="N15" s="80">
        <f>VLOOKUP('Hide - Control'!B$3,'All practice data'!A:CA,A15+29,FALSE)</f>
        <v>0.5237061663560901</v>
      </c>
      <c r="O15" s="80">
        <f>VLOOKUP('Hide - Control'!C$3,'All practice data'!A:CA,A15+29,FALSE)</f>
        <v>0.5147293797466616</v>
      </c>
      <c r="P15" s="38">
        <f>VLOOKUP('Hide - Control'!$B$4,'All practice data'!B:BC,A15+2,FALSE)</f>
        <v>49463</v>
      </c>
      <c r="Q15" s="38">
        <f>VLOOKUP('Hide - Control'!$B$4,'All practice data'!B:BJ,60,FALSE)</f>
        <v>94448</v>
      </c>
      <c r="R15" s="38">
        <f t="shared" si="17"/>
        <v>0.5205200352248258</v>
      </c>
      <c r="S15" s="38">
        <f t="shared" si="18"/>
        <v>0.5268903691055011</v>
      </c>
      <c r="T15" s="53">
        <f t="shared" si="16"/>
        <v>0.6716139912605286</v>
      </c>
      <c r="U15" s="51">
        <f t="shared" si="1"/>
        <v>0.2709360122680664</v>
      </c>
      <c r="V15" s="7"/>
      <c r="W15" s="27">
        <f t="shared" si="2"/>
        <v>0.2709360122680664</v>
      </c>
      <c r="X15" s="27">
        <f t="shared" si="3"/>
        <v>0.7809139490127563</v>
      </c>
      <c r="Y15" s="27">
        <f t="shared" si="4"/>
        <v>0.2709360122680664</v>
      </c>
      <c r="Z15" s="27">
        <f t="shared" si="5"/>
        <v>0.7809139490127563</v>
      </c>
      <c r="AA15" s="32">
        <f t="shared" si="6"/>
        <v>0</v>
      </c>
      <c r="AB15" s="33">
        <f t="shared" si="7"/>
        <v>0.3552486497795117</v>
      </c>
      <c r="AC15" s="33">
        <v>0.5</v>
      </c>
      <c r="AD15" s="33">
        <f t="shared" si="8"/>
        <v>0.5775622048127573</v>
      </c>
      <c r="AE15" s="33">
        <f t="shared" si="9"/>
        <v>0.785677085463902</v>
      </c>
      <c r="AF15" s="33">
        <f t="shared" si="10"/>
        <v>-999</v>
      </c>
      <c r="AG15" s="33">
        <f t="shared" si="11"/>
        <v>0.48631513220952294</v>
      </c>
      <c r="AH15" s="33">
        <f t="shared" si="12"/>
        <v>-999</v>
      </c>
      <c r="AI15" s="34">
        <f t="shared" si="13"/>
        <v>0.47804689166512965</v>
      </c>
      <c r="AJ15" s="4">
        <v>11.310014695494289</v>
      </c>
      <c r="AK15" s="32">
        <f t="shared" si="14"/>
        <v>-999</v>
      </c>
      <c r="AL15" s="34">
        <f t="shared" si="15"/>
        <v>-999</v>
      </c>
      <c r="AY15" s="103" t="s">
        <v>229</v>
      </c>
      <c r="AZ15" s="103" t="s">
        <v>230</v>
      </c>
      <c r="BA15" s="103" t="s">
        <v>395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158</v>
      </c>
      <c r="E16" s="38">
        <f>IF(LEFT(VLOOKUP($B16,'Indicator chart'!$D$1:$J$36,5,FALSE),1)=" "," ",VLOOKUP($B16,'Indicator chart'!$D$1:$J$36,5,FALSE))</f>
        <v>0.523179</v>
      </c>
      <c r="F16" s="38">
        <f>IF(LEFT(VLOOKUP($B16,'Indicator chart'!$D$1:$J$36,6,FALSE),1)=" "," ",VLOOKUP($B16,'Indicator chart'!$D$1:$J$36,6,FALSE))</f>
        <v>0.4669097761273101</v>
      </c>
      <c r="G16" s="38">
        <f>IF(LEFT(VLOOKUP($B16,'Indicator chart'!$D$1:$J$36,7,FALSE),1)=" "," ",VLOOKUP($B16,'Indicator chart'!$D$1:$J$36,7,FALSE))</f>
        <v>0.5788655533242753</v>
      </c>
      <c r="H16" s="50">
        <f t="shared" si="0"/>
        <v>2</v>
      </c>
      <c r="I16" s="38">
        <v>0.3714289963245392</v>
      </c>
      <c r="J16" s="38">
        <v>0.5040822625160217</v>
      </c>
      <c r="K16" s="38">
        <v>0.558045506477356</v>
      </c>
      <c r="L16" s="38">
        <v>0.5898535251617432</v>
      </c>
      <c r="M16" s="38">
        <v>0.7341269850730896</v>
      </c>
      <c r="N16" s="80">
        <f>VLOOKUP('Hide - Control'!B$3,'All practice data'!A:CA,A16+29,FALSE)</f>
        <v>0.5616608759061468</v>
      </c>
      <c r="O16" s="80">
        <f>VLOOKUP('Hide - Control'!C$3,'All practice data'!A:CA,A16+29,FALSE)</f>
        <v>0.5752927626212945</v>
      </c>
      <c r="P16" s="38">
        <f>VLOOKUP('Hide - Control'!$B$4,'All practice data'!B:BC,A16+2,FALSE)</f>
        <v>26188</v>
      </c>
      <c r="Q16" s="38">
        <f>VLOOKUP('Hide - Control'!$B$4,'All practice data'!B:BJ,61,FALSE)</f>
        <v>46626</v>
      </c>
      <c r="R16" s="38">
        <f t="shared" si="17"/>
        <v>0.5571521257561293</v>
      </c>
      <c r="S16" s="38">
        <f t="shared" si="18"/>
        <v>0.5661594661923195</v>
      </c>
      <c r="T16" s="53">
        <f aca="true" t="shared" si="19" ref="T16:T31">IF($C16=1,M16,I16)</f>
        <v>0.7341269850730896</v>
      </c>
      <c r="U16" s="51">
        <f aca="true" t="shared" si="20" ref="U16:U31">IF($C16=1,I16,M16)</f>
        <v>0.3714289963245392</v>
      </c>
      <c r="V16" s="7"/>
      <c r="W16" s="27">
        <f t="shared" si="2"/>
        <v>0.3714289963245392</v>
      </c>
      <c r="X16" s="27">
        <f t="shared" si="3"/>
        <v>0.7446620166301727</v>
      </c>
      <c r="Y16" s="27">
        <f t="shared" si="4"/>
        <v>0.3714289963245392</v>
      </c>
      <c r="Z16" s="27">
        <f t="shared" si="5"/>
        <v>0.7446620166301727</v>
      </c>
      <c r="AA16" s="32">
        <f t="shared" si="6"/>
        <v>0</v>
      </c>
      <c r="AB16" s="33">
        <f t="shared" si="7"/>
        <v>0.3554167476469667</v>
      </c>
      <c r="AC16" s="33">
        <v>0.5</v>
      </c>
      <c r="AD16" s="33">
        <f t="shared" si="8"/>
        <v>0.585222949079747</v>
      </c>
      <c r="AE16" s="33">
        <f t="shared" si="9"/>
        <v>0.9717735811572722</v>
      </c>
      <c r="AF16" s="33">
        <f t="shared" si="10"/>
        <v>-999</v>
      </c>
      <c r="AG16" s="33">
        <f t="shared" si="11"/>
        <v>0.4065824710557376</v>
      </c>
      <c r="AH16" s="33">
        <f t="shared" si="12"/>
        <v>-999</v>
      </c>
      <c r="AI16" s="34">
        <f t="shared" si="13"/>
        <v>0.5462104240664855</v>
      </c>
      <c r="AJ16" s="4">
        <v>12.386010120876215</v>
      </c>
      <c r="AK16" s="32">
        <f t="shared" si="14"/>
        <v>-999</v>
      </c>
      <c r="AL16" s="34">
        <f t="shared" si="15"/>
        <v>-999</v>
      </c>
      <c r="AY16" s="103" t="s">
        <v>393</v>
      </c>
      <c r="AZ16" s="103" t="s">
        <v>414</v>
      </c>
      <c r="BA16" s="103" t="s">
        <v>576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119</v>
      </c>
      <c r="E17" s="38">
        <f>IF(LEFT(VLOOKUP($B17,'Indicator chart'!$D$1:$J$36,5,FALSE),1)=" "," ",VLOOKUP($B17,'Indicator chart'!$D$1:$J$36,5,FALSE))</f>
        <v>2822.5806451612902</v>
      </c>
      <c r="F17" s="38">
        <f>IF(LEFT(VLOOKUP($B17,'Indicator chart'!$D$1:$J$36,6,FALSE),1)=" "," ",VLOOKUP($B17,'Indicator chart'!$D$1:$J$36,6,FALSE))</f>
        <v>2338.2254339729247</v>
      </c>
      <c r="G17" s="38">
        <f>IF(LEFT(VLOOKUP($B17,'Indicator chart'!$D$1:$J$36,7,FALSE),1)=" "," ",VLOOKUP($B17,'Indicator chart'!$D$1:$J$36,7,FALSE))</f>
        <v>3377.6746279945055</v>
      </c>
      <c r="H17" s="50">
        <f t="shared" si="0"/>
        <v>2</v>
      </c>
      <c r="I17" s="38">
        <v>288.4962158203125</v>
      </c>
      <c r="J17" s="38">
        <v>1678.271484375</v>
      </c>
      <c r="K17" s="38">
        <v>2504.891357421875</v>
      </c>
      <c r="L17" s="38">
        <v>3173.880126953125</v>
      </c>
      <c r="M17" s="38">
        <v>5695.50927734375</v>
      </c>
      <c r="N17" s="80">
        <f>VLOOKUP('Hide - Control'!B$3,'All practice data'!A:CA,A17+29,FALSE)</f>
        <v>2589.114446494968</v>
      </c>
      <c r="O17" s="80">
        <f>VLOOKUP('Hide - Control'!C$3,'All practice data'!A:CA,A17+29,FALSE)</f>
        <v>1812.1669120472948</v>
      </c>
      <c r="P17" s="38">
        <f>VLOOKUP('Hide - Control'!$B$4,'All practice data'!B:BC,A17+2,FALSE)</f>
        <v>19936</v>
      </c>
      <c r="Q17" s="38">
        <f>VLOOKUP('Hide - Control'!$B$4,'All practice data'!B:BC,3,FALSE)</f>
        <v>769993</v>
      </c>
      <c r="R17" s="38">
        <f>100000*(P17*(1-1/(9*P17)-1.96/(3*SQRT(P17)))^3)/Q17</f>
        <v>2553.2967571037807</v>
      </c>
      <c r="S17" s="38">
        <f>100000*((P17+1)*(1-1/(9*(P17+1))+1.96/(3*SQRT(P17+1)))^3)/Q17</f>
        <v>2625.3089354341255</v>
      </c>
      <c r="T17" s="53">
        <f t="shared" si="19"/>
        <v>5695.50927734375</v>
      </c>
      <c r="U17" s="51">
        <f t="shared" si="20"/>
        <v>288.4962158203125</v>
      </c>
      <c r="V17" s="7"/>
      <c r="W17" s="27">
        <f t="shared" si="2"/>
        <v>-685.7265625</v>
      </c>
      <c r="X17" s="27">
        <f t="shared" si="3"/>
        <v>5695.50927734375</v>
      </c>
      <c r="Y17" s="27">
        <f t="shared" si="4"/>
        <v>-685.7265625</v>
      </c>
      <c r="Z17" s="27">
        <f t="shared" si="5"/>
        <v>5695.50927734375</v>
      </c>
      <c r="AA17" s="32">
        <f t="shared" si="6"/>
        <v>0.15266992206076607</v>
      </c>
      <c r="AB17" s="33">
        <f t="shared" si="7"/>
        <v>0.37046084899643583</v>
      </c>
      <c r="AC17" s="33">
        <v>0.5</v>
      </c>
      <c r="AD17" s="33">
        <f t="shared" si="8"/>
        <v>0.6048368664505637</v>
      </c>
      <c r="AE17" s="33">
        <f t="shared" si="9"/>
        <v>1</v>
      </c>
      <c r="AF17" s="33">
        <f t="shared" si="10"/>
        <v>-999</v>
      </c>
      <c r="AG17" s="33">
        <f t="shared" si="11"/>
        <v>0.5497849156045601</v>
      </c>
      <c r="AH17" s="33">
        <f t="shared" si="12"/>
        <v>-999</v>
      </c>
      <c r="AI17" s="34">
        <f t="shared" si="13"/>
        <v>0.3914435286893358</v>
      </c>
      <c r="AJ17" s="4">
        <v>13.462005546258133</v>
      </c>
      <c r="AK17" s="32">
        <f t="shared" si="14"/>
        <v>-999</v>
      </c>
      <c r="AL17" s="34">
        <f t="shared" si="15"/>
        <v>-999</v>
      </c>
      <c r="AY17" s="103" t="s">
        <v>103</v>
      </c>
      <c r="AZ17" s="103" t="s">
        <v>104</v>
      </c>
      <c r="BA17" s="103" t="s">
        <v>395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119</v>
      </c>
      <c r="E18" s="80">
        <f>IF(LEFT(VLOOKUP($B18,'Indicator chart'!$D$1:$J$36,5,FALSE),1)=" "," ",VLOOKUP($B18,'Indicator chart'!$D$1:$J$36,5,FALSE))</f>
        <v>1.3408612059999998</v>
      </c>
      <c r="F18" s="81">
        <f>IF(LEFT(VLOOKUP($B18,'Indicator chart'!$D$1:$J$36,6,FALSE),1)=" "," ",VLOOKUP($B18,'Indicator chart'!$D$1:$J$36,6,FALSE))</f>
        <v>1.1107923130000001</v>
      </c>
      <c r="G18" s="38">
        <f>IF(LEFT(VLOOKUP($B18,'Indicator chart'!$D$1:$J$36,7,FALSE),1)=" "," ",VLOOKUP($B18,'Indicator chart'!$D$1:$J$36,7,FALSE))</f>
        <v>1.6045404049999998</v>
      </c>
      <c r="H18" s="50">
        <f>IF(LEFT(F18,1)=" ",4,IF(AND(ABS(N18-E18)&gt;SQRT((E18-G18)^2+(N18-R18)^2),E18&lt;N18),1,IF(AND(ABS(N18-E18)&gt;SQRT((E18-F18)^2+(N18-S18)^2),E18&gt;N18),3,2)))</f>
        <v>3</v>
      </c>
      <c r="I18" s="38">
        <v>0.21878454089164734</v>
      </c>
      <c r="J18" s="38"/>
      <c r="K18" s="38">
        <v>1</v>
      </c>
      <c r="L18" s="38"/>
      <c r="M18" s="38">
        <v>2.8625993728637695</v>
      </c>
      <c r="N18" s="80">
        <v>1</v>
      </c>
      <c r="O18" s="80">
        <f>VLOOKUP('Hide - Control'!C$3,'All practice data'!A:CA,A18+29,FALSE)</f>
        <v>1</v>
      </c>
      <c r="P18" s="38">
        <f>VLOOKUP('Hide - Control'!$B$4,'All practice data'!B:BC,A18+2,FALSE)</f>
        <v>19936</v>
      </c>
      <c r="Q18" s="38">
        <f>VLOOKUP('Hide - Control'!$B$4,'All practice data'!B:BC,14,FALSE)</f>
        <v>19936</v>
      </c>
      <c r="R18" s="81">
        <v>1</v>
      </c>
      <c r="S18" s="38">
        <v>1</v>
      </c>
      <c r="T18" s="53">
        <f t="shared" si="19"/>
        <v>2.8625993728637695</v>
      </c>
      <c r="U18" s="51">
        <f t="shared" si="20"/>
        <v>0.21878454089164734</v>
      </c>
      <c r="V18" s="7"/>
      <c r="W18" s="27">
        <f>IF((K18-I18)&gt;(M18-K18),I18,(K18-(M18-K18)))</f>
        <v>-0.8625993728637695</v>
      </c>
      <c r="X18" s="27">
        <f t="shared" si="3"/>
        <v>2.8625993728637695</v>
      </c>
      <c r="Y18" s="27">
        <f t="shared" si="4"/>
        <v>-0.8625993728637695</v>
      </c>
      <c r="Z18" s="27">
        <f t="shared" si="5"/>
        <v>2.8625993728637695</v>
      </c>
      <c r="AA18" s="32" t="s">
        <v>395</v>
      </c>
      <c r="AB18" s="33" t="s">
        <v>395</v>
      </c>
      <c r="AC18" s="33">
        <v>0.5</v>
      </c>
      <c r="AD18" s="33" t="s">
        <v>395</v>
      </c>
      <c r="AE18" s="33" t="s">
        <v>395</v>
      </c>
      <c r="AF18" s="33">
        <f t="shared" si="10"/>
        <v>-999</v>
      </c>
      <c r="AG18" s="33">
        <f t="shared" si="11"/>
        <v>-999</v>
      </c>
      <c r="AH18" s="33">
        <f t="shared" si="12"/>
        <v>0.5915014820057416</v>
      </c>
      <c r="AI18" s="34">
        <v>0.5</v>
      </c>
      <c r="AJ18" s="4">
        <v>14.538000971640056</v>
      </c>
      <c r="AK18" s="32">
        <f t="shared" si="14"/>
        <v>-999</v>
      </c>
      <c r="AL18" s="34">
        <f t="shared" si="15"/>
        <v>0.5915014820057416</v>
      </c>
      <c r="AY18" s="103" t="s">
        <v>105</v>
      </c>
      <c r="AZ18" s="103" t="s">
        <v>106</v>
      </c>
      <c r="BA18" s="103" t="s">
        <v>395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0.1092436974789916</v>
      </c>
      <c r="F19" s="38">
        <f>IF(LEFT(VLOOKUP($B19,'Indicator chart'!$D$1:$J$36,6,FALSE),1)=" "," ",VLOOKUP($B19,'Indicator chart'!$D$1:$J$36,6,FALSE))</f>
        <v>0.06496179454072627</v>
      </c>
      <c r="G19" s="38">
        <f>IF(LEFT(VLOOKUP($B19,'Indicator chart'!$D$1:$J$36,7,FALSE),1)=" "," ",VLOOKUP($B19,'Indicator chart'!$D$1:$J$36,7,FALSE))</f>
        <v>0.17796568279594144</v>
      </c>
      <c r="H19" s="50">
        <f t="shared" si="0"/>
        <v>2</v>
      </c>
      <c r="I19" s="38">
        <v>0.02070442959666252</v>
      </c>
      <c r="J19" s="38">
        <v>0.07742936909198761</v>
      </c>
      <c r="K19" s="38">
        <v>0.10099063068628311</v>
      </c>
      <c r="L19" s="38">
        <v>0.12703734636306763</v>
      </c>
      <c r="M19" s="38">
        <v>0.3283582031726837</v>
      </c>
      <c r="N19" s="80">
        <f>VLOOKUP('Hide - Control'!B$3,'All practice data'!A:CA,A19+29,FALSE)</f>
        <v>0.10102327447833066</v>
      </c>
      <c r="O19" s="80">
        <f>VLOOKUP('Hide - Control'!C$3,'All practice data'!A:CA,A19+29,FALSE)</f>
        <v>0.10919341638628717</v>
      </c>
      <c r="P19" s="38">
        <f>VLOOKUP('Hide - Control'!$B$4,'All practice data'!B:BC,A19+2,FALSE)</f>
        <v>2014</v>
      </c>
      <c r="Q19" s="38">
        <f>VLOOKUP('Hide - Control'!$B$4,'All practice data'!B:BC,15,FALSE)</f>
        <v>19936</v>
      </c>
      <c r="R19" s="38">
        <f>+((2*P19+1.96^2-1.96*SQRT(1.96^2+4*P19*(1-P19/Q19)))/(2*(Q19+1.96^2)))</f>
        <v>0.09691650910345846</v>
      </c>
      <c r="S19" s="38">
        <f>+((2*P19+1.96^2+1.96*SQRT(1.96^2+4*P19*(1-P19/Q19)))/(2*(Q19+1.96^2)))</f>
        <v>0.10528377316959632</v>
      </c>
      <c r="T19" s="53">
        <f t="shared" si="19"/>
        <v>0.3283582031726837</v>
      </c>
      <c r="U19" s="51">
        <f t="shared" si="20"/>
        <v>0.02070442959666252</v>
      </c>
      <c r="V19" s="7"/>
      <c r="W19" s="27">
        <f t="shared" si="2"/>
        <v>-0.1263769418001175</v>
      </c>
      <c r="X19" s="27">
        <f t="shared" si="3"/>
        <v>0.3283582031726837</v>
      </c>
      <c r="Y19" s="27">
        <f t="shared" si="4"/>
        <v>-0.1263769418001175</v>
      </c>
      <c r="Z19" s="27">
        <f t="shared" si="5"/>
        <v>0.3283582031726837</v>
      </c>
      <c r="AA19" s="32">
        <f t="shared" si="6"/>
        <v>0.32344403774988034</v>
      </c>
      <c r="AB19" s="33">
        <f t="shared" si="7"/>
        <v>0.44818684710260354</v>
      </c>
      <c r="AC19" s="33">
        <v>0.5</v>
      </c>
      <c r="AD19" s="33">
        <f t="shared" si="8"/>
        <v>0.5572788709312152</v>
      </c>
      <c r="AE19" s="33">
        <f t="shared" si="9"/>
        <v>1</v>
      </c>
      <c r="AF19" s="33">
        <f t="shared" si="10"/>
        <v>-999</v>
      </c>
      <c r="AG19" s="33">
        <f t="shared" si="11"/>
        <v>0.5181491729503382</v>
      </c>
      <c r="AH19" s="33">
        <f t="shared" si="12"/>
        <v>-999</v>
      </c>
      <c r="AI19" s="34">
        <f t="shared" si="13"/>
        <v>0.5180386006902868</v>
      </c>
      <c r="AJ19" s="4">
        <v>15.61399639702198</v>
      </c>
      <c r="AK19" s="32">
        <f t="shared" si="14"/>
        <v>-999</v>
      </c>
      <c r="AL19" s="34">
        <f t="shared" si="15"/>
        <v>-999</v>
      </c>
      <c r="AY19" s="103" t="s">
        <v>270</v>
      </c>
      <c r="AZ19" s="103" t="s">
        <v>515</v>
      </c>
      <c r="BA19" s="103" t="s">
        <v>395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0.5652173913043478</v>
      </c>
      <c r="F20" s="38">
        <f>IF(LEFT(VLOOKUP($B20,'Indicator chart'!$D$1:$J$36,6,FALSE),1)=" "," ",VLOOKUP($B20,'Indicator chart'!$D$1:$J$36,6,FALSE))</f>
        <v>0.36811049305016963</v>
      </c>
      <c r="G20" s="38">
        <f>IF(LEFT(VLOOKUP($B20,'Indicator chart'!$D$1:$J$36,7,FALSE),1)=" "," ",VLOOKUP($B20,'Indicator chart'!$D$1:$J$36,7,FALSE))</f>
        <v>0.7436563166780135</v>
      </c>
      <c r="H20" s="50">
        <f t="shared" si="0"/>
        <v>2</v>
      </c>
      <c r="I20" s="38">
        <v>0.09238772839307785</v>
      </c>
      <c r="J20" s="38">
        <v>0.4348776340484619</v>
      </c>
      <c r="K20" s="38">
        <v>0.5139859914779663</v>
      </c>
      <c r="L20" s="38">
        <v>0.5889037251472473</v>
      </c>
      <c r="M20" s="38">
        <v>0.7692307829856873</v>
      </c>
      <c r="N20" s="80">
        <f>VLOOKUP('Hide - Control'!B$3,'All practice data'!A:CA,A20+29,FALSE)</f>
        <v>0.5353535353535354</v>
      </c>
      <c r="O20" s="80">
        <f>VLOOKUP('Hide - Control'!C$3,'All practice data'!A:CA,A20+29,FALSE)</f>
        <v>0.4534552930810221</v>
      </c>
      <c r="P20" s="38">
        <f>VLOOKUP('Hide - Control'!$B$4,'All practice data'!B:BC,A20+1,FALSE)</f>
        <v>2014</v>
      </c>
      <c r="Q20" s="38">
        <f>VLOOKUP('Hide - Control'!$B$4,'All practice data'!B:BC,A20+2,FALSE)</f>
        <v>3762</v>
      </c>
      <c r="R20" s="38">
        <f>+((2*P20+1.96^2-1.96*SQRT(1.96^2+4*P20*(1-P20/Q20)))/(2*(Q20+1.96^2)))</f>
        <v>0.51938776256231</v>
      </c>
      <c r="S20" s="38">
        <f>+((2*P20+1.96^2+1.96*SQRT(1.96^2+4*P20*(1-P20/Q20)))/(2*(Q20+1.96^2)))</f>
        <v>0.5512471786418022</v>
      </c>
      <c r="T20" s="53">
        <f t="shared" si="19"/>
        <v>0.7692307829856873</v>
      </c>
      <c r="U20" s="51">
        <f t="shared" si="20"/>
        <v>0.09238772839307785</v>
      </c>
      <c r="V20" s="7"/>
      <c r="W20" s="27">
        <f t="shared" si="2"/>
        <v>0.09238772839307785</v>
      </c>
      <c r="X20" s="27">
        <f t="shared" si="3"/>
        <v>0.9355842545628548</v>
      </c>
      <c r="Y20" s="27">
        <f t="shared" si="4"/>
        <v>0.09238772839307785</v>
      </c>
      <c r="Z20" s="27">
        <f t="shared" si="5"/>
        <v>0.9355842545628548</v>
      </c>
      <c r="AA20" s="32">
        <f t="shared" si="6"/>
        <v>0</v>
      </c>
      <c r="AB20" s="33">
        <f t="shared" si="7"/>
        <v>0.406180404005156</v>
      </c>
      <c r="AC20" s="33">
        <v>0.5</v>
      </c>
      <c r="AD20" s="33">
        <f t="shared" si="8"/>
        <v>0.5888496706806835</v>
      </c>
      <c r="AE20" s="33">
        <f t="shared" si="9"/>
        <v>0.8027109144616277</v>
      </c>
      <c r="AF20" s="33">
        <f t="shared" si="10"/>
        <v>-999</v>
      </c>
      <c r="AG20" s="33">
        <f t="shared" si="11"/>
        <v>0.5607585518160283</v>
      </c>
      <c r="AH20" s="33">
        <f t="shared" si="12"/>
        <v>-999</v>
      </c>
      <c r="AI20" s="34">
        <f t="shared" si="13"/>
        <v>0.4282128228493717</v>
      </c>
      <c r="AJ20" s="4">
        <v>16.689991822403904</v>
      </c>
      <c r="AK20" s="32">
        <f t="shared" si="14"/>
        <v>-999</v>
      </c>
      <c r="AL20" s="34">
        <f t="shared" si="15"/>
        <v>-999</v>
      </c>
      <c r="AY20" s="103" t="s">
        <v>211</v>
      </c>
      <c r="AZ20" s="103" t="s">
        <v>496</v>
      </c>
      <c r="BA20" s="103" t="s">
        <v>395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616.6982922201139</v>
      </c>
      <c r="F21" s="38">
        <f>IF(LEFT(VLOOKUP($B21,'Indicator chart'!$D$1:$J$36,6,FALSE),1)=" "," ",VLOOKUP($B21,'Indicator chart'!$D$1:$J$36,6,FALSE))</f>
        <v>402.742352280123</v>
      </c>
      <c r="G21" s="38">
        <f>IF(LEFT(VLOOKUP($B21,'Indicator chart'!$D$1:$J$36,7,FALSE),1)=" "," ",VLOOKUP($B21,'Indicator chart'!$D$1:$J$36,7,FALSE))</f>
        <v>903.6474757541944</v>
      </c>
      <c r="H21" s="50">
        <f t="shared" si="0"/>
        <v>2</v>
      </c>
      <c r="I21" s="38">
        <v>61.46357345581055</v>
      </c>
      <c r="J21" s="38">
        <v>363.8074035644531</v>
      </c>
      <c r="K21" s="38">
        <v>484.8315734863281</v>
      </c>
      <c r="L21" s="38">
        <v>603.1912841796875</v>
      </c>
      <c r="M21" s="38">
        <v>943.9359130859375</v>
      </c>
      <c r="N21" s="80">
        <f>VLOOKUP('Hide - Control'!B$3,'All practice data'!A:CA,A21+29,FALSE)</f>
        <v>495.4590496277239</v>
      </c>
      <c r="O21" s="80">
        <f>VLOOKUP('Hide - Control'!C$3,'All practice data'!A:CA,A21+29,FALSE)</f>
        <v>377.7293140102421</v>
      </c>
      <c r="P21" s="38">
        <f>VLOOKUP('Hide - Control'!$B$4,'All practice data'!B:BC,A21+2,FALSE)</f>
        <v>3815</v>
      </c>
      <c r="Q21" s="38">
        <f>VLOOKUP('Hide - Control'!$B$4,'All practice data'!B:BC,3,FALSE)</f>
        <v>769993</v>
      </c>
      <c r="R21" s="38">
        <f aca="true" t="shared" si="21" ref="R21:R27">100000*(P21*(1-1/(9*P21)-1.96/(3*SQRT(P21)))^3)/Q21</f>
        <v>479.86007197121575</v>
      </c>
      <c r="S21" s="38">
        <f aca="true" t="shared" si="22" ref="S21:S27">100000*((P21+1)*(1-1/(9*(P21+1))+1.96/(3*SQRT(P21+1)))^3)/Q21</f>
        <v>511.4359801410244</v>
      </c>
      <c r="T21" s="53">
        <f t="shared" si="19"/>
        <v>943.9359130859375</v>
      </c>
      <c r="U21" s="51">
        <f t="shared" si="20"/>
        <v>61.46357345581055</v>
      </c>
      <c r="V21" s="7"/>
      <c r="W21" s="27">
        <f t="shared" si="2"/>
        <v>25.72723388671875</v>
      </c>
      <c r="X21" s="27">
        <f t="shared" si="3"/>
        <v>943.9359130859375</v>
      </c>
      <c r="Y21" s="27">
        <f t="shared" si="4"/>
        <v>25.72723388671875</v>
      </c>
      <c r="Z21" s="27">
        <f t="shared" si="5"/>
        <v>943.9359130859375</v>
      </c>
      <c r="AA21" s="32">
        <f t="shared" si="6"/>
        <v>0.03891962729023418</v>
      </c>
      <c r="AB21" s="33">
        <f t="shared" si="7"/>
        <v>0.36819535399358055</v>
      </c>
      <c r="AC21" s="33">
        <v>0.5</v>
      </c>
      <c r="AD21" s="33">
        <f t="shared" si="8"/>
        <v>0.6289028446088991</v>
      </c>
      <c r="AE21" s="33">
        <f t="shared" si="9"/>
        <v>1</v>
      </c>
      <c r="AF21" s="33">
        <f t="shared" si="10"/>
        <v>-999</v>
      </c>
      <c r="AG21" s="33">
        <f t="shared" si="11"/>
        <v>0.6436130170853845</v>
      </c>
      <c r="AH21" s="33">
        <f t="shared" si="12"/>
        <v>-999</v>
      </c>
      <c r="AI21" s="34">
        <f t="shared" si="13"/>
        <v>0.38335738715790485</v>
      </c>
      <c r="AJ21" s="4">
        <v>17.765987247785823</v>
      </c>
      <c r="AK21" s="32">
        <f t="shared" si="14"/>
        <v>-999</v>
      </c>
      <c r="AL21" s="34">
        <f t="shared" si="15"/>
        <v>-999</v>
      </c>
      <c r="AY21" s="103" t="s">
        <v>123</v>
      </c>
      <c r="AZ21" s="103" t="s">
        <v>470</v>
      </c>
      <c r="BA21" s="103" t="s">
        <v>395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403.2258064516129</v>
      </c>
      <c r="F22" s="38">
        <f>IF(LEFT(VLOOKUP($B22,'Indicator chart'!$D$1:$J$36,6,FALSE),1)=" "," ",VLOOKUP($B22,'Indicator chart'!$D$1:$J$36,6,FALSE))</f>
        <v>234.75743767022544</v>
      </c>
      <c r="G22" s="38">
        <f>IF(LEFT(VLOOKUP($B22,'Indicator chart'!$D$1:$J$36,7,FALSE),1)=" "," ",VLOOKUP($B22,'Indicator chart'!$D$1:$J$36,7,FALSE))</f>
        <v>645.6430435866913</v>
      </c>
      <c r="H22" s="50">
        <f t="shared" si="0"/>
        <v>2</v>
      </c>
      <c r="I22" s="38">
        <v>18.07059669494629</v>
      </c>
      <c r="J22" s="38">
        <v>216.7644500732422</v>
      </c>
      <c r="K22" s="38">
        <v>378.9837341308594</v>
      </c>
      <c r="L22" s="38">
        <v>541.8429565429688</v>
      </c>
      <c r="M22" s="38">
        <v>1176.819580078125</v>
      </c>
      <c r="N22" s="80">
        <f>VLOOKUP('Hide - Control'!B$3,'All practice data'!A:CA,A22+29,FALSE)</f>
        <v>416.49729283253225</v>
      </c>
      <c r="O22" s="80">
        <f>VLOOKUP('Hide - Control'!C$3,'All practice data'!A:CA,A22+29,FALSE)</f>
        <v>282.45290788403287</v>
      </c>
      <c r="P22" s="38">
        <f>VLOOKUP('Hide - Control'!$B$4,'All practice data'!B:BC,A22+2,FALSE)</f>
        <v>3207</v>
      </c>
      <c r="Q22" s="38">
        <f>VLOOKUP('Hide - Control'!$B$4,'All practice data'!B:BC,3,FALSE)</f>
        <v>769993</v>
      </c>
      <c r="R22" s="38">
        <f t="shared" si="21"/>
        <v>402.2055249818881</v>
      </c>
      <c r="S22" s="38">
        <f t="shared" si="22"/>
        <v>431.1671990113265</v>
      </c>
      <c r="T22" s="53">
        <f t="shared" si="19"/>
        <v>1176.819580078125</v>
      </c>
      <c r="U22" s="51">
        <f t="shared" si="20"/>
        <v>18.07059669494629</v>
      </c>
      <c r="V22" s="7"/>
      <c r="W22" s="27">
        <f t="shared" si="2"/>
        <v>-418.85211181640625</v>
      </c>
      <c r="X22" s="27">
        <f t="shared" si="3"/>
        <v>1176.819580078125</v>
      </c>
      <c r="Y22" s="27">
        <f t="shared" si="4"/>
        <v>-418.85211181640625</v>
      </c>
      <c r="Z22" s="27">
        <f t="shared" si="5"/>
        <v>1176.819580078125</v>
      </c>
      <c r="AA22" s="32">
        <f t="shared" si="6"/>
        <v>0.2738174216731243</v>
      </c>
      <c r="AB22" s="33">
        <f t="shared" si="7"/>
        <v>0.3983379319933819</v>
      </c>
      <c r="AC22" s="33">
        <v>0.5</v>
      </c>
      <c r="AD22" s="33">
        <f t="shared" si="8"/>
        <v>0.6020631143858595</v>
      </c>
      <c r="AE22" s="33">
        <f t="shared" si="9"/>
        <v>1</v>
      </c>
      <c r="AF22" s="33">
        <f t="shared" si="10"/>
        <v>-999</v>
      </c>
      <c r="AG22" s="33">
        <f t="shared" si="11"/>
        <v>0.5151923935505625</v>
      </c>
      <c r="AH22" s="33">
        <f t="shared" si="12"/>
        <v>-999</v>
      </c>
      <c r="AI22" s="34">
        <f t="shared" si="13"/>
        <v>0.43950458184025554</v>
      </c>
      <c r="AJ22" s="4">
        <v>18.841982673167745</v>
      </c>
      <c r="AK22" s="32">
        <f t="shared" si="14"/>
        <v>-999</v>
      </c>
      <c r="AL22" s="34">
        <f t="shared" si="15"/>
        <v>-999</v>
      </c>
      <c r="AY22" s="103" t="s">
        <v>149</v>
      </c>
      <c r="AZ22" s="103" t="s">
        <v>480</v>
      </c>
      <c r="BA22" s="103" t="s">
        <v>395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60.30381774902344</v>
      </c>
      <c r="K23" s="38">
        <v>95.72358703613281</v>
      </c>
      <c r="L23" s="38">
        <v>136.7318572998047</v>
      </c>
      <c r="M23" s="38">
        <v>492.880615234375</v>
      </c>
      <c r="N23" s="80">
        <f>VLOOKUP('Hide - Control'!B$3,'All practice data'!A:CA,A23+29,FALSE)</f>
        <v>100.91000827280249</v>
      </c>
      <c r="O23" s="80">
        <f>VLOOKUP('Hide - Control'!C$3,'All practice data'!A:CA,A23+29,FALSE)</f>
        <v>70.46674929228394</v>
      </c>
      <c r="P23" s="38">
        <f>VLOOKUP('Hide - Control'!$B$4,'All practice data'!B:BC,A23+2,FALSE)</f>
        <v>777</v>
      </c>
      <c r="Q23" s="38">
        <f>VLOOKUP('Hide - Control'!$B$4,'All practice data'!B:BC,3,FALSE)</f>
        <v>769993</v>
      </c>
      <c r="R23" s="38">
        <f t="shared" si="21"/>
        <v>93.93828694062942</v>
      </c>
      <c r="S23" s="38">
        <f t="shared" si="22"/>
        <v>108.26215889214184</v>
      </c>
      <c r="T23" s="53">
        <f t="shared" si="19"/>
        <v>492.880615234375</v>
      </c>
      <c r="U23" s="51">
        <f t="shared" si="20"/>
        <v>3.248678207397461</v>
      </c>
      <c r="V23" s="7"/>
      <c r="W23" s="27">
        <f t="shared" si="2"/>
        <v>-301.4334411621094</v>
      </c>
      <c r="X23" s="27">
        <f t="shared" si="3"/>
        <v>492.880615234375</v>
      </c>
      <c r="Y23" s="27">
        <f t="shared" si="4"/>
        <v>-301.4334411621094</v>
      </c>
      <c r="Z23" s="27">
        <f t="shared" si="5"/>
        <v>492.880615234375</v>
      </c>
      <c r="AA23" s="32">
        <f t="shared" si="6"/>
        <v>0.3835789092688847</v>
      </c>
      <c r="AB23" s="33">
        <f t="shared" si="7"/>
        <v>0.45540835642793975</v>
      </c>
      <c r="AC23" s="33">
        <v>0.5</v>
      </c>
      <c r="AD23" s="33">
        <f t="shared" si="8"/>
        <v>0.5516272750474939</v>
      </c>
      <c r="AE23" s="33">
        <f t="shared" si="9"/>
        <v>1</v>
      </c>
      <c r="AF23" s="33">
        <f t="shared" si="10"/>
        <v>-999</v>
      </c>
      <c r="AG23" s="33">
        <f t="shared" si="11"/>
        <v>-999</v>
      </c>
      <c r="AH23" s="33">
        <f t="shared" si="12"/>
        <v>-999</v>
      </c>
      <c r="AI23" s="34">
        <f t="shared" si="13"/>
        <v>0.4682029575827601</v>
      </c>
      <c r="AJ23" s="4">
        <v>19.917978098549675</v>
      </c>
      <c r="AK23" s="32">
        <f t="shared" si="14"/>
        <v>-999</v>
      </c>
      <c r="AL23" s="34">
        <f t="shared" si="15"/>
        <v>-999</v>
      </c>
      <c r="AY23" s="103" t="s">
        <v>264</v>
      </c>
      <c r="AZ23" s="103" t="s">
        <v>265</v>
      </c>
      <c r="BA23" s="103" t="s">
        <v>395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616.6982922201139</v>
      </c>
      <c r="F24" s="38">
        <f>IF(LEFT(VLOOKUP($B24,'Indicator chart'!$D$1:$J$36,6,FALSE),1)=" "," ",VLOOKUP($B24,'Indicator chart'!$D$1:$J$36,6,FALSE))</f>
        <v>402.742352280123</v>
      </c>
      <c r="G24" s="38">
        <f>IF(LEFT(VLOOKUP($B24,'Indicator chart'!$D$1:$J$36,7,FALSE),1)=" "," ",VLOOKUP($B24,'Indicator chart'!$D$1:$J$36,7,FALSE))</f>
        <v>903.6474757541944</v>
      </c>
      <c r="H24" s="50">
        <f t="shared" si="0"/>
        <v>2</v>
      </c>
      <c r="I24" s="38">
        <v>27.3076171875</v>
      </c>
      <c r="J24" s="38">
        <v>271.7700500488281</v>
      </c>
      <c r="K24" s="38">
        <v>436.98541259765625</v>
      </c>
      <c r="L24" s="38">
        <v>661.0570678710938</v>
      </c>
      <c r="M24" s="38">
        <v>1616.2310791015625</v>
      </c>
      <c r="N24" s="80">
        <f>VLOOKUP('Hide - Control'!B$3,'All practice data'!A:CA,A24+29,FALSE)</f>
        <v>503.51107087986514</v>
      </c>
      <c r="O24" s="80">
        <f>VLOOKUP('Hide - Control'!C$3,'All practice data'!A:CA,A24+29,FALSE)</f>
        <v>323.23046266988894</v>
      </c>
      <c r="P24" s="38">
        <f>VLOOKUP('Hide - Control'!$B$4,'All practice data'!B:BC,A24+2,FALSE)</f>
        <v>3877</v>
      </c>
      <c r="Q24" s="38">
        <f>VLOOKUP('Hide - Control'!$B$4,'All practice data'!B:BC,3,FALSE)</f>
        <v>769993</v>
      </c>
      <c r="R24" s="38">
        <f t="shared" si="21"/>
        <v>487.7848488152739</v>
      </c>
      <c r="S24" s="38">
        <f t="shared" si="22"/>
        <v>519.6152293753674</v>
      </c>
      <c r="T24" s="53">
        <f t="shared" si="19"/>
        <v>1616.2310791015625</v>
      </c>
      <c r="U24" s="51">
        <f t="shared" si="20"/>
        <v>27.3076171875</v>
      </c>
      <c r="V24" s="7"/>
      <c r="W24" s="27">
        <f t="shared" si="2"/>
        <v>-742.26025390625</v>
      </c>
      <c r="X24" s="27">
        <f t="shared" si="3"/>
        <v>1616.2310791015625</v>
      </c>
      <c r="Y24" s="27">
        <f t="shared" si="4"/>
        <v>-742.26025390625</v>
      </c>
      <c r="Z24" s="27">
        <f t="shared" si="5"/>
        <v>1616.2310791015625</v>
      </c>
      <c r="AA24" s="32">
        <f t="shared" si="6"/>
        <v>0.326296671233602</v>
      </c>
      <c r="AB24" s="33">
        <f t="shared" si="7"/>
        <v>0.4299487090596483</v>
      </c>
      <c r="AC24" s="33">
        <v>0.5</v>
      </c>
      <c r="AD24" s="33">
        <f t="shared" si="8"/>
        <v>0.5950063509403175</v>
      </c>
      <c r="AE24" s="33">
        <f t="shared" si="9"/>
        <v>1</v>
      </c>
      <c r="AF24" s="33">
        <f t="shared" si="10"/>
        <v>-999</v>
      </c>
      <c r="AG24" s="33">
        <f t="shared" si="11"/>
        <v>0.5761982361806128</v>
      </c>
      <c r="AH24" s="33">
        <f t="shared" si="12"/>
        <v>-999</v>
      </c>
      <c r="AI24" s="34">
        <f t="shared" si="13"/>
        <v>0.451767916915474</v>
      </c>
      <c r="AJ24" s="4">
        <v>20.99397352393159</v>
      </c>
      <c r="AK24" s="32">
        <f t="shared" si="14"/>
        <v>-999</v>
      </c>
      <c r="AL24" s="34">
        <f t="shared" si="15"/>
        <v>-999</v>
      </c>
      <c r="AY24" s="103" t="s">
        <v>65</v>
      </c>
      <c r="AZ24" s="103" t="s">
        <v>66</v>
      </c>
      <c r="BA24" s="103" t="s">
        <v>576</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49.17802429199219</v>
      </c>
      <c r="J25" s="38">
        <v>66.44682312011719</v>
      </c>
      <c r="K25" s="38">
        <v>97.82410430908203</v>
      </c>
      <c r="L25" s="38">
        <v>157.08119201660156</v>
      </c>
      <c r="M25" s="38">
        <v>949.0509643554688</v>
      </c>
      <c r="N25" s="80">
        <f>VLOOKUP('Hide - Control'!B$3,'All practice data'!A:CA,A25+29,FALSE)</f>
        <v>159.74171193764099</v>
      </c>
      <c r="O25" s="80">
        <f>VLOOKUP('Hide - Control'!C$3,'All practice data'!A:CA,A25+29,FALSE)</f>
        <v>562.6134400960308</v>
      </c>
      <c r="P25" s="38">
        <f>VLOOKUP('Hide - Control'!$B$4,'All practice data'!B:BC,A25+2,FALSE)</f>
        <v>1230</v>
      </c>
      <c r="Q25" s="38">
        <f>VLOOKUP('Hide - Control'!$B$4,'All practice data'!B:BC,3,FALSE)</f>
        <v>769993</v>
      </c>
      <c r="R25" s="38">
        <f t="shared" si="21"/>
        <v>150.9379596974488</v>
      </c>
      <c r="S25" s="38">
        <f t="shared" si="22"/>
        <v>168.92496997946012</v>
      </c>
      <c r="T25" s="53">
        <f t="shared" si="19"/>
        <v>949.0509643554688</v>
      </c>
      <c r="U25" s="51">
        <f t="shared" si="20"/>
        <v>49.17802429199219</v>
      </c>
      <c r="V25" s="7"/>
      <c r="W25" s="27">
        <f t="shared" si="2"/>
        <v>-753.4027557373047</v>
      </c>
      <c r="X25" s="27">
        <f t="shared" si="3"/>
        <v>949.0509643554688</v>
      </c>
      <c r="Y25" s="27">
        <f t="shared" si="4"/>
        <v>-753.4027557373047</v>
      </c>
      <c r="Z25" s="27">
        <f t="shared" si="5"/>
        <v>949.0509643554688</v>
      </c>
      <c r="AA25" s="32">
        <f t="shared" si="6"/>
        <v>0.4714259016600822</v>
      </c>
      <c r="AB25" s="33">
        <f t="shared" si="7"/>
        <v>0.481569377881676</v>
      </c>
      <c r="AC25" s="33">
        <v>0.5</v>
      </c>
      <c r="AD25" s="33">
        <f t="shared" si="8"/>
        <v>0.5348068714045809</v>
      </c>
      <c r="AE25" s="33">
        <f t="shared" si="9"/>
        <v>1</v>
      </c>
      <c r="AF25" s="33">
        <f t="shared" si="10"/>
        <v>-999</v>
      </c>
      <c r="AG25" s="33">
        <f t="shared" si="11"/>
        <v>-999</v>
      </c>
      <c r="AH25" s="33">
        <f t="shared" si="12"/>
        <v>-999</v>
      </c>
      <c r="AI25" s="34">
        <f t="shared" si="13"/>
        <v>0.7730114365526604</v>
      </c>
      <c r="AJ25" s="4">
        <v>22.06996894931352</v>
      </c>
      <c r="AK25" s="32">
        <f t="shared" si="14"/>
        <v>-999</v>
      </c>
      <c r="AL25" s="34">
        <f t="shared" si="15"/>
        <v>-999</v>
      </c>
      <c r="AY25" s="103" t="s">
        <v>257</v>
      </c>
      <c r="AZ25" s="103" t="s">
        <v>258</v>
      </c>
      <c r="BA25" s="103" t="s">
        <v>576</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43.299415588378906</v>
      </c>
      <c r="J26" s="38">
        <v>57.66819381713867</v>
      </c>
      <c r="K26" s="38">
        <v>87.65526580810547</v>
      </c>
      <c r="L26" s="38">
        <v>126.50945281982422</v>
      </c>
      <c r="M26" s="38">
        <v>479.6814270019531</v>
      </c>
      <c r="N26" s="80">
        <f>VLOOKUP('Hide - Control'!B$3,'All practice data'!A:CA,A26+29,FALSE)</f>
        <v>114.93610980879048</v>
      </c>
      <c r="O26" s="80">
        <f>VLOOKUP('Hide - Control'!C$3,'All practice data'!A:CA,A26+29,FALSE)</f>
        <v>405.57105879375996</v>
      </c>
      <c r="P26" s="38">
        <f>VLOOKUP('Hide - Control'!$B$4,'All practice data'!B:BC,A26+2,FALSE)</f>
        <v>885</v>
      </c>
      <c r="Q26" s="38">
        <f>VLOOKUP('Hide - Control'!$B$4,'All practice data'!B:BC,3,FALSE)</f>
        <v>769993</v>
      </c>
      <c r="R26" s="38">
        <f t="shared" si="21"/>
        <v>107.48726363601058</v>
      </c>
      <c r="S26" s="38">
        <f t="shared" si="22"/>
        <v>122.76510207391969</v>
      </c>
      <c r="T26" s="53">
        <f t="shared" si="19"/>
        <v>479.6814270019531</v>
      </c>
      <c r="U26" s="51">
        <f t="shared" si="20"/>
        <v>43.299415588378906</v>
      </c>
      <c r="V26" s="7"/>
      <c r="W26" s="27">
        <f t="shared" si="2"/>
        <v>-304.3708953857422</v>
      </c>
      <c r="X26" s="27">
        <f t="shared" si="3"/>
        <v>479.6814270019531</v>
      </c>
      <c r="Y26" s="27">
        <f t="shared" si="4"/>
        <v>-304.3708953857422</v>
      </c>
      <c r="Z26" s="27">
        <f t="shared" si="5"/>
        <v>479.6814270019531</v>
      </c>
      <c r="AA26" s="32">
        <f t="shared" si="6"/>
        <v>0.4434274359590588</v>
      </c>
      <c r="AB26" s="33">
        <f t="shared" si="7"/>
        <v>0.4617537361541812</v>
      </c>
      <c r="AC26" s="33">
        <v>0.5</v>
      </c>
      <c r="AD26" s="33">
        <f t="shared" si="8"/>
        <v>0.5495556047757056</v>
      </c>
      <c r="AE26" s="33">
        <f t="shared" si="9"/>
        <v>1</v>
      </c>
      <c r="AF26" s="33">
        <f t="shared" si="10"/>
        <v>-999</v>
      </c>
      <c r="AG26" s="33">
        <f t="shared" si="11"/>
        <v>-999</v>
      </c>
      <c r="AH26" s="33">
        <f t="shared" si="12"/>
        <v>-999</v>
      </c>
      <c r="AI26" s="34">
        <f t="shared" si="13"/>
        <v>0.9054777773216678</v>
      </c>
      <c r="AJ26" s="4">
        <v>23.145964374695435</v>
      </c>
      <c r="AK26" s="32">
        <f t="shared" si="14"/>
        <v>-999</v>
      </c>
      <c r="AL26" s="34">
        <f t="shared" si="15"/>
        <v>-999</v>
      </c>
      <c r="AY26" s="103" t="s">
        <v>120</v>
      </c>
      <c r="AZ26" s="103" t="s">
        <v>469</v>
      </c>
      <c r="BA26" s="103" t="s">
        <v>395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189.75332068311195</v>
      </c>
      <c r="F27" s="38">
        <f>IF(LEFT(VLOOKUP($B27,'Indicator chart'!$D$1:$J$36,6,FALSE),1)=" "," ",VLOOKUP($B27,'Indicator chart'!$D$1:$J$36,6,FALSE))</f>
        <v>81.70380843595147</v>
      </c>
      <c r="G27" s="38">
        <f>IF(LEFT(VLOOKUP($B27,'Indicator chart'!$D$1:$J$36,7,FALSE),1)=" "," ",VLOOKUP($B27,'Indicator chart'!$D$1:$J$36,7,FALSE))</f>
        <v>373.91265398437474</v>
      </c>
      <c r="H27" s="50">
        <f t="shared" si="0"/>
        <v>2</v>
      </c>
      <c r="I27" s="38">
        <v>94.51795959472656</v>
      </c>
      <c r="J27" s="38">
        <v>248.5929412841797</v>
      </c>
      <c r="K27" s="38">
        <v>301.7310485839844</v>
      </c>
      <c r="L27" s="38">
        <v>401.4044494628906</v>
      </c>
      <c r="M27" s="38">
        <v>1174.089111328125</v>
      </c>
      <c r="N27" s="80">
        <f>VLOOKUP('Hide - Control'!B$3,'All practice data'!A:CA,A27+29,FALSE)</f>
        <v>360.2630153780619</v>
      </c>
      <c r="O27" s="80">
        <f>VLOOKUP('Hide - Control'!C$3,'All practice data'!A:CA,A27+29,FALSE)</f>
        <v>1059.3522061277838</v>
      </c>
      <c r="P27" s="38">
        <f>VLOOKUP('Hide - Control'!$B$4,'All practice data'!B:BC,A27+2,FALSE)</f>
        <v>2774</v>
      </c>
      <c r="Q27" s="38">
        <f>VLOOKUP('Hide - Control'!$B$4,'All practice data'!B:BC,3,FALSE)</f>
        <v>769993</v>
      </c>
      <c r="R27" s="38">
        <f t="shared" si="21"/>
        <v>346.9796913972383</v>
      </c>
      <c r="S27" s="38">
        <f t="shared" si="22"/>
        <v>373.9246453750577</v>
      </c>
      <c r="T27" s="53">
        <f t="shared" si="19"/>
        <v>1174.089111328125</v>
      </c>
      <c r="U27" s="51">
        <f t="shared" si="20"/>
        <v>94.51795959472656</v>
      </c>
      <c r="V27" s="7"/>
      <c r="W27" s="27">
        <f t="shared" si="2"/>
        <v>-570.6270141601562</v>
      </c>
      <c r="X27" s="27">
        <f t="shared" si="3"/>
        <v>1174.089111328125</v>
      </c>
      <c r="Y27" s="27">
        <f t="shared" si="4"/>
        <v>-570.6270141601562</v>
      </c>
      <c r="Z27" s="27">
        <f t="shared" si="5"/>
        <v>1174.089111328125</v>
      </c>
      <c r="AA27" s="32">
        <f t="shared" si="6"/>
        <v>0.38123392340902074</v>
      </c>
      <c r="AB27" s="33">
        <f t="shared" si="7"/>
        <v>0.46954340793695976</v>
      </c>
      <c r="AC27" s="33">
        <v>0.5</v>
      </c>
      <c r="AD27" s="33">
        <f t="shared" si="8"/>
        <v>0.557128721069745</v>
      </c>
      <c r="AE27" s="33">
        <f t="shared" si="9"/>
        <v>1</v>
      </c>
      <c r="AF27" s="33">
        <f t="shared" si="10"/>
        <v>-999</v>
      </c>
      <c r="AG27" s="33">
        <f t="shared" si="11"/>
        <v>0.43581894139395655</v>
      </c>
      <c r="AH27" s="33">
        <f t="shared" si="12"/>
        <v>-999</v>
      </c>
      <c r="AI27" s="34">
        <f t="shared" si="13"/>
        <v>0.9342374936964427</v>
      </c>
      <c r="AJ27" s="4">
        <v>24.221959800077364</v>
      </c>
      <c r="AK27" s="32">
        <f t="shared" si="14"/>
        <v>-999</v>
      </c>
      <c r="AL27" s="34">
        <f t="shared" si="15"/>
        <v>-999</v>
      </c>
      <c r="AY27" s="103" t="s">
        <v>115</v>
      </c>
      <c r="AZ27" s="103" t="s">
        <v>468</v>
      </c>
      <c r="BA27" s="103" t="s">
        <v>576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37</v>
      </c>
      <c r="E28" s="38">
        <f>IF(LEFT(VLOOKUP($B28,'Indicator chart'!$D$1:$J$36,5,FALSE),1)=" "," ",VLOOKUP($B28,'Indicator chart'!$D$1:$J$36,5,FALSE))</f>
        <v>877.6091081593928</v>
      </c>
      <c r="F28" s="38">
        <f>IF(LEFT(VLOOKUP($B28,'Indicator chart'!$D$1:$J$36,6,FALSE),1)=" "," ",VLOOKUP($B28,'Indicator chart'!$D$1:$J$36,6,FALSE))</f>
        <v>617.8318582990123</v>
      </c>
      <c r="G28" s="38">
        <f>IF(LEFT(VLOOKUP($B28,'Indicator chart'!$D$1:$J$36,7,FALSE),1)=" "," ",VLOOKUP($B28,'Indicator chart'!$D$1:$J$36,7,FALSE))</f>
        <v>1209.709836977965</v>
      </c>
      <c r="H28" s="50">
        <f t="shared" si="0"/>
        <v>3</v>
      </c>
      <c r="I28" s="38">
        <v>58.16489791870117</v>
      </c>
      <c r="J28" s="38">
        <v>400.70745849609375</v>
      </c>
      <c r="K28" s="38">
        <v>582.8865966796875</v>
      </c>
      <c r="L28" s="38">
        <v>703.4699096679688</v>
      </c>
      <c r="M28" s="38">
        <v>1162.147216796875</v>
      </c>
      <c r="N28" s="80">
        <f>VLOOKUP('Hide - Control'!B$3,'All practice data'!A:CA,A28+29,FALSE)</f>
        <v>567.4077556549215</v>
      </c>
      <c r="O28" s="80">
        <f>VLOOKUP('Hide - Control'!C$3,'All practice data'!A:CA,A28+29,FALSE)</f>
        <v>582.9390489900089</v>
      </c>
      <c r="P28" s="38">
        <f>VLOOKUP('Hide - Control'!$B$4,'All practice data'!B:BC,A28+2,FALSE)</f>
        <v>4369</v>
      </c>
      <c r="Q28" s="38">
        <f>VLOOKUP('Hide - Control'!$B$4,'All practice data'!B:BC,3,FALSE)</f>
        <v>769993</v>
      </c>
      <c r="R28" s="38">
        <f>100000*(P28*(1-1/(9*P28)-1.96/(3*SQRT(P28)))^3)/Q28</f>
        <v>550.705871325101</v>
      </c>
      <c r="S28" s="38">
        <f>100000*((P28+1)*(1-1/(9*(P28+1))+1.96/(3*SQRT(P28+1)))^3)/Q28</f>
        <v>584.4874586958156</v>
      </c>
      <c r="T28" s="53">
        <f t="shared" si="19"/>
        <v>1162.147216796875</v>
      </c>
      <c r="U28" s="51">
        <f t="shared" si="20"/>
        <v>58.16489791870117</v>
      </c>
      <c r="V28" s="7"/>
      <c r="W28" s="27">
        <f t="shared" si="2"/>
        <v>3.6259765625</v>
      </c>
      <c r="X28" s="27">
        <f t="shared" si="3"/>
        <v>1162.147216796875</v>
      </c>
      <c r="Y28" s="27">
        <f t="shared" si="4"/>
        <v>3.6259765625</v>
      </c>
      <c r="Z28" s="27">
        <f t="shared" si="5"/>
        <v>1162.147216796875</v>
      </c>
      <c r="AA28" s="32">
        <f t="shared" si="6"/>
        <v>0.04707632407772486</v>
      </c>
      <c r="AB28" s="33">
        <f t="shared" si="7"/>
        <v>0.3427485557824232</v>
      </c>
      <c r="AC28" s="33">
        <v>0.5</v>
      </c>
      <c r="AD28" s="33">
        <f t="shared" si="8"/>
        <v>0.6040838171977637</v>
      </c>
      <c r="AE28" s="33">
        <f t="shared" si="9"/>
        <v>1</v>
      </c>
      <c r="AF28" s="33">
        <f t="shared" si="10"/>
        <v>-999</v>
      </c>
      <c r="AG28" s="33">
        <f t="shared" si="11"/>
        <v>-999</v>
      </c>
      <c r="AH28" s="33">
        <f t="shared" si="12"/>
        <v>0.7543954320769133</v>
      </c>
      <c r="AI28" s="34">
        <f t="shared" si="13"/>
        <v>0.5000452752254337</v>
      </c>
      <c r="AJ28" s="4">
        <v>25.297955225459287</v>
      </c>
      <c r="AK28" s="32">
        <f t="shared" si="14"/>
        <v>-999</v>
      </c>
      <c r="AL28" s="34">
        <f t="shared" si="15"/>
        <v>0.7543954320769133</v>
      </c>
      <c r="AY28" s="103" t="s">
        <v>241</v>
      </c>
      <c r="AZ28" s="103" t="s">
        <v>242</v>
      </c>
      <c r="BA28" s="103" t="s">
        <v>576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471</v>
      </c>
      <c r="BA29" s="103" t="s">
        <v>395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395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492</v>
      </c>
      <c r="BA31" s="103" t="s">
        <v>395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451</v>
      </c>
      <c r="BA32" s="103" t="s">
        <v>395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516</v>
      </c>
      <c r="BA33" s="103" t="s">
        <v>576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395</v>
      </c>
      <c r="BB34" s="10">
        <v>532801</v>
      </c>
      <c r="BE34" s="77"/>
      <c r="BF34" s="253"/>
    </row>
    <row r="35" spans="2:58" ht="12.75">
      <c r="B35" s="17" t="s">
        <v>41</v>
      </c>
      <c r="C35" s="18"/>
      <c r="H35" s="290" t="s">
        <v>697</v>
      </c>
      <c r="I35" s="291"/>
      <c r="Y35" s="43"/>
      <c r="Z35" s="44"/>
      <c r="AA35" s="44"/>
      <c r="AB35" s="43"/>
      <c r="AC35" s="43"/>
      <c r="AY35" s="103" t="s">
        <v>159</v>
      </c>
      <c r="AZ35" s="103" t="s">
        <v>484</v>
      </c>
      <c r="BA35" s="103" t="s">
        <v>395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473</v>
      </c>
      <c r="BA36" s="103" t="s">
        <v>395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490</v>
      </c>
      <c r="BA37" s="103" t="s">
        <v>395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395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395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395</v>
      </c>
      <c r="BB40" s="10">
        <v>714731</v>
      </c>
      <c r="BF40" s="252"/>
    </row>
    <row r="41" spans="1:58" ht="12.75">
      <c r="A41" s="3"/>
      <c r="B41" s="71"/>
      <c r="C41" s="3"/>
      <c r="T41" s="13"/>
      <c r="U41" s="2"/>
      <c r="W41" s="2"/>
      <c r="X41" s="10"/>
      <c r="Y41" s="44"/>
      <c r="Z41" s="44"/>
      <c r="AA41" s="44"/>
      <c r="AB41" s="44"/>
      <c r="AC41" s="44"/>
      <c r="AD41" s="2"/>
      <c r="AE41" s="2"/>
      <c r="AY41" s="103" t="s">
        <v>272</v>
      </c>
      <c r="AZ41" s="103" t="s">
        <v>517</v>
      </c>
      <c r="BA41" s="103" t="s">
        <v>576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395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514</v>
      </c>
      <c r="BA43" s="103" t="s">
        <v>395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502</v>
      </c>
      <c r="BA44" s="103" t="s">
        <v>395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395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493</v>
      </c>
      <c r="BA46" s="103" t="s">
        <v>576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395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497</v>
      </c>
      <c r="BA48" s="103" t="s">
        <v>576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508</v>
      </c>
      <c r="BA49" s="103" t="s">
        <v>576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395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474</v>
      </c>
      <c r="BA51" s="103" t="s">
        <v>395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395</v>
      </c>
      <c r="BB52" s="10">
        <v>611636</v>
      </c>
      <c r="BF52" s="252"/>
    </row>
    <row r="53" spans="1:58" ht="12.75">
      <c r="A53" s="3"/>
      <c r="B53" s="12"/>
      <c r="C53" s="3"/>
      <c r="I53" s="11"/>
      <c r="J53" s="11"/>
      <c r="K53" s="11"/>
      <c r="L53" s="11"/>
      <c r="S53" s="11"/>
      <c r="U53" s="2"/>
      <c r="X53" s="2"/>
      <c r="Y53" s="2"/>
      <c r="Z53" s="2"/>
      <c r="AA53" s="2"/>
      <c r="AB53" s="2"/>
      <c r="AY53" s="103" t="s">
        <v>244</v>
      </c>
      <c r="AZ53" s="103" t="s">
        <v>507</v>
      </c>
      <c r="BA53" s="103" t="s">
        <v>395</v>
      </c>
      <c r="BB53" s="10">
        <v>230998</v>
      </c>
      <c r="BF53" s="252"/>
    </row>
    <row r="54" spans="1:58" ht="12.75">
      <c r="A54" s="3"/>
      <c r="B54" s="12"/>
      <c r="C54" s="3"/>
      <c r="I54" s="11"/>
      <c r="J54" s="11"/>
      <c r="K54" s="11"/>
      <c r="L54" s="11"/>
      <c r="S54" s="11"/>
      <c r="U54" s="2"/>
      <c r="X54" s="2"/>
      <c r="Y54" s="2"/>
      <c r="Z54" s="2"/>
      <c r="AA54" s="2"/>
      <c r="AB54" s="2"/>
      <c r="AY54" s="103" t="s">
        <v>67</v>
      </c>
      <c r="AZ54" s="103" t="s">
        <v>448</v>
      </c>
      <c r="BA54" s="103" t="s">
        <v>395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494</v>
      </c>
      <c r="BA55" s="103" t="s">
        <v>395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464</v>
      </c>
      <c r="BA56" s="103" t="s">
        <v>395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509</v>
      </c>
      <c r="BA57" s="103" t="s">
        <v>395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454</v>
      </c>
      <c r="BA58" s="103" t="s">
        <v>395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395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395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498</v>
      </c>
      <c r="BA61" s="103" t="s">
        <v>576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576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487</v>
      </c>
      <c r="BA63" s="103" t="s">
        <v>395</v>
      </c>
      <c r="BB63" s="10">
        <v>318405</v>
      </c>
      <c r="BE63" s="70"/>
      <c r="BF63" s="239"/>
    </row>
    <row r="64" spans="1:58" ht="12.75">
      <c r="A64" s="3"/>
      <c r="B64" s="12"/>
      <c r="C64" s="3"/>
      <c r="I64" s="11"/>
      <c r="V64" s="3"/>
      <c r="AY64" s="103" t="s">
        <v>78</v>
      </c>
      <c r="AZ64" s="103" t="s">
        <v>455</v>
      </c>
      <c r="BA64" s="103" t="s">
        <v>576</v>
      </c>
      <c r="BB64" s="10">
        <v>181285</v>
      </c>
      <c r="BE64" s="70"/>
      <c r="BF64" s="241"/>
    </row>
    <row r="65" spans="1:58" ht="12.75">
      <c r="A65" s="3"/>
      <c r="B65" s="12"/>
      <c r="C65" s="3"/>
      <c r="AY65" s="103" t="s">
        <v>565</v>
      </c>
      <c r="AZ65" s="103" t="s">
        <v>566</v>
      </c>
      <c r="BA65" s="103" t="s">
        <v>395</v>
      </c>
      <c r="BB65" s="10">
        <v>1169302</v>
      </c>
      <c r="BE65" s="70"/>
      <c r="BF65" s="241"/>
    </row>
    <row r="66" spans="1:58" ht="12.75">
      <c r="A66" s="3"/>
      <c r="B66" s="12"/>
      <c r="C66" s="3"/>
      <c r="E66" s="2"/>
      <c r="F66" s="2"/>
      <c r="G66" s="2"/>
      <c r="V66" s="2"/>
      <c r="AY66" s="103" t="s">
        <v>200</v>
      </c>
      <c r="AZ66" s="103" t="s">
        <v>495</v>
      </c>
      <c r="BA66" s="103" t="s">
        <v>395</v>
      </c>
      <c r="BB66" s="10">
        <v>217916</v>
      </c>
      <c r="BE66" s="70"/>
      <c r="BF66" s="239"/>
    </row>
    <row r="67" spans="1:58" ht="12.75">
      <c r="A67" s="3"/>
      <c r="B67" s="12"/>
      <c r="C67" s="3"/>
      <c r="AY67" s="103" t="s">
        <v>69</v>
      </c>
      <c r="AZ67" s="103" t="s">
        <v>70</v>
      </c>
      <c r="BA67" s="103" t="s">
        <v>395</v>
      </c>
      <c r="BB67" s="10">
        <v>270842</v>
      </c>
      <c r="BE67" s="70"/>
      <c r="BF67" s="239"/>
    </row>
    <row r="68" spans="1:58" ht="12.75">
      <c r="A68" s="3"/>
      <c r="B68" s="12"/>
      <c r="C68" s="3"/>
      <c r="AY68" s="103" t="s">
        <v>109</v>
      </c>
      <c r="AZ68" s="103" t="s">
        <v>110</v>
      </c>
      <c r="BA68" s="103" t="s">
        <v>395</v>
      </c>
      <c r="BB68" s="10">
        <v>251613</v>
      </c>
      <c r="BF68" s="252"/>
    </row>
    <row r="69" spans="1:58" ht="12.75">
      <c r="A69" s="3"/>
      <c r="B69" s="12"/>
      <c r="C69" s="3"/>
      <c r="AY69" s="103" t="s">
        <v>209</v>
      </c>
      <c r="AZ69" s="103" t="s">
        <v>210</v>
      </c>
      <c r="BA69" s="103" t="s">
        <v>395</v>
      </c>
      <c r="BB69" s="10">
        <v>283547</v>
      </c>
      <c r="BE69" s="70"/>
      <c r="BF69" s="241"/>
    </row>
    <row r="70" spans="1:58" ht="12.75">
      <c r="A70" s="3"/>
      <c r="B70" s="12"/>
      <c r="C70" s="3"/>
      <c r="AY70" s="103" t="s">
        <v>275</v>
      </c>
      <c r="AZ70" s="103" t="s">
        <v>518</v>
      </c>
      <c r="BA70" s="103" t="s">
        <v>575</v>
      </c>
      <c r="BB70" s="10">
        <v>141474</v>
      </c>
      <c r="BE70" s="70"/>
      <c r="BF70" s="239"/>
    </row>
    <row r="71" spans="1:58" ht="12.75">
      <c r="A71" s="3"/>
      <c r="B71" s="12"/>
      <c r="C71" s="3"/>
      <c r="AY71" s="103" t="s">
        <v>127</v>
      </c>
      <c r="AZ71" s="103" t="s">
        <v>472</v>
      </c>
      <c r="BA71" s="103" t="s">
        <v>395</v>
      </c>
      <c r="BB71" s="10">
        <v>213326</v>
      </c>
      <c r="BE71" s="70"/>
      <c r="BF71" s="239"/>
    </row>
    <row r="72" spans="1:58" ht="12.75">
      <c r="A72" s="3"/>
      <c r="B72" s="12"/>
      <c r="C72" s="3"/>
      <c r="AY72" s="103" t="s">
        <v>136</v>
      </c>
      <c r="AZ72" s="103" t="s">
        <v>137</v>
      </c>
      <c r="BA72" s="103" t="s">
        <v>395</v>
      </c>
      <c r="BB72" s="10">
        <v>183220</v>
      </c>
      <c r="BE72" s="250"/>
      <c r="BF72" s="239"/>
    </row>
    <row r="73" spans="1:58" ht="12.75">
      <c r="A73" s="3"/>
      <c r="B73" s="12"/>
      <c r="C73" s="3"/>
      <c r="AY73" s="103" t="s">
        <v>64</v>
      </c>
      <c r="AZ73" s="103" t="s">
        <v>447</v>
      </c>
      <c r="BA73" s="103" t="s">
        <v>395</v>
      </c>
      <c r="BB73" s="10">
        <v>190143</v>
      </c>
      <c r="BE73" s="70"/>
      <c r="BF73" s="239"/>
    </row>
    <row r="74" spans="1:58" ht="12.75">
      <c r="A74" s="3"/>
      <c r="B74" s="12"/>
      <c r="C74" s="3"/>
      <c r="AY74" s="103" t="s">
        <v>165</v>
      </c>
      <c r="AZ74" s="103" t="s">
        <v>166</v>
      </c>
      <c r="BA74" s="103" t="s">
        <v>576</v>
      </c>
      <c r="BB74" s="10">
        <v>419928</v>
      </c>
      <c r="BE74" s="70"/>
      <c r="BF74" s="241"/>
    </row>
    <row r="75" spans="1:58" ht="12.75">
      <c r="A75" s="3"/>
      <c r="B75" s="12"/>
      <c r="C75" s="3"/>
      <c r="AY75" s="103" t="s">
        <v>113</v>
      </c>
      <c r="AZ75" s="103" t="s">
        <v>466</v>
      </c>
      <c r="BA75" s="103" t="s">
        <v>395</v>
      </c>
      <c r="BB75" s="10">
        <v>158106</v>
      </c>
      <c r="BE75" s="70"/>
      <c r="BF75" s="241"/>
    </row>
    <row r="76" spans="1:58" ht="12.75">
      <c r="A76" s="3"/>
      <c r="B76" s="12"/>
      <c r="C76" s="3"/>
      <c r="AY76" s="103" t="s">
        <v>140</v>
      </c>
      <c r="AZ76" s="103" t="s">
        <v>141</v>
      </c>
      <c r="BA76" s="103" t="s">
        <v>395</v>
      </c>
      <c r="BB76" s="10">
        <v>377807</v>
      </c>
      <c r="BE76" s="70"/>
      <c r="BF76" s="241"/>
    </row>
    <row r="77" spans="1:58" ht="12.75">
      <c r="A77" s="3"/>
      <c r="B77" s="12"/>
      <c r="C77" s="3"/>
      <c r="AY77" s="103" t="s">
        <v>163</v>
      </c>
      <c r="AZ77" s="103" t="s">
        <v>164</v>
      </c>
      <c r="BA77" s="103" t="s">
        <v>576</v>
      </c>
      <c r="BB77" s="10">
        <v>799634</v>
      </c>
      <c r="BE77" s="70"/>
      <c r="BF77" s="249"/>
    </row>
    <row r="78" spans="1:58" ht="12.75">
      <c r="A78" s="3"/>
      <c r="B78" s="12"/>
      <c r="C78" s="3"/>
      <c r="AY78" s="103" t="s">
        <v>224</v>
      </c>
      <c r="AZ78" s="103" t="s">
        <v>225</v>
      </c>
      <c r="BA78" s="103" t="s">
        <v>395</v>
      </c>
      <c r="BB78" s="10">
        <v>362638</v>
      </c>
      <c r="BE78" s="70"/>
      <c r="BF78" s="239"/>
    </row>
    <row r="79" spans="1:58" ht="12.75">
      <c r="A79" s="3"/>
      <c r="B79" s="12"/>
      <c r="C79" s="3"/>
      <c r="AY79" s="103" t="s">
        <v>223</v>
      </c>
      <c r="AZ79" s="103" t="s">
        <v>500</v>
      </c>
      <c r="BA79" s="103" t="s">
        <v>395</v>
      </c>
      <c r="BB79" s="10">
        <v>678998</v>
      </c>
      <c r="BF79" s="239"/>
    </row>
    <row r="80" spans="1:58" ht="12.75">
      <c r="A80" s="3"/>
      <c r="B80" s="12"/>
      <c r="C80" s="3"/>
      <c r="AY80" s="103" t="s">
        <v>144</v>
      </c>
      <c r="AZ80" s="103" t="s">
        <v>145</v>
      </c>
      <c r="BA80" s="103" t="s">
        <v>395</v>
      </c>
      <c r="BB80" s="10">
        <v>290986</v>
      </c>
      <c r="BF80" s="252"/>
    </row>
    <row r="81" spans="1:58" ht="12.75">
      <c r="A81" s="3"/>
      <c r="B81" s="12"/>
      <c r="C81" s="3"/>
      <c r="AY81" s="103" t="s">
        <v>178</v>
      </c>
      <c r="AZ81" s="103" t="s">
        <v>489</v>
      </c>
      <c r="BA81" s="103" t="s">
        <v>576</v>
      </c>
      <c r="BB81" s="10">
        <v>747976</v>
      </c>
      <c r="BF81" s="252"/>
    </row>
    <row r="82" spans="1:58" ht="12.75">
      <c r="A82" s="3"/>
      <c r="B82" s="12"/>
      <c r="C82" s="3"/>
      <c r="AY82" s="103" t="s">
        <v>193</v>
      </c>
      <c r="AZ82" s="103" t="s">
        <v>194</v>
      </c>
      <c r="BA82" s="103" t="s">
        <v>395</v>
      </c>
      <c r="BB82" s="10">
        <v>489140</v>
      </c>
      <c r="BF82" s="252"/>
    </row>
    <row r="83" spans="1:58" ht="12.75">
      <c r="A83" s="3"/>
      <c r="B83" s="12"/>
      <c r="C83" s="3"/>
      <c r="AY83" s="103" t="s">
        <v>98</v>
      </c>
      <c r="AZ83" s="103" t="s">
        <v>463</v>
      </c>
      <c r="BA83" s="103" t="s">
        <v>576</v>
      </c>
      <c r="BB83" s="10">
        <v>208442</v>
      </c>
      <c r="BE83" s="70"/>
      <c r="BF83" s="241"/>
    </row>
    <row r="84" spans="1:58" ht="12.75">
      <c r="A84" s="3"/>
      <c r="B84" s="12"/>
      <c r="C84" s="3"/>
      <c r="AY84" s="103" t="s">
        <v>203</v>
      </c>
      <c r="AZ84" s="103" t="s">
        <v>204</v>
      </c>
      <c r="BA84" s="103" t="s">
        <v>576</v>
      </c>
      <c r="BB84" s="10">
        <v>545543</v>
      </c>
      <c r="BE84" s="70"/>
      <c r="BF84" s="241"/>
    </row>
    <row r="85" spans="1:58" ht="12.75">
      <c r="A85" s="3"/>
      <c r="B85" s="12"/>
      <c r="C85" s="3"/>
      <c r="AY85" s="103" t="s">
        <v>135</v>
      </c>
      <c r="AZ85" s="103" t="s">
        <v>478</v>
      </c>
      <c r="BA85" s="103" t="s">
        <v>576</v>
      </c>
      <c r="BB85" s="10">
        <v>274067</v>
      </c>
      <c r="BE85" s="70"/>
      <c r="BF85" s="241"/>
    </row>
    <row r="86" spans="1:58" ht="12.75">
      <c r="A86" s="3"/>
      <c r="B86" s="12"/>
      <c r="C86" s="3"/>
      <c r="AY86" s="103" t="s">
        <v>251</v>
      </c>
      <c r="AZ86" s="103" t="s">
        <v>252</v>
      </c>
      <c r="BA86" s="103" t="s">
        <v>576</v>
      </c>
      <c r="BB86" s="10">
        <v>374861</v>
      </c>
      <c r="BE86" s="70"/>
      <c r="BF86" s="249"/>
    </row>
    <row r="87" spans="1:58" ht="12.75">
      <c r="A87" s="3"/>
      <c r="B87" s="12"/>
      <c r="C87" s="3"/>
      <c r="AY87" s="103" t="s">
        <v>132</v>
      </c>
      <c r="AZ87" s="103" t="s">
        <v>133</v>
      </c>
      <c r="BA87" s="103" t="s">
        <v>395</v>
      </c>
      <c r="BB87" s="10">
        <v>153833</v>
      </c>
      <c r="BE87" s="70"/>
      <c r="BF87" s="249"/>
    </row>
    <row r="88" spans="1:58" ht="12.75">
      <c r="A88" s="3"/>
      <c r="B88" s="12"/>
      <c r="C88" s="3"/>
      <c r="AY88" s="103" t="s">
        <v>79</v>
      </c>
      <c r="AZ88" s="103" t="s">
        <v>80</v>
      </c>
      <c r="BA88" s="103" t="s">
        <v>576</v>
      </c>
      <c r="BB88" s="10">
        <v>258492</v>
      </c>
      <c r="BE88" s="70"/>
      <c r="BF88" s="241"/>
    </row>
    <row r="89" spans="1:58" ht="12.75">
      <c r="A89" s="3"/>
      <c r="B89" s="12"/>
      <c r="C89" s="3"/>
      <c r="AY89" s="103" t="s">
        <v>81</v>
      </c>
      <c r="AZ89" s="103" t="s">
        <v>456</v>
      </c>
      <c r="BA89" s="103" t="s">
        <v>395</v>
      </c>
      <c r="BB89" s="10">
        <v>283085</v>
      </c>
      <c r="BE89" s="70"/>
      <c r="BF89" s="241"/>
    </row>
    <row r="90" spans="1:58" ht="12.75">
      <c r="A90" s="3"/>
      <c r="B90" s="12"/>
      <c r="C90" s="3"/>
      <c r="AY90" s="103" t="s">
        <v>76</v>
      </c>
      <c r="AZ90" s="103" t="s">
        <v>453</v>
      </c>
      <c r="BA90" s="103" t="s">
        <v>395</v>
      </c>
      <c r="BB90" s="10">
        <v>357346</v>
      </c>
      <c r="BE90" s="70"/>
      <c r="BF90" s="241"/>
    </row>
    <row r="91" spans="1:58" ht="12.75">
      <c r="A91" s="3"/>
      <c r="B91" s="12"/>
      <c r="C91" s="3"/>
      <c r="AY91" s="103" t="s">
        <v>243</v>
      </c>
      <c r="AZ91" s="103" t="s">
        <v>506</v>
      </c>
      <c r="BA91" s="103" t="s">
        <v>576</v>
      </c>
      <c r="BB91" s="10">
        <v>748575</v>
      </c>
      <c r="BE91" s="247"/>
      <c r="BF91" s="249"/>
    </row>
    <row r="92" spans="1:58" ht="12.75">
      <c r="A92" s="3"/>
      <c r="B92" s="12"/>
      <c r="C92" s="3"/>
      <c r="AY92" s="103" t="s">
        <v>249</v>
      </c>
      <c r="AZ92" s="103" t="s">
        <v>250</v>
      </c>
      <c r="BA92" s="103" t="s">
        <v>576</v>
      </c>
      <c r="BB92" s="10">
        <v>322673</v>
      </c>
      <c r="BE92" s="247"/>
      <c r="BF92" s="249"/>
    </row>
    <row r="93" spans="1:58" ht="12.75">
      <c r="A93" s="3"/>
      <c r="B93" s="12"/>
      <c r="C93" s="3"/>
      <c r="AY93" s="103" t="s">
        <v>58</v>
      </c>
      <c r="AZ93" s="103" t="s">
        <v>59</v>
      </c>
      <c r="BA93" s="103" t="s">
        <v>395</v>
      </c>
      <c r="BB93" s="10">
        <v>165284</v>
      </c>
      <c r="BF93" s="252"/>
    </row>
    <row r="94" spans="1:58" ht="12.75">
      <c r="A94" s="3"/>
      <c r="B94" s="12"/>
      <c r="C94" s="3"/>
      <c r="AY94" s="103" t="s">
        <v>186</v>
      </c>
      <c r="AZ94" s="103" t="s">
        <v>491</v>
      </c>
      <c r="BA94" s="103" t="s">
        <v>395</v>
      </c>
      <c r="BB94" s="10">
        <v>339272</v>
      </c>
      <c r="BE94" s="70"/>
      <c r="BF94" s="241"/>
    </row>
    <row r="95" spans="1:58" ht="12.75">
      <c r="A95" s="3"/>
      <c r="B95" s="12"/>
      <c r="C95" s="3"/>
      <c r="AY95" s="103" t="s">
        <v>86</v>
      </c>
      <c r="AZ95" s="103" t="s">
        <v>87</v>
      </c>
      <c r="BA95" s="103" t="s">
        <v>395</v>
      </c>
      <c r="BB95" s="10">
        <v>165642</v>
      </c>
      <c r="BE95" s="247"/>
      <c r="BF95" s="249"/>
    </row>
    <row r="96" spans="1:58" ht="12.75">
      <c r="A96" s="3"/>
      <c r="B96" s="12"/>
      <c r="C96" s="3"/>
      <c r="AY96" s="103" t="s">
        <v>157</v>
      </c>
      <c r="AZ96" s="103" t="s">
        <v>158</v>
      </c>
      <c r="BA96" s="103" t="s">
        <v>395</v>
      </c>
      <c r="BB96" s="10">
        <v>208351</v>
      </c>
      <c r="BE96" s="243"/>
      <c r="BF96" s="238"/>
    </row>
    <row r="97" spans="1:58" ht="12.75">
      <c r="A97" s="3"/>
      <c r="B97" s="12"/>
      <c r="C97" s="3"/>
      <c r="AY97" s="103" t="s">
        <v>231</v>
      </c>
      <c r="AZ97" s="103" t="s">
        <v>232</v>
      </c>
      <c r="BA97" s="103" t="s">
        <v>395</v>
      </c>
      <c r="BB97" s="10">
        <v>203178</v>
      </c>
      <c r="BE97" s="243"/>
      <c r="BF97" s="238"/>
    </row>
    <row r="98" spans="1:58" ht="12.75">
      <c r="A98" s="3"/>
      <c r="B98" s="12"/>
      <c r="C98" s="3"/>
      <c r="AY98" s="103" t="s">
        <v>82</v>
      </c>
      <c r="AZ98" s="103" t="s">
        <v>457</v>
      </c>
      <c r="BA98" s="103" t="s">
        <v>395</v>
      </c>
      <c r="BB98" s="10">
        <v>214052</v>
      </c>
      <c r="BE98" s="248"/>
      <c r="BF98" s="241"/>
    </row>
    <row r="99" spans="1:58" ht="12.75">
      <c r="A99" s="3"/>
      <c r="B99" s="12"/>
      <c r="C99" s="3"/>
      <c r="AY99" s="103" t="s">
        <v>205</v>
      </c>
      <c r="AZ99" s="103" t="s">
        <v>206</v>
      </c>
      <c r="BA99" s="103" t="s">
        <v>576</v>
      </c>
      <c r="BB99" s="10">
        <v>795503</v>
      </c>
      <c r="BE99" s="70"/>
      <c r="BF99" s="249"/>
    </row>
    <row r="100" spans="1:58" ht="12.75">
      <c r="A100" s="3"/>
      <c r="B100" s="12"/>
      <c r="C100" s="3"/>
      <c r="AY100" s="103" t="s">
        <v>226</v>
      </c>
      <c r="AZ100" s="103" t="s">
        <v>501</v>
      </c>
      <c r="BA100" s="103" t="s">
        <v>395</v>
      </c>
      <c r="BB100" s="10">
        <v>648340</v>
      </c>
      <c r="BE100" s="70"/>
      <c r="BF100" s="249"/>
    </row>
    <row r="101" spans="51:58" ht="12.75">
      <c r="AY101" s="103" t="s">
        <v>51</v>
      </c>
      <c r="AZ101" s="103" t="s">
        <v>52</v>
      </c>
      <c r="BA101" s="103" t="s">
        <v>395</v>
      </c>
      <c r="BB101" s="10">
        <v>320818</v>
      </c>
      <c r="BE101" s="237"/>
      <c r="BF101" s="238"/>
    </row>
    <row r="102" spans="51:58" ht="12.75">
      <c r="AY102" s="103" t="s">
        <v>88</v>
      </c>
      <c r="AZ102" s="103" t="s">
        <v>89</v>
      </c>
      <c r="BA102" s="103" t="s">
        <v>395</v>
      </c>
      <c r="BB102" s="10">
        <v>339920</v>
      </c>
      <c r="BE102" s="237"/>
      <c r="BF102" s="238"/>
    </row>
    <row r="103" spans="51:58" ht="12.75">
      <c r="AY103" s="103" t="s">
        <v>177</v>
      </c>
      <c r="AZ103" s="103" t="s">
        <v>488</v>
      </c>
      <c r="BA103" s="103" t="s">
        <v>395</v>
      </c>
      <c r="BB103" s="10">
        <v>656875</v>
      </c>
      <c r="BE103" s="70"/>
      <c r="BF103" s="239"/>
    </row>
    <row r="104" spans="51:58" ht="12.75">
      <c r="AY104" s="103" t="s">
        <v>114</v>
      </c>
      <c r="AZ104" s="103" t="s">
        <v>467</v>
      </c>
      <c r="BA104" s="103" t="s">
        <v>395</v>
      </c>
      <c r="BB104" s="10">
        <v>236592</v>
      </c>
      <c r="BF104" s="252"/>
    </row>
    <row r="105" spans="51:58" ht="12.75">
      <c r="AY105" s="103" t="s">
        <v>259</v>
      </c>
      <c r="AZ105" s="103" t="s">
        <v>510</v>
      </c>
      <c r="BA105" s="103" t="s">
        <v>576</v>
      </c>
      <c r="BB105" s="10">
        <v>671572</v>
      </c>
      <c r="BE105" s="237"/>
      <c r="BF105" s="238"/>
    </row>
    <row r="106" spans="51:58" ht="12.75">
      <c r="AY106" s="103" t="s">
        <v>239</v>
      </c>
      <c r="AZ106" s="103" t="s">
        <v>240</v>
      </c>
      <c r="BA106" s="103" t="s">
        <v>576</v>
      </c>
      <c r="BB106" s="10">
        <v>177882</v>
      </c>
      <c r="BF106" s="252"/>
    </row>
    <row r="107" spans="51:58" ht="12.75">
      <c r="AY107" s="103" t="s">
        <v>91</v>
      </c>
      <c r="AZ107" s="103" t="s">
        <v>460</v>
      </c>
      <c r="BA107" s="103" t="s">
        <v>395</v>
      </c>
      <c r="BB107" s="10">
        <v>274443</v>
      </c>
      <c r="BF107" s="252"/>
    </row>
    <row r="108" spans="51:58" ht="12.75">
      <c r="AY108" s="103" t="s">
        <v>95</v>
      </c>
      <c r="AZ108" s="103" t="s">
        <v>462</v>
      </c>
      <c r="BA108" s="103" t="s">
        <v>395</v>
      </c>
      <c r="BB108" s="10">
        <v>213174</v>
      </c>
      <c r="BE108" s="70"/>
      <c r="BF108" s="239"/>
    </row>
    <row r="109" spans="51:58" ht="12.75">
      <c r="AY109" s="103" t="s">
        <v>179</v>
      </c>
      <c r="AZ109" s="103" t="s">
        <v>180</v>
      </c>
      <c r="BA109" s="103" t="s">
        <v>395</v>
      </c>
      <c r="BB109" s="10">
        <v>278950</v>
      </c>
      <c r="BE109" s="237"/>
      <c r="BF109" s="238"/>
    </row>
    <row r="110" spans="51:58" ht="12.75">
      <c r="AY110" s="103" t="s">
        <v>273</v>
      </c>
      <c r="AZ110" s="103" t="s">
        <v>274</v>
      </c>
      <c r="BA110" s="103" t="s">
        <v>395</v>
      </c>
      <c r="BB110" s="10">
        <v>133304</v>
      </c>
      <c r="BE110" s="70"/>
      <c r="BF110" s="249"/>
    </row>
    <row r="111" spans="51:58" ht="12.75">
      <c r="AY111" s="103" t="s">
        <v>155</v>
      </c>
      <c r="AZ111" s="103" t="s">
        <v>482</v>
      </c>
      <c r="BA111" s="103" t="s">
        <v>395</v>
      </c>
      <c r="BB111" s="10">
        <v>197060</v>
      </c>
      <c r="BE111" s="70"/>
      <c r="BF111" s="239"/>
    </row>
    <row r="112" spans="51:58" ht="12.75">
      <c r="AY112" s="103" t="s">
        <v>100</v>
      </c>
      <c r="AZ112" s="103" t="s">
        <v>101</v>
      </c>
      <c r="BA112" s="103" t="s">
        <v>395</v>
      </c>
      <c r="BB112" s="10">
        <v>253140</v>
      </c>
      <c r="BE112" s="250"/>
      <c r="BF112" s="249"/>
    </row>
    <row r="113" spans="51:58" ht="12.75">
      <c r="AY113" s="103" t="s">
        <v>92</v>
      </c>
      <c r="AZ113" s="103" t="s">
        <v>93</v>
      </c>
      <c r="BA113" s="103" t="s">
        <v>395</v>
      </c>
      <c r="BB113" s="10">
        <v>240983</v>
      </c>
      <c r="BE113" s="70"/>
      <c r="BF113" s="241"/>
    </row>
    <row r="114" spans="51:58" ht="12.75">
      <c r="AY114" s="103" t="s">
        <v>228</v>
      </c>
      <c r="AZ114" s="103" t="s">
        <v>503</v>
      </c>
      <c r="BA114" s="103" t="s">
        <v>395</v>
      </c>
      <c r="BB114" s="10">
        <v>340451</v>
      </c>
      <c r="BF114" s="241"/>
    </row>
    <row r="115" spans="51:58" ht="12.75">
      <c r="AY115" s="103" t="s">
        <v>189</v>
      </c>
      <c r="AZ115" s="103" t="s">
        <v>190</v>
      </c>
      <c r="BA115" s="103" t="s">
        <v>395</v>
      </c>
      <c r="BB115" s="10">
        <v>280673</v>
      </c>
      <c r="BE115" s="248"/>
      <c r="BF115" s="241"/>
    </row>
    <row r="116" spans="51:58" ht="12.75">
      <c r="AY116" s="103" t="s">
        <v>169</v>
      </c>
      <c r="AZ116" s="103" t="s">
        <v>170</v>
      </c>
      <c r="BA116" s="103" t="s">
        <v>395</v>
      </c>
      <c r="BB116" s="10">
        <v>565874</v>
      </c>
      <c r="BE116" s="70"/>
      <c r="BF116" s="239"/>
    </row>
    <row r="117" spans="51:58" ht="12.75">
      <c r="AY117" s="103" t="s">
        <v>152</v>
      </c>
      <c r="AZ117" s="103" t="s">
        <v>481</v>
      </c>
      <c r="BA117" s="103" t="s">
        <v>576</v>
      </c>
      <c r="BB117" s="10">
        <v>295379</v>
      </c>
      <c r="BE117" s="237"/>
      <c r="BF117" s="238"/>
    </row>
    <row r="118" spans="51:58" ht="12.75">
      <c r="AY118" s="103" t="s">
        <v>56</v>
      </c>
      <c r="AZ118" s="103" t="s">
        <v>57</v>
      </c>
      <c r="BA118" s="103" t="s">
        <v>395</v>
      </c>
      <c r="BB118" s="10">
        <v>217094</v>
      </c>
      <c r="BE118" s="70"/>
      <c r="BF118" s="239"/>
    </row>
    <row r="119" spans="51:58" ht="12.75">
      <c r="AY119" s="103" t="s">
        <v>268</v>
      </c>
      <c r="AZ119" s="103" t="s">
        <v>513</v>
      </c>
      <c r="BA119" s="103" t="s">
        <v>395</v>
      </c>
      <c r="BB119" s="10">
        <v>538131</v>
      </c>
      <c r="BE119" s="70"/>
      <c r="BF119" s="239"/>
    </row>
    <row r="120" spans="51:58" ht="12.75">
      <c r="AY120" s="103" t="s">
        <v>150</v>
      </c>
      <c r="AZ120" s="103" t="s">
        <v>151</v>
      </c>
      <c r="BA120" s="103" t="s">
        <v>576</v>
      </c>
      <c r="BB120" s="10">
        <v>389725</v>
      </c>
      <c r="BE120" s="70"/>
      <c r="BF120" s="239"/>
    </row>
    <row r="121" spans="51:58" ht="12.75">
      <c r="AY121" s="103" t="s">
        <v>212</v>
      </c>
      <c r="AZ121" s="103" t="s">
        <v>213</v>
      </c>
      <c r="BA121" s="103" t="s">
        <v>576</v>
      </c>
      <c r="BB121" s="10">
        <v>356812</v>
      </c>
      <c r="BE121" s="237"/>
      <c r="BF121" s="238"/>
    </row>
    <row r="122" spans="51:58" ht="12.75">
      <c r="AY122" s="103" t="s">
        <v>60</v>
      </c>
      <c r="AZ122" s="103" t="s">
        <v>61</v>
      </c>
      <c r="BA122" s="103" t="s">
        <v>395</v>
      </c>
      <c r="BB122" s="10">
        <v>256321</v>
      </c>
      <c r="BE122" s="70"/>
      <c r="BF122" s="249"/>
    </row>
    <row r="123" spans="51:58" ht="12.75">
      <c r="AY123" s="103" t="s">
        <v>234</v>
      </c>
      <c r="AZ123" s="103" t="s">
        <v>505</v>
      </c>
      <c r="BA123" s="103" t="s">
        <v>576</v>
      </c>
      <c r="BB123" s="10">
        <v>615835</v>
      </c>
      <c r="BF123" s="252"/>
    </row>
    <row r="124" spans="51:58" ht="12.75">
      <c r="AY124" s="103" t="s">
        <v>130</v>
      </c>
      <c r="AZ124" s="103" t="s">
        <v>475</v>
      </c>
      <c r="BA124" s="103" t="s">
        <v>395</v>
      </c>
      <c r="BB124" s="10">
        <v>150179</v>
      </c>
      <c r="BF124" s="252"/>
    </row>
    <row r="125" spans="51:58" ht="12.75">
      <c r="AY125" s="103" t="s">
        <v>253</v>
      </c>
      <c r="AZ125" s="103" t="s">
        <v>254</v>
      </c>
      <c r="BA125" s="103" t="s">
        <v>395</v>
      </c>
      <c r="BB125" s="10">
        <v>420503</v>
      </c>
      <c r="BE125" s="70"/>
      <c r="BF125" s="249"/>
    </row>
    <row r="126" spans="51:58" ht="12.75">
      <c r="AY126" s="103" t="s">
        <v>134</v>
      </c>
      <c r="AZ126" s="103" t="s">
        <v>477</v>
      </c>
      <c r="BA126" s="103" t="s">
        <v>395</v>
      </c>
      <c r="BB126" s="10">
        <v>263936</v>
      </c>
      <c r="BE126" s="70"/>
      <c r="BF126" s="239"/>
    </row>
    <row r="127" spans="51:58" ht="12.75">
      <c r="AY127" s="103" t="s">
        <v>142</v>
      </c>
      <c r="AZ127" s="103" t="s">
        <v>143</v>
      </c>
      <c r="BA127" s="103" t="s">
        <v>395</v>
      </c>
      <c r="BB127" s="10">
        <v>308593</v>
      </c>
      <c r="BF127" s="252"/>
    </row>
    <row r="128" spans="51:58" ht="12.75">
      <c r="AY128" s="103" t="s">
        <v>94</v>
      </c>
      <c r="AZ128" s="103" t="s">
        <v>461</v>
      </c>
      <c r="BA128" s="103" t="s">
        <v>576</v>
      </c>
      <c r="BB128" s="10">
        <v>298190</v>
      </c>
      <c r="BE128" s="250"/>
      <c r="BF128" s="249"/>
    </row>
    <row r="129" spans="51:58" ht="12.75">
      <c r="AY129" s="103" t="s">
        <v>85</v>
      </c>
      <c r="AZ129" s="103" t="s">
        <v>458</v>
      </c>
      <c r="BA129" s="103" t="s">
        <v>395</v>
      </c>
      <c r="BB129" s="10">
        <v>191885</v>
      </c>
      <c r="BE129" s="70"/>
      <c r="BF129" s="249"/>
    </row>
    <row r="130" spans="51:58" ht="12.75">
      <c r="AY130" s="103" t="s">
        <v>233</v>
      </c>
      <c r="AZ130" s="103" t="s">
        <v>504</v>
      </c>
      <c r="BA130" s="103" t="s">
        <v>395</v>
      </c>
      <c r="BB130" s="10">
        <v>268223</v>
      </c>
      <c r="BE130" s="70"/>
      <c r="BF130" s="249"/>
    </row>
    <row r="131" spans="51:58" ht="12.75">
      <c r="AY131" s="103" t="s">
        <v>245</v>
      </c>
      <c r="AZ131" s="103" t="s">
        <v>246</v>
      </c>
      <c r="BA131" s="103" t="s">
        <v>576</v>
      </c>
      <c r="BB131" s="10">
        <v>616983</v>
      </c>
      <c r="BE131" s="247"/>
      <c r="BF131" s="249"/>
    </row>
    <row r="132" spans="51:58" ht="12.75">
      <c r="AY132" s="103" t="s">
        <v>131</v>
      </c>
      <c r="AZ132" s="103" t="s">
        <v>476</v>
      </c>
      <c r="BA132" s="103" t="s">
        <v>395</v>
      </c>
      <c r="BB132" s="10">
        <v>283991</v>
      </c>
      <c r="BE132" s="247"/>
      <c r="BF132" s="249"/>
    </row>
    <row r="133" spans="51:58" ht="12.75">
      <c r="AY133" s="103" t="s">
        <v>216</v>
      </c>
      <c r="AZ133" s="103" t="s">
        <v>217</v>
      </c>
      <c r="BA133" s="103" t="s">
        <v>395</v>
      </c>
      <c r="BB133" s="10">
        <v>1156805</v>
      </c>
      <c r="BE133" s="247"/>
      <c r="BF133" s="251"/>
    </row>
    <row r="134" spans="51:58" ht="12.75">
      <c r="AY134" s="103" t="s">
        <v>156</v>
      </c>
      <c r="AZ134" s="103" t="s">
        <v>483</v>
      </c>
      <c r="BA134" s="103" t="s">
        <v>395</v>
      </c>
      <c r="BB134" s="10">
        <v>390971</v>
      </c>
      <c r="BE134" s="243"/>
      <c r="BF134" s="238"/>
    </row>
    <row r="135" spans="51:58" ht="12.75">
      <c r="AY135" s="103" t="s">
        <v>121</v>
      </c>
      <c r="AZ135" s="103" t="s">
        <v>122</v>
      </c>
      <c r="BA135" s="103" t="s">
        <v>575</v>
      </c>
      <c r="BB135" s="10">
        <v>218182</v>
      </c>
      <c r="BE135" s="250"/>
      <c r="BF135" s="249"/>
    </row>
    <row r="136" spans="51:58" ht="12.75">
      <c r="AY136" s="103" t="s">
        <v>148</v>
      </c>
      <c r="AZ136" s="103" t="s">
        <v>479</v>
      </c>
      <c r="BA136" s="103" t="s">
        <v>576</v>
      </c>
      <c r="BB136" s="10">
        <v>236598</v>
      </c>
      <c r="BE136" s="237"/>
      <c r="BF136" s="238"/>
    </row>
    <row r="137" spans="51:58" ht="12.75">
      <c r="AY137" s="103" t="s">
        <v>160</v>
      </c>
      <c r="AZ137" s="103" t="s">
        <v>485</v>
      </c>
      <c r="BA137" s="103" t="s">
        <v>576</v>
      </c>
      <c r="BB137" s="10">
        <v>165993</v>
      </c>
      <c r="BF137" s="252"/>
    </row>
    <row r="138" spans="51:58" ht="12.75">
      <c r="AY138" s="103" t="s">
        <v>54</v>
      </c>
      <c r="AZ138" s="103" t="s">
        <v>55</v>
      </c>
      <c r="BA138" s="103" t="s">
        <v>395</v>
      </c>
      <c r="BB138" s="10">
        <v>145889</v>
      </c>
      <c r="BE138" s="70"/>
      <c r="BF138" s="239"/>
    </row>
    <row r="139" spans="51:58" ht="12.75">
      <c r="AY139" s="103" t="s">
        <v>75</v>
      </c>
      <c r="AZ139" s="103" t="s">
        <v>452</v>
      </c>
      <c r="BA139" s="103" t="s">
        <v>395</v>
      </c>
      <c r="BB139" s="10">
        <v>267393</v>
      </c>
      <c r="BE139" s="237"/>
      <c r="BF139" s="238"/>
    </row>
    <row r="140" spans="51:58" ht="12.75">
      <c r="AY140" s="103" t="s">
        <v>201</v>
      </c>
      <c r="AZ140" s="103" t="s">
        <v>202</v>
      </c>
      <c r="BA140" s="103" t="s">
        <v>576</v>
      </c>
      <c r="BB140" s="10">
        <v>232551</v>
      </c>
      <c r="BE140" s="70"/>
      <c r="BF140" s="239"/>
    </row>
    <row r="141" spans="51:58" ht="12.75">
      <c r="AY141" s="103" t="s">
        <v>167</v>
      </c>
      <c r="AZ141" s="103" t="s">
        <v>168</v>
      </c>
      <c r="BA141" s="103" t="s">
        <v>576</v>
      </c>
      <c r="BB141" s="10">
        <v>350958</v>
      </c>
      <c r="BE141" s="70"/>
      <c r="BF141" s="239"/>
    </row>
    <row r="142" spans="51:58" ht="12.75">
      <c r="AY142" s="103" t="s">
        <v>153</v>
      </c>
      <c r="AZ142" s="103" t="s">
        <v>154</v>
      </c>
      <c r="BA142" s="103" t="s">
        <v>395</v>
      </c>
      <c r="BB142" s="10">
        <v>265654</v>
      </c>
      <c r="BE142" s="70"/>
      <c r="BF142" s="241"/>
    </row>
    <row r="143" spans="51:58" ht="12.75">
      <c r="AY143" s="103" t="s">
        <v>181</v>
      </c>
      <c r="AZ143" s="103" t="s">
        <v>182</v>
      </c>
      <c r="BA143" s="103" t="s">
        <v>395</v>
      </c>
      <c r="BB143" s="10">
        <v>284466</v>
      </c>
      <c r="BE143" s="70"/>
      <c r="BF143" s="249"/>
    </row>
    <row r="144" spans="51:58" ht="12.75">
      <c r="AY144" s="103" t="s">
        <v>146</v>
      </c>
      <c r="AZ144" s="103" t="s">
        <v>147</v>
      </c>
      <c r="BA144" s="103" t="s">
        <v>395</v>
      </c>
      <c r="BB144" s="10">
        <v>319933</v>
      </c>
      <c r="BE144" s="70"/>
      <c r="BF144" s="241"/>
    </row>
    <row r="145" spans="51:58" ht="12.75">
      <c r="AY145" s="103" t="s">
        <v>111</v>
      </c>
      <c r="AZ145" s="103" t="s">
        <v>112</v>
      </c>
      <c r="BA145" s="103" t="s">
        <v>395</v>
      </c>
      <c r="BB145" s="10">
        <v>192336</v>
      </c>
      <c r="BE145" s="248"/>
      <c r="BF145" s="249"/>
    </row>
    <row r="146" spans="51:58" ht="12.75">
      <c r="AY146" s="103" t="s">
        <v>237</v>
      </c>
      <c r="AZ146" s="103" t="s">
        <v>238</v>
      </c>
      <c r="BA146" s="103" t="s">
        <v>395</v>
      </c>
      <c r="BB146" s="10">
        <v>548313</v>
      </c>
      <c r="BF146" s="252"/>
    </row>
    <row r="147" spans="51:58" ht="12.75">
      <c r="AY147" s="103" t="s">
        <v>247</v>
      </c>
      <c r="AZ147" s="103" t="s">
        <v>248</v>
      </c>
      <c r="BA147" s="103" t="s">
        <v>395</v>
      </c>
      <c r="BB147" s="10">
        <v>287229</v>
      </c>
      <c r="BF147" s="252"/>
    </row>
    <row r="148" spans="51:58" ht="12.75">
      <c r="AY148" s="103" t="s">
        <v>222</v>
      </c>
      <c r="AZ148" s="103" t="s">
        <v>499</v>
      </c>
      <c r="BA148" s="103" t="s">
        <v>576</v>
      </c>
      <c r="BB148" s="10">
        <v>707573</v>
      </c>
      <c r="BF148" s="252"/>
    </row>
    <row r="149" spans="51:58" ht="12.75">
      <c r="AY149" s="103" t="s">
        <v>218</v>
      </c>
      <c r="AZ149" s="103" t="s">
        <v>219</v>
      </c>
      <c r="BA149" s="103" t="s">
        <v>576</v>
      </c>
      <c r="BB149" s="10">
        <v>825533</v>
      </c>
      <c r="BE149" s="248"/>
      <c r="BF149" s="249"/>
    </row>
    <row r="150" spans="51:58" ht="12.75">
      <c r="AY150" s="103" t="s">
        <v>196</v>
      </c>
      <c r="AZ150" s="103" t="s">
        <v>197</v>
      </c>
      <c r="BA150" s="103" t="s">
        <v>395</v>
      </c>
      <c r="BB150" s="10">
        <v>259945</v>
      </c>
      <c r="BF150" s="252"/>
    </row>
    <row r="151" spans="51:58" ht="12.75">
      <c r="AY151" s="103" t="s">
        <v>138</v>
      </c>
      <c r="AZ151" s="103" t="s">
        <v>139</v>
      </c>
      <c r="BA151" s="103" t="s">
        <v>395</v>
      </c>
      <c r="BB151" s="10">
        <v>246573</v>
      </c>
      <c r="BF151" s="252"/>
    </row>
    <row r="152" spans="51:58" ht="12.75">
      <c r="AY152" s="103" t="s">
        <v>266</v>
      </c>
      <c r="AZ152" s="103" t="s">
        <v>267</v>
      </c>
      <c r="BA152" s="103" t="s">
        <v>576</v>
      </c>
      <c r="BB152" s="10">
        <v>462395</v>
      </c>
      <c r="BE152" s="250"/>
      <c r="BF152" s="239"/>
    </row>
    <row r="153" spans="51:58" ht="12.75">
      <c r="AY153" s="103" t="s">
        <v>191</v>
      </c>
      <c r="AZ153" s="103" t="s">
        <v>192</v>
      </c>
      <c r="BA153" s="103" t="s">
        <v>395</v>
      </c>
      <c r="BB153" s="10">
        <v>332176</v>
      </c>
      <c r="BF153" s="252"/>
    </row>
    <row r="154" spans="51:58" ht="12.75">
      <c r="AY154" s="103" t="s">
        <v>161</v>
      </c>
      <c r="AZ154" s="103" t="s">
        <v>486</v>
      </c>
      <c r="BA154" s="103" t="s">
        <v>395</v>
      </c>
      <c r="BB154" s="10">
        <v>246213</v>
      </c>
      <c r="BE154" s="237"/>
      <c r="BF154" s="238"/>
    </row>
    <row r="155" spans="51:58" ht="12.75">
      <c r="AY155" s="103" t="s">
        <v>235</v>
      </c>
      <c r="AZ155" s="103" t="s">
        <v>236</v>
      </c>
      <c r="BA155" s="103" t="s">
        <v>576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630</v>
      </c>
      <c r="B3" s="56" t="s">
        <v>508</v>
      </c>
      <c r="C3" s="56" t="s">
        <v>24</v>
      </c>
    </row>
    <row r="4" spans="1:2" ht="12.75">
      <c r="A4" s="76">
        <v>1</v>
      </c>
      <c r="B4" s="78" t="s">
        <v>255</v>
      </c>
    </row>
    <row r="5" ht="12.75">
      <c r="A5" s="280" t="s">
        <v>630</v>
      </c>
    </row>
    <row r="6" ht="12.75">
      <c r="A6" s="280" t="s">
        <v>681</v>
      </c>
    </row>
    <row r="7" ht="12.75">
      <c r="A7" s="280" t="s">
        <v>626</v>
      </c>
    </row>
    <row r="8" ht="12.75">
      <c r="A8" s="280" t="s">
        <v>640</v>
      </c>
    </row>
    <row r="9" ht="12.75">
      <c r="A9" s="280" t="s">
        <v>591</v>
      </c>
    </row>
    <row r="10" ht="12.75">
      <c r="A10" s="280" t="s">
        <v>616</v>
      </c>
    </row>
    <row r="11" ht="12.75">
      <c r="A11" s="280" t="s">
        <v>655</v>
      </c>
    </row>
    <row r="12" ht="12.75">
      <c r="A12" s="280" t="s">
        <v>635</v>
      </c>
    </row>
    <row r="13" ht="12.75">
      <c r="A13" s="280" t="s">
        <v>643</v>
      </c>
    </row>
    <row r="14" ht="12.75">
      <c r="A14" s="280" t="s">
        <v>665</v>
      </c>
    </row>
    <row r="15" ht="12.75">
      <c r="A15" s="280" t="s">
        <v>683</v>
      </c>
    </row>
    <row r="16" ht="12.75">
      <c r="A16" s="280" t="s">
        <v>676</v>
      </c>
    </row>
    <row r="17" ht="12.75">
      <c r="A17" s="280" t="s">
        <v>641</v>
      </c>
    </row>
    <row r="18" ht="12.75">
      <c r="A18" s="280" t="s">
        <v>615</v>
      </c>
    </row>
    <row r="19" ht="12.75">
      <c r="A19" s="280" t="s">
        <v>602</v>
      </c>
    </row>
    <row r="20" ht="12.75">
      <c r="A20" s="280" t="s">
        <v>582</v>
      </c>
    </row>
    <row r="21" ht="12.75">
      <c r="A21" s="280" t="s">
        <v>650</v>
      </c>
    </row>
    <row r="22" ht="12.75">
      <c r="A22" s="280" t="s">
        <v>589</v>
      </c>
    </row>
    <row r="23" ht="12.75">
      <c r="A23" s="280" t="s">
        <v>583</v>
      </c>
    </row>
    <row r="24" ht="12.75">
      <c r="A24" s="280" t="s">
        <v>604</v>
      </c>
    </row>
    <row r="25" ht="12.75">
      <c r="A25" s="280" t="s">
        <v>671</v>
      </c>
    </row>
    <row r="26" ht="12.75">
      <c r="A26" s="280" t="s">
        <v>686</v>
      </c>
    </row>
    <row r="27" ht="12.75">
      <c r="A27" s="280" t="s">
        <v>637</v>
      </c>
    </row>
    <row r="28" ht="12.75">
      <c r="A28" s="280" t="s">
        <v>666</v>
      </c>
    </row>
    <row r="29" ht="12.75">
      <c r="A29" s="280" t="s">
        <v>581</v>
      </c>
    </row>
    <row r="30" ht="12.75">
      <c r="A30" s="280" t="s">
        <v>687</v>
      </c>
    </row>
    <row r="31" ht="12.75">
      <c r="A31" s="280" t="s">
        <v>701</v>
      </c>
    </row>
    <row r="32" ht="12.75">
      <c r="A32" s="280" t="s">
        <v>634</v>
      </c>
    </row>
    <row r="33" ht="12.75">
      <c r="A33" s="280" t="s">
        <v>699</v>
      </c>
    </row>
    <row r="34" ht="12.75">
      <c r="A34" s="280" t="s">
        <v>700</v>
      </c>
    </row>
    <row r="35" ht="12.75">
      <c r="A35" s="280" t="s">
        <v>698</v>
      </c>
    </row>
    <row r="36" ht="12.75">
      <c r="A36" s="280" t="s">
        <v>587</v>
      </c>
    </row>
    <row r="37" ht="12.75">
      <c r="A37" s="280" t="s">
        <v>664</v>
      </c>
    </row>
    <row r="38" ht="12.75">
      <c r="A38" s="280" t="s">
        <v>679</v>
      </c>
    </row>
    <row r="39" ht="12.75">
      <c r="A39" s="280" t="s">
        <v>661</v>
      </c>
    </row>
    <row r="40" ht="12.75">
      <c r="A40" s="280" t="s">
        <v>653</v>
      </c>
    </row>
    <row r="41" ht="12.75">
      <c r="A41" s="280" t="s">
        <v>682</v>
      </c>
    </row>
    <row r="42" ht="12.75">
      <c r="A42" s="280" t="s">
        <v>624</v>
      </c>
    </row>
    <row r="43" ht="12.75">
      <c r="A43" s="280" t="s">
        <v>657</v>
      </c>
    </row>
    <row r="44" ht="12.75">
      <c r="A44" s="280" t="s">
        <v>684</v>
      </c>
    </row>
    <row r="45" ht="12.75">
      <c r="A45" s="280" t="s">
        <v>588</v>
      </c>
    </row>
    <row r="46" ht="12.75">
      <c r="A46" s="280" t="s">
        <v>614</v>
      </c>
    </row>
    <row r="47" ht="12.75">
      <c r="A47" s="280" t="s">
        <v>636</v>
      </c>
    </row>
    <row r="48" ht="12.75">
      <c r="A48" s="280" t="s">
        <v>633</v>
      </c>
    </row>
    <row r="49" ht="12.75">
      <c r="A49" s="280" t="s">
        <v>621</v>
      </c>
    </row>
    <row r="50" ht="12.75">
      <c r="A50" s="280" t="s">
        <v>596</v>
      </c>
    </row>
    <row r="51" ht="12.75">
      <c r="A51" s="280" t="s">
        <v>619</v>
      </c>
    </row>
    <row r="52" ht="12.75">
      <c r="A52" s="280" t="s">
        <v>670</v>
      </c>
    </row>
    <row r="53" ht="12.75">
      <c r="A53" s="280" t="s">
        <v>638</v>
      </c>
    </row>
    <row r="54" ht="12.75">
      <c r="A54" s="280" t="s">
        <v>674</v>
      </c>
    </row>
    <row r="55" ht="12.75">
      <c r="A55" s="280" t="s">
        <v>644</v>
      </c>
    </row>
    <row r="56" ht="12.75">
      <c r="A56" s="280" t="s">
        <v>594</v>
      </c>
    </row>
    <row r="57" ht="12.75">
      <c r="A57" s="280" t="s">
        <v>645</v>
      </c>
    </row>
    <row r="58" ht="12.75">
      <c r="A58" s="280" t="s">
        <v>663</v>
      </c>
    </row>
    <row r="59" ht="12.75">
      <c r="A59" s="280" t="s">
        <v>660</v>
      </c>
    </row>
    <row r="60" ht="12.75">
      <c r="A60" s="280" t="s">
        <v>617</v>
      </c>
    </row>
    <row r="61" ht="12.75">
      <c r="A61" s="280" t="s">
        <v>649</v>
      </c>
    </row>
    <row r="62" ht="12.75">
      <c r="A62" s="280" t="s">
        <v>673</v>
      </c>
    </row>
    <row r="63" ht="12.75">
      <c r="A63" s="280" t="s">
        <v>620</v>
      </c>
    </row>
    <row r="64" ht="12.75">
      <c r="A64" s="280" t="s">
        <v>612</v>
      </c>
    </row>
    <row r="65" ht="12.75">
      <c r="A65" s="280" t="s">
        <v>659</v>
      </c>
    </row>
    <row r="66" ht="12.75">
      <c r="A66" s="280" t="s">
        <v>631</v>
      </c>
    </row>
    <row r="67" ht="12.75">
      <c r="A67" s="280" t="s">
        <v>593</v>
      </c>
    </row>
    <row r="68" ht="12.75">
      <c r="A68" s="280" t="s">
        <v>677</v>
      </c>
    </row>
    <row r="69" ht="12.75">
      <c r="A69" s="280" t="s">
        <v>605</v>
      </c>
    </row>
    <row r="70" ht="12.75">
      <c r="A70" s="280" t="s">
        <v>601</v>
      </c>
    </row>
    <row r="71" ht="12.75">
      <c r="A71" s="280" t="s">
        <v>629</v>
      </c>
    </row>
    <row r="72" ht="12.75">
      <c r="A72" s="280" t="s">
        <v>632</v>
      </c>
    </row>
    <row r="73" ht="12.75">
      <c r="A73" s="280" t="s">
        <v>607</v>
      </c>
    </row>
    <row r="74" ht="12.75">
      <c r="A74" s="280" t="s">
        <v>639</v>
      </c>
    </row>
    <row r="75" ht="12.75">
      <c r="A75" s="280" t="s">
        <v>675</v>
      </c>
    </row>
    <row r="76" ht="12.75">
      <c r="A76" s="280" t="s">
        <v>652</v>
      </c>
    </row>
    <row r="77" ht="12.75">
      <c r="A77" s="280" t="s">
        <v>584</v>
      </c>
    </row>
    <row r="78" ht="12.75">
      <c r="A78" s="280" t="s">
        <v>625</v>
      </c>
    </row>
    <row r="79" ht="12.75">
      <c r="A79" s="280" t="s">
        <v>668</v>
      </c>
    </row>
    <row r="80" ht="12.75">
      <c r="A80" s="280" t="s">
        <v>647</v>
      </c>
    </row>
    <row r="81" ht="12.75">
      <c r="A81" s="280" t="s">
        <v>623</v>
      </c>
    </row>
    <row r="82" ht="12.75">
      <c r="A82" s="280" t="s">
        <v>651</v>
      </c>
    </row>
    <row r="83" ht="12.75">
      <c r="A83" s="280" t="s">
        <v>667</v>
      </c>
    </row>
    <row r="84" ht="12.75">
      <c r="A84" s="280" t="s">
        <v>662</v>
      </c>
    </row>
    <row r="85" ht="12.75">
      <c r="A85" s="280" t="s">
        <v>613</v>
      </c>
    </row>
    <row r="86" ht="12.75">
      <c r="A86" s="280" t="s">
        <v>600</v>
      </c>
    </row>
    <row r="87" ht="12.75">
      <c r="A87" s="280" t="s">
        <v>580</v>
      </c>
    </row>
    <row r="88" ht="12.75">
      <c r="A88" s="280" t="s">
        <v>642</v>
      </c>
    </row>
    <row r="89" ht="12.75">
      <c r="A89" s="280" t="s">
        <v>592</v>
      </c>
    </row>
    <row r="90" ht="12.75">
      <c r="A90" s="280" t="s">
        <v>672</v>
      </c>
    </row>
    <row r="91" ht="12.75">
      <c r="A91" s="280" t="s">
        <v>610</v>
      </c>
    </row>
    <row r="92" ht="12.75">
      <c r="A92" s="280" t="s">
        <v>595</v>
      </c>
    </row>
    <row r="93" ht="12.75">
      <c r="A93" s="280" t="s">
        <v>585</v>
      </c>
    </row>
    <row r="94" ht="12.75">
      <c r="A94" s="280" t="s">
        <v>597</v>
      </c>
    </row>
    <row r="95" ht="12.75">
      <c r="A95" s="280" t="s">
        <v>656</v>
      </c>
    </row>
    <row r="96" ht="12.75">
      <c r="A96" s="280" t="s">
        <v>680</v>
      </c>
    </row>
    <row r="97" ht="12.75">
      <c r="A97" s="280" t="s">
        <v>646</v>
      </c>
    </row>
    <row r="98" ht="12.75">
      <c r="A98" s="280" t="s">
        <v>618</v>
      </c>
    </row>
    <row r="99" ht="12.75">
      <c r="A99" s="280" t="s">
        <v>590</v>
      </c>
    </row>
    <row r="100" ht="12.75">
      <c r="A100" s="280" t="s">
        <v>586</v>
      </c>
    </row>
    <row r="101" ht="12.75">
      <c r="A101" s="280" t="s">
        <v>598</v>
      </c>
    </row>
    <row r="102" ht="12.75">
      <c r="A102" s="280" t="s">
        <v>603</v>
      </c>
    </row>
    <row r="103" ht="12.75">
      <c r="A103" s="280" t="s">
        <v>611</v>
      </c>
    </row>
    <row r="104" ht="12.75">
      <c r="A104" s="280" t="s">
        <v>678</v>
      </c>
    </row>
    <row r="105" ht="12.75">
      <c r="A105" s="280" t="s">
        <v>658</v>
      </c>
    </row>
    <row r="106" ht="12.75">
      <c r="A106" s="280" t="s">
        <v>622</v>
      </c>
    </row>
    <row r="107" ht="12.75">
      <c r="A107" s="280" t="s">
        <v>627</v>
      </c>
    </row>
    <row r="108" ht="12.75">
      <c r="A108" s="280" t="s">
        <v>654</v>
      </c>
    </row>
    <row r="109" ht="12.75">
      <c r="A109" s="280" t="s">
        <v>648</v>
      </c>
    </row>
    <row r="110" ht="12.75">
      <c r="A110" s="280" t="s">
        <v>608</v>
      </c>
    </row>
    <row r="111" ht="12.75">
      <c r="A111" s="280" t="s">
        <v>669</v>
      </c>
    </row>
    <row r="112" ht="12.75">
      <c r="A112" s="70" t="s">
        <v>606</v>
      </c>
    </row>
    <row r="113" ht="12.75">
      <c r="A113" s="70" t="s">
        <v>685</v>
      </c>
    </row>
    <row r="114" ht="12.75">
      <c r="A114" s="70" t="s">
        <v>609</v>
      </c>
    </row>
    <row r="115" ht="12.75">
      <c r="A115" s="70" t="s">
        <v>599</v>
      </c>
    </row>
    <row r="116" ht="12.75">
      <c r="A116" s="70" t="s">
        <v>628</v>
      </c>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