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<sst xmlns="http://schemas.openxmlformats.org/spreadsheetml/2006/main" count="1561" uniqueCount="596">
  <si>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</si>
  <si>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</si>
  <si>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</si>
  <si>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</si>
  <si>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</si>
  <si>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</si>
  <si>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</si>
  <si>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</si>
  <si>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</si>
  <si>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</si>
  <si>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</si>
  <si>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</si>
  <si>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</si>
  <si>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</si>
  <si>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</si>
  <si>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</si>
  <si>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</si>
  <si>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</si>
  <si>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</si>
  <si>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</si>
  <si>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</si>
  <si>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</si>
  <si>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</si>
  <si>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</si>
  <si>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</si>
  <si>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</si>
  <si>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</si>
  <si>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</si>
  <si>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</si>
  <si>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</si>
  <si>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</si>
  <si>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</si>
  <si>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</si>
  <si>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</si>
  <si>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</si>
  <si>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</si>
  <si>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</si>
  <si>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</si>
  <si>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</si>
  <si>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</si>
  <si>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</si>
  <si>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</si>
  <si>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</si>
  <si>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</si>
  <si>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</si>
  <si>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</si>
  <si>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</si>
  <si>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</si>
  <si>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</si>
  <si>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</si>
  <si>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</si>
  <si>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</si>
  <si>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</si>
  <si>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</si>
  <si>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</si>
  <si>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</si>
  <si>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</si>
  <si>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</si>
  <si>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</si>
  <si>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</si>
  <si>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</si>
  <si>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</si>
  <si>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</si>
  <si>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</si>
  <si>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</si>
  <si>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</si>
  <si>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</si>
  <si>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</si>
  <si>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</si>
  <si>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</si>
  <si>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</si>
  <si>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</si>
  <si>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</si>
  <si>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</si>
  <si>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</si>
  <si>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</si>
  <si>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</si>
  <si>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</si>
  <si>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</si>
  <si>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</si>
  <si>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</si>
  <si>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</si>
  <si>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</si>
  <si>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</si>
  <si>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</si>
  <si>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</si>
  <si>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</si>
  <si>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</si>
  <si>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</si>
  <si>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</si>
  <si>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</si>
  <si>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</si>
  <si>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</si>
  <si>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</si>
  <si>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</si>
  <si>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</si>
  <si>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</si>
  <si>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</si>
  <si>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</si>
  <si>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</si>
  <si>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</si>
  <si>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</si>
  <si>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</si>
  <si>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</si>
  <si>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</si>
  <si>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</si>
  <si>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</si>
  <si>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</si>
  <si>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</si>
  <si>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</si>
  <si>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</si>
  <si>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</si>
  <si>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</si>
  <si>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</si>
  <si>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</si>
  <si>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</si>
  <si>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</si>
  <si>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</si>
  <si>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</si>
  <si>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</si>
  <si>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</si>
  <si>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</si>
  <si>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</si>
  <si>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</si>
  <si>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</si>
  <si>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</si>
  <si>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</si>
  <si>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</si>
  <si>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</si>
  <si>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</si>
  <si>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</si>
  <si>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</si>
  <si>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</si>
  <si>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</si>
  <si>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</si>
  <si>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</si>
  <si>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</si>
  <si>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</si>
  <si>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</si>
  <si>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</si>
  <si>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</si>
  <si>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</si>
  <si>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</si>
  <si>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</si>
  <si>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</si>
  <si>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</si>
  <si>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</si>
  <si>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</si>
  <si>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</si>
  <si>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</si>
  <si>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</si>
  <si>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</si>
  <si>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</si>
  <si>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</si>
  <si>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</si>
  <si>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</si>
  <si>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</si>
  <si>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</si>
  <si>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</si>
  <si>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</si>
  <si>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</si>
  <si>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</si>
  <si>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</si>
  <si>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</si>
  <si>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</si>
  <si>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</si>
  <si>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</si>
  <si>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</si>
  <si>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</si>
  <si>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</si>
  <si>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</si>
  <si>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</si>
  <si>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</si>
  <si>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</si>
  <si>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</si>
  <si>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</si>
  <si>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</si>
  <si>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</si>
  <si>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</si>
  <si>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</si>
  <si>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</si>
  <si>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</si>
  <si>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</si>
  <si>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</si>
  <si>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</si>
  <si>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</si>
  <si>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</si>
  <si>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</si>
  <si>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</si>
  <si>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</si>
  <si>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</si>
  <si>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</si>
  <si>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</si>
  <si>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</si>
  <si>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</si>
  <si>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</si>
  <si>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</si>
  <si>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</si>
  <si>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</si>
  <si>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</si>
  <si>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</si>
  <si>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</si>
  <si>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</si>
  <si>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</si>
  <si>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</si>
  <si>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</si>
  <si>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</si>
  <si>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</si>
  <si>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</si>
  <si>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</si>
  <si>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</si>
  <si>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</si>
  <si>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</si>
  <si>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</si>
  <si>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</si>
  <si>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</si>
  <si>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</si>
  <si>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</si>
  <si>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</si>
  <si>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</si>
  <si>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</si>
  <si>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</si>
  <si>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</si>
  <si>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</si>
  <si>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</si>
  <si>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</si>
  <si>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</si>
  <si>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</si>
  <si>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</si>
  <si>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</si>
  <si>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</si>
  <si>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</si>
  <si>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</si>
  <si>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</si>
  <si>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</si>
  <si>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</si>
  <si>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</si>
  <si>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</si>
  <si>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</si>
  <si>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</si>
  <si>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</si>
  <si>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</si>
  <si>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</si>
  <si>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</si>
  <si>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</si>
  <si>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</si>
  <si>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</si>
  <si>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</si>
  <si>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</si>
  <si>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</si>
  <si>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</si>
  <si>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</si>
  <si>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</si>
  <si>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</si>
  <si>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</si>
  <si>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</si>
  <si>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</si>
  <si>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</si>
  <si>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</si>
  <si>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</si>
  <si>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</si>
  <si>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</si>
  <si>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</si>
  <si>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</si>
  <si>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</si>
  <si>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</si>
  <si>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</si>
  <si>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</si>
  <si>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</si>
  <si>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</si>
  <si>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</si>
  <si>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</si>
  <si>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</si>
  <si>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</si>
  <si>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</si>
  <si>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</si>
  <si>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</si>
  <si>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</si>
  <si>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</si>
  <si>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</si>
  <si>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</si>
  <si>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</si>
  <si>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J81002</t>
  </si>
  <si>
    <t>J81005</t>
  </si>
  <si>
    <t>J81009</t>
  </si>
  <si>
    <t>J81010</t>
  </si>
  <si>
    <t>J81011</t>
  </si>
  <si>
    <t>J81015</t>
  </si>
  <si>
    <t>J81016</t>
  </si>
  <si>
    <t>J81017</t>
  </si>
  <si>
    <t>J81019</t>
  </si>
  <si>
    <t>J81020</t>
  </si>
  <si>
    <t>J81022</t>
  </si>
  <si>
    <t>J81025</t>
  </si>
  <si>
    <t>J81026</t>
  </si>
  <si>
    <t>J81027</t>
  </si>
  <si>
    <t>J81028</t>
  </si>
  <si>
    <t>J81029</t>
  </si>
  <si>
    <t>J81030</t>
  </si>
  <si>
    <t>J81031</t>
  </si>
  <si>
    <t>J81032</t>
  </si>
  <si>
    <t>J81034</t>
  </si>
  <si>
    <t>J81035</t>
  </si>
  <si>
    <t>J81040</t>
  </si>
  <si>
    <t>J81043</t>
  </si>
  <si>
    <t>J81050</t>
  </si>
  <si>
    <t>J81051</t>
  </si>
  <si>
    <t>J81053</t>
  </si>
  <si>
    <t>J81055</t>
  </si>
  <si>
    <t>J81056</t>
  </si>
  <si>
    <t>J81057</t>
  </si>
  <si>
    <t>J81058</t>
  </si>
  <si>
    <t>J81061</t>
  </si>
  <si>
    <t>J81066</t>
  </si>
  <si>
    <t>J81068</t>
  </si>
  <si>
    <t>J81073</t>
  </si>
  <si>
    <t>J81074</t>
  </si>
  <si>
    <t>J81075</t>
  </si>
  <si>
    <t>J81076</t>
  </si>
  <si>
    <t>J81077</t>
  </si>
  <si>
    <t>J81078</t>
  </si>
  <si>
    <t>J81081</t>
  </si>
  <si>
    <t>J81082</t>
  </si>
  <si>
    <t>J81083</t>
  </si>
  <si>
    <t>J81088</t>
  </si>
  <si>
    <t>J81090</t>
  </si>
  <si>
    <t>J81609</t>
  </si>
  <si>
    <t>J81612</t>
  </si>
  <si>
    <t>J81613</t>
  </si>
  <si>
    <t>J81616</t>
  </si>
  <si>
    <t>J81620</t>
  </si>
  <si>
    <t>J81621</t>
  </si>
  <si>
    <t>J81623</t>
  </si>
  <si>
    <t>J81626</t>
  </si>
  <si>
    <t>J81628</t>
  </si>
  <si>
    <t>J81631</t>
  </si>
  <si>
    <t>J81637</t>
  </si>
  <si>
    <t>J81640</t>
  </si>
  <si>
    <t>J81644</t>
  </si>
  <si>
    <t>J81646</t>
  </si>
  <si>
    <t>J81647</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</si>
  <si>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</si>
  <si>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</si>
  <si>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</si>
  <si>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</si>
  <si>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</si>
  <si>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</si>
  <si>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</si>
  <si>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</si>
  <si>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</si>
  <si>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</si>
  <si>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</si>
  <si>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</si>
  <si>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</si>
  <si>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</si>
  <si>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</si>
  <si>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</si>
  <si>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</si>
  <si>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</si>
  <si>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</si>
  <si>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</si>
  <si>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</si>
  <si>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</si>
  <si>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</si>
  <si>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</si>
  <si>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</si>
  <si>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</si>
  <si>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</si>
  <si>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</si>
  <si>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</si>
  <si>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</si>
  <si>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</si>
  <si>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</si>
  <si>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</si>
  <si>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</si>
  <si>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</si>
  <si>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</si>
  <si>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</si>
  <si>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</si>
  <si>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</si>
  <si>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</si>
  <si>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</si>
  <si>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</si>
  <si>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</si>
  <si>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</si>
  <si>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</si>
  <si>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</si>
  <si>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</si>
  <si>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</si>
  <si>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</si>
  <si>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</si>
  <si>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</si>
  <si>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</si>
  <si>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</si>
  <si>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</si>
  <si>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</si>
  <si>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</si>
  <si>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</si>
  <si>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</si>
  <si>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</si>
  <si>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</si>
  <si>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</si>
  <si>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</si>
  <si>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</si>
  <si>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</si>
  <si>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</si>
  <si>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</si>
  <si>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</si>
  <si>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</si>
  <si>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</si>
  <si>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</si>
  <si>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</si>
  <si>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</si>
  <si>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</si>
  <si>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</si>
  <si>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</si>
  <si>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</si>
  <si>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</si>
  <si>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</si>
  <si>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</si>
  <si>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</si>
  <si>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</si>
  <si>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</si>
  <si>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</si>
  <si>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</si>
  <si>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</si>
  <si>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</si>
  <si>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</si>
  <si>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</si>
  <si>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</si>
  <si>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</si>
  <si>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</si>
  <si>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</si>
  <si>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</si>
  <si>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</si>
  <si>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</si>
  <si>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</si>
  <si>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</si>
  <si>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</si>
  <si>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</si>
  <si>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</si>
  <si>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</si>
  <si>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</si>
  <si>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</si>
  <si>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</si>
  <si>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</si>
  <si>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</si>
  <si>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</si>
  <si>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</si>
  <si>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</si>
  <si>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</si>
  <si>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</si>
  <si>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</si>
  <si>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</si>
  <si>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</si>
  <si>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</si>
  <si>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</si>
  <si>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</si>
  <si>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</si>
  <si>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</si>
  <si>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</si>
  <si>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</si>
  <si>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</si>
  <si>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</si>
  <si>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</si>
  <si>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</si>
  <si>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</si>
  <si>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</si>
  <si>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</si>
  <si>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</si>
  <si>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</si>
  <si>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</si>
  <si>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</si>
  <si>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</si>
  <si>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</si>
  <si>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</si>
  <si>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</si>
  <si>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</si>
  <si>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</si>
  <si>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</si>
  <si>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</si>
  <si>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</si>
  <si>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</si>
  <si>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</si>
  <si>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</si>
  <si>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</si>
  <si>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</si>
  <si>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</si>
  <si>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</si>
  <si>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</si>
  <si>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</si>
  <si>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</si>
  <si>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</si>
  <si>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</si>
  <si>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</si>
  <si>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</si>
  <si>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</si>
  <si>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</si>
  <si>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</si>
  <si>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</si>
  <si>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</si>
  <si>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</si>
  <si>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</si>
  <si>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</si>
  <si>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</si>
  <si>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</si>
  <si>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</si>
  <si>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</si>
  <si>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</si>
  <si>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</si>
  <si>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</si>
  <si>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</si>
  <si>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</si>
  <si>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</si>
  <si>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</si>
  <si>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</si>
  <si>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</si>
  <si>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</si>
  <si>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</si>
  <si>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</si>
  <si>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</si>
  <si>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</si>
  <si>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</si>
  <si>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</si>
  <si>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</si>
  <si>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(J81002) ORCHID HOUSE SURGERY</t>
  </si>
  <si>
    <t>(J81005) THE BRIDPORT MEDICAL CENTRE1</t>
  </si>
  <si>
    <t>(J81009) ROYAL MANOR HEALTH CARE</t>
  </si>
  <si>
    <t>(J81010) DR J CLARK AND PARTNERS</t>
  </si>
  <si>
    <t>(J81011) WAREHAM HEALTH CENTRE</t>
  </si>
  <si>
    <t>(J81015) THE BRIDPORT MEDICAL CENTRE2</t>
  </si>
  <si>
    <t>(J81016) QUEENS AVENUE SURGERY</t>
  </si>
  <si>
    <t>(J81017) YETMINSTER MEDICAL CENTRE</t>
  </si>
  <si>
    <t>(J81020) BERE REGIS SURGERY</t>
  </si>
  <si>
    <t>(J81022) WEST MOORS GROUP PRACTICE</t>
  </si>
  <si>
    <t>(J81025) THE WELLBRIDGE PRACTICE</t>
  </si>
  <si>
    <t>(J81026) ABBEY VIEW MEDICAL CENTRE</t>
  </si>
  <si>
    <t>(J81027) ROYAL CRESCENT SURGERY</t>
  </si>
  <si>
    <t>(J81028) HIGHCLIFFE MEDICAL CENTRE</t>
  </si>
  <si>
    <t>(J81029) THE APPLES MEDICAL CENTRE</t>
  </si>
  <si>
    <t>(J81030) THE VERWOOD SURGERY</t>
  </si>
  <si>
    <t>(J81031) EAGLE HOUSE SURGERY</t>
  </si>
  <si>
    <t>(J81032) NEWLAND SURGERY</t>
  </si>
  <si>
    <t>(J81034) QUARTERJACK SURGERY</t>
  </si>
  <si>
    <t>(J81035) MILTON ABBAS SURGERY</t>
  </si>
  <si>
    <t>(J81040) STALBRIDGE SURGERY</t>
  </si>
  <si>
    <t>(J81043) THE BARN SURGERY</t>
  </si>
  <si>
    <t>(J81051) WYKE REGIS MEDICAL PRACTICE</t>
  </si>
  <si>
    <t>(J81053) CERNE ABBAS SURGERY</t>
  </si>
  <si>
    <t>(J81055) ABBOTSBURY ROAD SURGERY</t>
  </si>
  <si>
    <t>(J81056) THE ORCHARD SURGERY</t>
  </si>
  <si>
    <t>(J81057) FARMHOUSE SURGERY</t>
  </si>
  <si>
    <t>(J81058) THE CRANBORNE PRACTICE</t>
  </si>
  <si>
    <t>(J81061) PENNY'S HILL PRACTICE</t>
  </si>
  <si>
    <t>(J81066) STOUR SURGERY</t>
  </si>
  <si>
    <t>(J81068) ATRIUM HEALTH CENTRE</t>
  </si>
  <si>
    <t>(J81073) THE BRIDGES MEDICAL CENTRE</t>
  </si>
  <si>
    <t>(J81074) BARTON HOUSE MEDICAL PRACTICE</t>
  </si>
  <si>
    <t>(J81075) CROSS ROAD SURGERY</t>
  </si>
  <si>
    <t>(J81076) POUND PIECE</t>
  </si>
  <si>
    <t>(J81077) WALFORD MILL MEDICAL CENTRE</t>
  </si>
  <si>
    <t>(J81078) BUTE HOUSE</t>
  </si>
  <si>
    <t>(J81081) GILLINGHAM MEDICAL PRACTICE</t>
  </si>
  <si>
    <t>(J81082) CORNWALL ROAD MEDICAL PRACTICE</t>
  </si>
  <si>
    <t>(J81083) SIXPENNY HANDLEY SURGERY</t>
  </si>
  <si>
    <t>(J81088) THE LYME PRACTICE</t>
  </si>
  <si>
    <t>(J81090) THE LANEHOUSE SURGERY</t>
  </si>
  <si>
    <t>(J81609) MALTHOUSE MEADOWS SURGERY</t>
  </si>
  <si>
    <t>(J81612) CORFE CASTLE SURGERY</t>
  </si>
  <si>
    <t>(J81613) THE DORCHESTER RD SURGERY</t>
  </si>
  <si>
    <t>(J81616) PUDDLETOWN SURGERY</t>
  </si>
  <si>
    <t>(J81620) STURMINSTER NEWTON MEDICAL CENTRE</t>
  </si>
  <si>
    <t>(J81621) THE MEDICAL CENTRE (CORBIN AVE)</t>
  </si>
  <si>
    <t>(J81623) BROADMAYNE SURGERY</t>
  </si>
  <si>
    <t>(J81626) FORDINGTON SURGERY</t>
  </si>
  <si>
    <t>(J81628) CHARMOUTH MEDICAL PRACTICE</t>
  </si>
  <si>
    <t>(J81631) SANDFORD SURGERY</t>
  </si>
  <si>
    <t>(J81637) THE PRINCE OF WALES SURGERY</t>
  </si>
  <si>
    <t>(J81640) VILLAGE MEDICAL PRACTICE</t>
  </si>
  <si>
    <t>(J81644) THE OLD DISPENSARY</t>
  </si>
  <si>
    <t>(J81646) GROVE SURGERY</t>
  </si>
  <si>
    <t>(J81647) LYME BAY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</si>
  <si>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</si>
  <si>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</si>
  <si>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</si>
  <si>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</si>
  <si>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</si>
  <si>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</si>
  <si>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</si>
  <si>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</si>
  <si>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</si>
  <si>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</si>
  <si>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(J81019) DR EVANS + PARTNERS</t>
  </si>
  <si>
    <t>(J81050) DR A HICKISH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</si>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</sst>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0.8697520046614495</c:v>
                </c:pt>
                <c:pt idx="5">
                  <c:v>1</c:v>
                </c:pt>
                <c:pt idx="6">
                  <c:v>1</c:v>
                </c:pt>
                <c:pt idx="7">
                  <c:v>1</c:v>
                </c:pt>
                <c:pt idx="8">
                  <c:v>0.6909095086243205</c:v>
                </c:pt>
                <c:pt idx="9">
                  <c:v>0.7942880348642518</c:v>
                </c:pt>
                <c:pt idx="10">
                  <c:v>1</c:v>
                </c:pt>
                <c:pt idx="11">
                  <c:v>0.8909379642902897</c:v>
                </c:pt>
                <c:pt idx="12">
                  <c:v>1</c:v>
                </c:pt>
                <c:pt idx="13">
                  <c:v>0</c:v>
                </c:pt>
                <c:pt idx="14">
                  <c:v>0.9032568918924244</c:v>
                </c:pt>
                <c:pt idx="15">
                  <c:v>0.7909492758271495</c:v>
                </c:pt>
                <c:pt idx="16">
                  <c:v>0.9799439838052676</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0.5831481458885143</c:v>
                </c:pt>
                <c:pt idx="3">
                  <c:v>0.6666666252745539</c:v>
                </c:pt>
                <c:pt idx="4">
                  <c:v>0.5722786220973137</c:v>
                </c:pt>
                <c:pt idx="5">
                  <c:v>0.5586224988663541</c:v>
                </c:pt>
                <c:pt idx="6">
                  <c:v>0.6617646962146451</c:v>
                </c:pt>
                <c:pt idx="7">
                  <c:v>0.6821464757750734</c:v>
                </c:pt>
                <c:pt idx="8">
                  <c:v>0.5729580302888478</c:v>
                </c:pt>
                <c:pt idx="9">
                  <c:v>0.5880958451505729</c:v>
                </c:pt>
                <c:pt idx="10">
                  <c:v>0.668305618765643</c:v>
                </c:pt>
                <c:pt idx="11">
                  <c:v>0.6278558691149925</c:v>
                </c:pt>
                <c:pt idx="12">
                  <c:v>0.6094309373346201</c:v>
                </c:pt>
                <c:pt idx="13">
                  <c:v>0</c:v>
                </c:pt>
                <c:pt idx="14">
                  <c:v>0.5892100406811943</c:v>
                </c:pt>
                <c:pt idx="15">
                  <c:v>0.5818825099308199</c:v>
                </c:pt>
                <c:pt idx="16">
                  <c:v>0.597006136064512</c:v>
                </c:pt>
                <c:pt idx="17">
                  <c:v>0.6270678942039339</c:v>
                </c:pt>
                <c:pt idx="18">
                  <c:v>0.5651367411606971</c:v>
                </c:pt>
                <c:pt idx="19">
                  <c:v>0.6223992318386897</c:v>
                </c:pt>
                <c:pt idx="20">
                  <c:v>0.5933180553039916</c:v>
                </c:pt>
                <c:pt idx="21">
                  <c:v>0.6456115867064712</c:v>
                </c:pt>
                <c:pt idx="22">
                  <c:v>0.6114559782082678</c:v>
                </c:pt>
                <c:pt idx="23">
                  <c:v>0.6108593049344281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0.4334244229624579</c:v>
                </c:pt>
                <c:pt idx="3">
                  <c:v>0.4166666252745539</c:v>
                </c:pt>
                <c:pt idx="4">
                  <c:v>0.4064277045155246</c:v>
                </c:pt>
                <c:pt idx="5">
                  <c:v>0.42559561356688824</c:v>
                </c:pt>
                <c:pt idx="6">
                  <c:v>0.44117646414309675</c:v>
                </c:pt>
                <c:pt idx="7">
                  <c:v>0.34926074079096214</c:v>
                </c:pt>
                <c:pt idx="8">
                  <c:v>0.32307773239122844</c:v>
                </c:pt>
                <c:pt idx="9">
                  <c:v>0.43727404868483655</c:v>
                </c:pt>
                <c:pt idx="10">
                  <c:v>0.4174611112509265</c:v>
                </c:pt>
                <c:pt idx="11">
                  <c:v>0.4158082893595215</c:v>
                </c:pt>
                <c:pt idx="12">
                  <c:v>0.4312433131204564</c:v>
                </c:pt>
                <c:pt idx="13">
                  <c:v>0</c:v>
                </c:pt>
                <c:pt idx="14">
                  <c:v>0.3995722040020469</c:v>
                </c:pt>
                <c:pt idx="15">
                  <c:v>0.42530669535733473</c:v>
                </c:pt>
                <c:pt idx="16">
                  <c:v>0.38099568314410054</c:v>
                </c:pt>
                <c:pt idx="17">
                  <c:v>0.3957228581321483</c:v>
                </c:pt>
                <c:pt idx="18">
                  <c:v>0.42020113342689785</c:v>
                </c:pt>
                <c:pt idx="19">
                  <c:v>0.41339607433103664</c:v>
                </c:pt>
                <c:pt idx="20">
                  <c:v>0.3330909947445551</c:v>
                </c:pt>
                <c:pt idx="21">
                  <c:v>0.40413777307205495</c:v>
                </c:pt>
                <c:pt idx="22">
                  <c:v>0.40463871583639766</c:v>
                </c:pt>
                <c:pt idx="23">
                  <c:v>0.44145662407938085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0.33917585703517505</c:v>
                </c:pt>
                <c:pt idx="3">
                  <c:v>0.24999996895591542</c:v>
                </c:pt>
                <c:pt idx="4">
                  <c:v>0</c:v>
                </c:pt>
                <c:pt idx="5">
                  <c:v>0.1964665503755955</c:v>
                </c:pt>
                <c:pt idx="6">
                  <c:v>0.17647060757070984</c:v>
                </c:pt>
                <c:pt idx="7">
                  <c:v>0.07096066031114677</c:v>
                </c:pt>
                <c:pt idx="8">
                  <c:v>0</c:v>
                </c:pt>
                <c:pt idx="9">
                  <c:v>0</c:v>
                </c:pt>
                <c:pt idx="10">
                  <c:v>0.11426038514900758</c:v>
                </c:pt>
                <c:pt idx="11">
                  <c:v>0</c:v>
                </c:pt>
                <c:pt idx="12">
                  <c:v>0.25274658713137166</c:v>
                </c:pt>
                <c:pt idx="13">
                  <c:v>0</c:v>
                </c:pt>
                <c:pt idx="14">
                  <c:v>0</c:v>
                </c:pt>
                <c:pt idx="15">
                  <c:v>0</c:v>
                </c:pt>
                <c:pt idx="16">
                  <c:v>0</c:v>
                </c:pt>
                <c:pt idx="17">
                  <c:v>0.1942914220394993</c:v>
                </c:pt>
                <c:pt idx="18">
                  <c:v>0.26223137812362973</c:v>
                </c:pt>
                <c:pt idx="19">
                  <c:v>0.2024691968380474</c:v>
                </c:pt>
                <c:pt idx="20">
                  <c:v>0.09909587705312183</c:v>
                </c:pt>
                <c:pt idx="21">
                  <c:v>0.03019933203720955</c:v>
                </c:pt>
                <c:pt idx="22">
                  <c:v>0.24934189957671288</c:v>
                </c:pt>
                <c:pt idx="23">
                  <c:v>0.32038941170964147</c:v>
                </c:pt>
                <c:pt idx="24">
                  <c:v>0</c:v>
                </c:pt>
                <c:pt idx="25">
                  <c:v>0</c:v>
                </c:pt>
                <c:pt idx="26">
                  <c:v>0</c:v>
                </c:pt>
              </c:numCache>
            </c:numRef>
          </c:val>
        </c:ser>
        <c:overlap val="100"/>
        <c:gapWidth val="100"/>
        <c:axId val="15293319"/>
        <c:axId val="342214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0.3032502593094783</c:v>
                </c:pt>
                <c:pt idx="3">
                  <c:v>1.000910808006133</c:v>
                </c:pt>
                <c:pt idx="4">
                  <c:v>0.31845967782558965</c:v>
                </c:pt>
                <c:pt idx="5">
                  <c:v>0.41374447652954977</c:v>
                </c:pt>
                <c:pt idx="6">
                  <c:v>0.26296254623222665</c:v>
                </c:pt>
                <c:pt idx="7">
                  <c:v>0.3228597843120996</c:v>
                </c:pt>
                <c:pt idx="8">
                  <c:v>0.5280856797338922</c:v>
                </c:pt>
                <c:pt idx="9">
                  <c:v>0.2972128137268614</c:v>
                </c:pt>
                <c:pt idx="10">
                  <c:v>-0.1561062356130235</c:v>
                </c:pt>
                <c:pt idx="11">
                  <c:v>0.04218630498371393</c:v>
                </c:pt>
                <c:pt idx="12">
                  <c:v>0.4656868701095522</c:v>
                </c:pt>
                <c:pt idx="13">
                  <c:v>0.5</c:v>
                </c:pt>
                <c:pt idx="14">
                  <c:v>0.38049347768885383</c:v>
                </c:pt>
                <c:pt idx="15">
                  <c:v>0.4910983451579877</c:v>
                </c:pt>
                <c:pt idx="16">
                  <c:v>0.4040241059999631</c:v>
                </c:pt>
                <c:pt idx="17">
                  <c:v>0.45608904100138753</c:v>
                </c:pt>
                <c:pt idx="18">
                  <c:v>0.4850505311585732</c:v>
                </c:pt>
                <c:pt idx="19">
                  <c:v>0.477353557082358</c:v>
                </c:pt>
                <c:pt idx="20">
                  <c:v>0.2566246069114618</c:v>
                </c:pt>
                <c:pt idx="21">
                  <c:v>0.27519142564868265</c:v>
                </c:pt>
                <c:pt idx="22">
                  <c:v>0.3243016037683106</c:v>
                </c:pt>
                <c:pt idx="23">
                  <c:v>0.41538031794963154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0.4498883600934045</c:v>
                </c:pt>
                <c:pt idx="5">
                  <c:v>0.39761517085665266</c:v>
                </c:pt>
                <c:pt idx="6">
                  <c:v>-999</c:v>
                </c:pt>
                <c:pt idx="7">
                  <c:v>-999</c:v>
                </c:pt>
                <c:pt idx="8">
                  <c:v>-999</c:v>
                </c:pt>
                <c:pt idx="9">
                  <c:v>-999</c:v>
                </c:pt>
                <c:pt idx="10">
                  <c:v>-999</c:v>
                </c:pt>
                <c:pt idx="11">
                  <c:v>0.5524706515094386</c:v>
                </c:pt>
                <c:pt idx="12">
                  <c:v>-999</c:v>
                </c:pt>
                <c:pt idx="13">
                  <c:v>-999</c:v>
                </c:pt>
                <c:pt idx="14">
                  <c:v>-999</c:v>
                </c:pt>
                <c:pt idx="15">
                  <c:v>0.6431091787433738</c:v>
                </c:pt>
                <c:pt idx="16">
                  <c:v>0.5187643592577356</c:v>
                </c:pt>
                <c:pt idx="17">
                  <c:v>-999</c:v>
                </c:pt>
                <c:pt idx="18">
                  <c:v>0.5021745317974826</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0.449397806123956</c:v>
                </c:pt>
                <c:pt idx="3">
                  <c:v>0.4166666401757145</c:v>
                </c:pt>
                <c:pt idx="4">
                  <c:v>-999</c:v>
                </c:pt>
                <c:pt idx="5">
                  <c:v>-999</c:v>
                </c:pt>
                <c:pt idx="6">
                  <c:v>0.2647058890043242</c:v>
                </c:pt>
                <c:pt idx="7">
                  <c:v>0.12004061166668543</c:v>
                </c:pt>
                <c:pt idx="8">
                  <c:v>0.18181798547926278</c:v>
                </c:pt>
                <c:pt idx="9">
                  <c:v>0.3919537106698175</c:v>
                </c:pt>
                <c:pt idx="10">
                  <c:v>0.7958117894726587</c:v>
                </c:pt>
                <c:pt idx="11">
                  <c:v>-999</c:v>
                </c:pt>
                <c:pt idx="12">
                  <c:v>0.7402935075140448</c:v>
                </c:pt>
                <c:pt idx="13">
                  <c:v>0.7598120149682202</c:v>
                </c:pt>
                <c:pt idx="14">
                  <c:v>0.280347459504281</c:v>
                </c:pt>
                <c:pt idx="15">
                  <c:v>-999</c:v>
                </c:pt>
                <c:pt idx="16">
                  <c:v>-999</c:v>
                </c:pt>
                <c:pt idx="17">
                  <c:v>0.911712086286736</c:v>
                </c:pt>
                <c:pt idx="18">
                  <c:v>-999</c:v>
                </c:pt>
                <c:pt idx="19">
                  <c:v>0.8285631323451254</c:v>
                </c:pt>
                <c:pt idx="20">
                  <c:v>0.21082941960803117</c:v>
                </c:pt>
                <c:pt idx="21">
                  <c:v>0.40732467291056296</c:v>
                </c:pt>
                <c:pt idx="22">
                  <c:v>0.3927598824955493</c:v>
                </c:pt>
                <c:pt idx="23">
                  <c:v>0.4035481673818496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799297"/>
        <c:axId val="8758218"/>
      </c:scatterChart>
      <c:catAx>
        <c:axId val="15293319"/>
        <c:scaling>
          <c:orientation val="maxMin"/>
        </c:scaling>
        <c:axPos val="l"/>
        <c:delete val="0"/>
        <c:numFmt formatCode="General" sourceLinked="1"/>
        <c:majorTickMark val="out"/>
        <c:minorTickMark val="none"/>
        <c:tickLblPos val="none"/>
        <c:spPr>
          <a:ln w="3175">
            <a:noFill/>
          </a:ln>
        </c:spPr>
        <c:crossAx val="3422144"/>
        <c:crosses val="autoZero"/>
        <c:auto val="1"/>
        <c:lblOffset val="100"/>
        <c:tickLblSkip val="1"/>
        <c:noMultiLvlLbl val="0"/>
      </c:catAx>
      <c:valAx>
        <c:axId val="3422144"/>
        <c:scaling>
          <c:orientation val="minMax"/>
          <c:max val="1"/>
          <c:min val="0"/>
        </c:scaling>
        <c:axPos val="t"/>
        <c:delete val="0"/>
        <c:numFmt formatCode="General" sourceLinked="1"/>
        <c:majorTickMark val="none"/>
        <c:minorTickMark val="none"/>
        <c:tickLblPos val="none"/>
        <c:spPr>
          <a:ln w="3175">
            <a:noFill/>
          </a:ln>
        </c:spPr>
        <c:crossAx val="15293319"/>
        <c:crossesAt val="1"/>
        <c:crossBetween val="between"/>
        <c:dispUnits/>
        <c:majorUnit val="1"/>
      </c:valAx>
      <c:valAx>
        <c:axId val="30799297"/>
        <c:scaling>
          <c:orientation val="minMax"/>
          <c:max val="1"/>
          <c:min val="0"/>
        </c:scaling>
        <c:axPos val="t"/>
        <c:delete val="0"/>
        <c:numFmt formatCode="General" sourceLinked="1"/>
        <c:majorTickMark val="none"/>
        <c:minorTickMark val="none"/>
        <c:tickLblPos val="none"/>
        <c:spPr>
          <a:ln w="3175">
            <a:noFill/>
          </a:ln>
        </c:spPr>
        <c:crossAx val="8758218"/>
        <c:crosses val="max"/>
        <c:crossBetween val="midCat"/>
        <c:dispUnits/>
        <c:majorUnit val="0.1"/>
        <c:minorUnit val="0.020000000000000004"/>
      </c:valAx>
      <c:valAx>
        <c:axId val="8758218"/>
        <c:scaling>
          <c:orientation val="maxMin"/>
          <c:max val="29"/>
          <c:min val="0"/>
        </c:scaling>
        <c:axPos val="l"/>
        <c:delete val="0"/>
        <c:numFmt formatCode="General" sourceLinked="1"/>
        <c:majorTickMark val="none"/>
        <c:minorTickMark val="none"/>
        <c:tickLblPos val="none"/>
        <c:spPr>
          <a:ln w="3175">
            <a:noFill/>
          </a:ln>
        </c:spPr>
        <c:crossAx val="307992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(J81026) ABBEY VIEW MEDICAL CENTRE, DORSET PCT (5QM)</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494</v>
      </c>
      <c r="Q3" s="65"/>
      <c r="R3" s="66"/>
      <c r="S3" s="66"/>
      <c r="T3" s="66"/>
      <c r="U3" s="66"/>
      <c r="V3" s="66"/>
      <c r="W3" s="66"/>
      <c r="X3" s="66"/>
      <c r="Y3" s="66"/>
      <c r="Z3" s="66"/>
      <c r="AA3" s="66"/>
      <c r="AB3" s="66"/>
      <c r="AC3" s="66"/>
    </row>
    <row r="4" spans="2:29" ht="18" customHeight="1">
      <c r="B4" s="319" t="s">
        <v>585</v>
      </c>
      <c r="C4" s="320"/>
      <c r="D4" s="320"/>
      <c r="E4" s="320"/>
      <c r="F4" s="320"/>
      <c r="G4" s="321"/>
      <c r="H4" s="112"/>
      <c r="I4" s="112"/>
      <c r="J4" s="112"/>
      <c r="K4" s="112"/>
      <c r="L4" s="113"/>
      <c r="M4" s="65"/>
      <c r="N4" s="65"/>
      <c r="O4" s="65"/>
      <c r="P4" s="134" t="s">
        <v>495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584</v>
      </c>
      <c r="C8" s="115"/>
      <c r="D8" s="115"/>
      <c r="E8" s="128">
        <f>VLOOKUP('Hide - Control'!A$3,'All practice data'!A:CA,4,FALSE)</f>
        <v>14544</v>
      </c>
      <c r="F8" s="310" t="str">
        <f>VLOOKUP('Hide - Control'!B4,'Hide - Calculation'!AY:BA,3,FALSE)</f>
        <v> </v>
      </c>
      <c r="G8" s="310"/>
      <c r="H8" s="310"/>
      <c r="I8" s="115"/>
      <c r="J8" s="115"/>
      <c r="K8" s="115"/>
      <c r="L8" s="115"/>
      <c r="M8" s="109"/>
      <c r="N8" s="314" t="s">
        <v>504</v>
      </c>
      <c r="O8" s="314"/>
      <c r="P8" s="314"/>
      <c r="Q8" s="314" t="s">
        <v>32</v>
      </c>
      <c r="R8" s="314"/>
      <c r="S8" s="314"/>
      <c r="T8" s="314" t="s">
        <v>588</v>
      </c>
      <c r="U8" s="314"/>
      <c r="V8" s="314" t="s">
        <v>33</v>
      </c>
      <c r="W8" s="314"/>
      <c r="X8" s="314"/>
      <c r="Y8" s="135"/>
      <c r="Z8" s="314" t="s">
        <v>497</v>
      </c>
      <c r="AA8" s="314"/>
      <c r="AB8" s="161"/>
      <c r="AC8" s="109"/>
    </row>
    <row r="9" spans="2:29" s="61" customFormat="1" ht="19.5" customHeight="1" thickBot="1">
      <c r="B9" s="114" t="s">
        <v>489</v>
      </c>
      <c r="C9" s="114"/>
      <c r="D9" s="114"/>
      <c r="E9" s="129">
        <f>VLOOKUP('Hide - Control'!B4,'Hide - Calculation'!AY:BB,4,FALSE)</f>
        <v>401418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467</v>
      </c>
      <c r="E11" s="317"/>
      <c r="F11" s="318"/>
      <c r="G11" s="263" t="s">
        <v>465</v>
      </c>
      <c r="H11" s="255" t="s">
        <v>466</v>
      </c>
      <c r="I11" s="255" t="s">
        <v>477</v>
      </c>
      <c r="J11" s="255" t="s">
        <v>478</v>
      </c>
      <c r="K11" s="255" t="s">
        <v>351</v>
      </c>
      <c r="L11" s="256" t="s">
        <v>391</v>
      </c>
      <c r="M11" s="257" t="s">
        <v>487</v>
      </c>
      <c r="N11" s="334" t="s">
        <v>485</v>
      </c>
      <c r="O11" s="334"/>
      <c r="P11" s="334"/>
      <c r="Q11" s="334"/>
      <c r="R11" s="334"/>
      <c r="S11" s="334"/>
      <c r="T11" s="334"/>
      <c r="U11" s="334"/>
      <c r="V11" s="334"/>
      <c r="W11" s="334"/>
      <c r="X11" s="334"/>
      <c r="Y11" s="334"/>
      <c r="Z11" s="334"/>
      <c r="AA11" s="258" t="s">
        <v>488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349</v>
      </c>
      <c r="C13" s="163">
        <v>1</v>
      </c>
      <c r="D13" s="312" t="s">
        <v>345</v>
      </c>
      <c r="E13" s="313"/>
      <c r="F13" s="313"/>
      <c r="G13" s="166">
        <f>IF(VLOOKUP('Hide - Control'!A$3,'All practice data'!A:CA,C13+4,FALSE)=" "," ",VLOOKUP('Hide - Control'!A$3,'All practice data'!A:CA,C13+4,FALSE))</f>
        <v>3225</v>
      </c>
      <c r="H13" s="190">
        <f>IF(VLOOKUP('Hide - Control'!A$3,'All practice data'!A:CA,C13+30,FALSE)=" "," ",VLOOKUP('Hide - Control'!A$3,'All practice data'!A:CA,C13+30,FALSE))</f>
        <v>0.22174092409240925</v>
      </c>
      <c r="I13" s="191">
        <f>IF(LEFT(G13,1)=" "," n/a",+((2*G13+1.96^2-1.96*SQRT(1.96^2+4*G13*(1-G13/E$8)))/(2*(E$8+1.96^2))))</f>
        <v>0.21506341188342978</v>
      </c>
      <c r="J13" s="191">
        <f>IF(LEFT(G13,1)=" "," n/a",+((2*G13+1.96^2+1.96*SQRT(1.96^2+4*G13*(1-G13/E$8)))/(2*(E$8+1.96^2))))</f>
        <v>0.22856539419320496</v>
      </c>
      <c r="K13" s="190">
        <f>IF('Hide - Calculation'!N7="","",'Hide - Calculation'!N7)</f>
        <v>0.24999128090917697</v>
      </c>
      <c r="L13" s="192">
        <f>'Hide - Calculation'!O7</f>
        <v>0.1599882305185145</v>
      </c>
      <c r="M13" s="208">
        <f>IF(ISBLANK('Hide - Calculation'!K7),"",'Hide - Calculation'!U7)</f>
        <v>0.17516811192035675</v>
      </c>
      <c r="N13" s="173"/>
      <c r="O13" s="173"/>
      <c r="P13" s="173"/>
      <c r="Q13" s="173"/>
      <c r="R13" s="173"/>
      <c r="S13" s="173"/>
      <c r="T13" s="173"/>
      <c r="U13" s="173"/>
      <c r="V13" s="173"/>
      <c r="W13" s="173"/>
      <c r="X13" s="173"/>
      <c r="Y13" s="173"/>
      <c r="Z13" s="173"/>
      <c r="AA13" s="226">
        <f>IF(ISBLANK('Hide - Calculation'!K7),"",'Hide - Calculation'!T7)</f>
        <v>0.4543905258178711</v>
      </c>
      <c r="AB13" s="233" t="s">
        <v>582</v>
      </c>
      <c r="AC13" s="209" t="s">
        <v>583</v>
      </c>
    </row>
    <row r="14" spans="2:29" ht="33.75" customHeight="1">
      <c r="B14" s="306"/>
      <c r="C14" s="137">
        <v>2</v>
      </c>
      <c r="D14" s="132" t="s">
        <v>498</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0.08</v>
      </c>
      <c r="I14" s="120">
        <f>IF(LEFT(G14,1)=" "," n/a",+((2*H14*E8+1.96^2-1.96*SQRT(1.96^2+4*H14*E8*(1-H14*E8/E$8)))/(2*(E$8+1.96^2))))</f>
        <v>0.07570096388857667</v>
      </c>
      <c r="J14" s="120">
        <f>IF(LEFT(G14,1)=" "," n/a",+((2*H14*E8+1.96^2+1.96*SQRT(1.96^2+4*H14*E8*(1-H14*E8/E$8)))/(2*(E$8+1.96^2))))</f>
        <v>0.08452085210919995</v>
      </c>
      <c r="K14" s="119">
        <f>IF('Hide - Calculation'!N8="","",'Hide - Calculation'!N8)</f>
        <v>0.09895492977395134</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0.15000000596046448</v>
      </c>
      <c r="AB14" s="234" t="s">
        <v>39</v>
      </c>
      <c r="AC14" s="130" t="s">
        <v>583</v>
      </c>
    </row>
    <row r="15" spans="2:39" s="63" customFormat="1" ht="33.75" customHeight="1">
      <c r="B15" s="306"/>
      <c r="C15" s="137">
        <v>3</v>
      </c>
      <c r="D15" s="132" t="s">
        <v>354</v>
      </c>
      <c r="E15" s="85"/>
      <c r="F15" s="85"/>
      <c r="G15" s="121">
        <f>IF(VLOOKUP('Hide - Control'!A$3,'All practice data'!A:CA,C15+4,FALSE)=" "," ",VLOOKUP('Hide - Control'!A$3,'All practice data'!A:CA,C15+4,FALSE))</f>
        <v>86</v>
      </c>
      <c r="H15" s="122">
        <f>IF(VLOOKUP('Hide - Control'!A$3,'All practice data'!A:CA,C15+30,FALSE)=" "," ",VLOOKUP('Hide - Control'!A$3,'All practice data'!A:CA,C15+30,FALSE))</f>
        <v>591.3091309130913</v>
      </c>
      <c r="I15" s="123">
        <f>IF(LEFT(G15,1)=" "," n/a",IF(G15&lt;5,100000*VLOOKUP(G15,'Hide - Calculation'!AQ:AR,2,FALSE)/$E$8,100000*(G15*(1-1/(9*G15)-1.96/(3*SQRT(G15)))^3)/$E$8))</f>
        <v>472.9548205752497</v>
      </c>
      <c r="J15" s="123">
        <f>IF(LEFT(G15,1)=" "," n/a",IF(G15&lt;5,100000*VLOOKUP(G15,'Hide - Calculation'!AQ:AS,3,FALSE)/$E$8,100000*((G15+1)*(1-1/(9*(G15+1))+1.96/(3*SQRT(G15+1)))^3)/$E$8))</f>
        <v>730.2728589338894</v>
      </c>
      <c r="K15" s="122">
        <f>IF('Hide - Calculation'!N9="","",'Hide - Calculation'!N9)</f>
        <v>634.0024612747809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1056.729736328125</v>
      </c>
      <c r="AB15" s="234" t="s">
        <v>468</v>
      </c>
      <c r="AC15" s="131">
        <v>2009</v>
      </c>
      <c r="AD15" s="64"/>
      <c r="AE15" s="64"/>
      <c r="AF15" s="64"/>
      <c r="AG15" s="64"/>
      <c r="AH15" s="64"/>
      <c r="AI15" s="64"/>
      <c r="AJ15" s="64"/>
      <c r="AK15" s="64"/>
      <c r="AL15" s="64"/>
      <c r="AM15" s="64"/>
    </row>
    <row r="16" spans="2:29" s="63" customFormat="1" ht="33.75" customHeight="1">
      <c r="B16" s="306"/>
      <c r="C16" s="137">
        <v>4</v>
      </c>
      <c r="D16" s="132" t="s">
        <v>490</v>
      </c>
      <c r="E16" s="85"/>
      <c r="F16" s="85"/>
      <c r="G16" s="121">
        <f>IF(VLOOKUP('Hide - Control'!A$3,'All practice data'!A:CA,C16+4,FALSE)=" "," ",VLOOKUP('Hide - Control'!A$3,'All practice data'!A:CA,C16+4,FALSE))</f>
        <v>32</v>
      </c>
      <c r="H16" s="122">
        <f>IF(VLOOKUP('Hide - Control'!A$3,'All practice data'!A:CA,C16+30,FALSE)=" "," ",VLOOKUP('Hide - Control'!A$3,'All practice data'!A:CA,C16+30,FALSE))</f>
        <v>220.02200220022002</v>
      </c>
      <c r="I16" s="123">
        <f>IF(LEFT(G16,1)=" "," n/a",IF(G16&lt;5,100000*VLOOKUP(G16,'Hide - Calculation'!AQ:AR,2,FALSE)/$E$8,100000*(G16*(1-1/(9*G16)-1.96/(3*SQRT(G16)))^3)/$E$8))</f>
        <v>150.46782056047317</v>
      </c>
      <c r="J16" s="123">
        <f>IF(LEFT(G16,1)=" "," n/a",IF(G16&lt;5,100000*VLOOKUP(G16,'Hide - Calculation'!AQ:AS,3,FALSE)/$E$8,100000*((G16+1)*(1-1/(9*(G16+1))+1.96/(3*SQRT(G16+1)))^3)/$E$8))</f>
        <v>310.61746966623355</v>
      </c>
      <c r="K16" s="122">
        <f>IF('Hide - Calculation'!N10="","",'Hide - Calculation'!N10)</f>
        <v>306.16464632876455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746.64013671875</v>
      </c>
      <c r="AB16" s="234" t="s">
        <v>348</v>
      </c>
      <c r="AC16" s="131" t="s">
        <v>522</v>
      </c>
    </row>
    <row r="17" spans="2:29" s="63" customFormat="1" ht="33.75" customHeight="1" thickBot="1">
      <c r="B17" s="309"/>
      <c r="C17" s="180">
        <v>5</v>
      </c>
      <c r="D17" s="195" t="s">
        <v>353</v>
      </c>
      <c r="E17" s="182"/>
      <c r="F17" s="182"/>
      <c r="G17" s="140">
        <f>IF(VLOOKUP('Hide - Control'!A$3,'All practice data'!A:CA,C17+4,FALSE)=" "," ",VLOOKUP('Hide - Control'!A$3,'All practice data'!A:CA,C17+4,FALSE))</f>
        <v>235</v>
      </c>
      <c r="H17" s="141">
        <f>IF(VLOOKUP('Hide - Control'!A$3,'All practice data'!A:CA,C17+30,FALSE)=" "," ",VLOOKUP('Hide - Control'!A$3,'All practice data'!A:CA,C17+30,FALSE))</f>
        <v>0.016</v>
      </c>
      <c r="I17" s="142">
        <f>IF(LEFT(G17,1)=" "," n/a",+((2*G17+1.96^2-1.96*SQRT(1.96^2+4*G17*(1-G17/E$8)))/(2*(E$8+1.96^2))))</f>
        <v>0.01423279618519743</v>
      </c>
      <c r="J17" s="142">
        <f>IF(LEFT(G17,1)=" "," n/a",+((2*G17+1.96^2+1.96*SQRT(1.96^2+4*G17*(1-G17/E$8)))/(2*(E$8+1.96^2))))</f>
        <v>0.018338468544547768</v>
      </c>
      <c r="K17" s="141">
        <f>IF('Hide - Calculation'!N11="","",'Hide - Calculation'!N11)</f>
        <v>0.02489175871535407</v>
      </c>
      <c r="L17" s="157">
        <f>'Hide - Calculation'!O11</f>
        <v>0.015940726342527432</v>
      </c>
      <c r="M17" s="210">
        <f>IF(ISBLANK('Hide - Calculation'!K11),"",'Hide - Calculation'!U11)</f>
        <v>0.013000000268220901</v>
      </c>
      <c r="N17" s="91"/>
      <c r="O17" s="91"/>
      <c r="P17" s="91"/>
      <c r="Q17" s="91"/>
      <c r="R17" s="91"/>
      <c r="S17" s="91"/>
      <c r="T17" s="91"/>
      <c r="U17" s="91"/>
      <c r="V17" s="91"/>
      <c r="W17" s="91"/>
      <c r="X17" s="91"/>
      <c r="Y17" s="91"/>
      <c r="Z17" s="91"/>
      <c r="AA17" s="229">
        <f>IF(ISBLANK('Hide - Calculation'!K11),"",'Hide - Calculation'!T11)</f>
        <v>0.04100000113248825</v>
      </c>
      <c r="AB17" s="235" t="s">
        <v>491</v>
      </c>
      <c r="AC17" s="189" t="s">
        <v>522</v>
      </c>
    </row>
    <row r="18" spans="2:29" s="63" customFormat="1" ht="33.75" customHeight="1">
      <c r="B18" s="308" t="s">
        <v>13</v>
      </c>
      <c r="C18" s="163">
        <v>6</v>
      </c>
      <c r="D18" s="164" t="s">
        <v>499</v>
      </c>
      <c r="E18" s="165"/>
      <c r="F18" s="165"/>
      <c r="G18" s="219">
        <f>IF(OR(VLOOKUP('Hide - Control'!A$3,'All practice data'!A:CA,C18+4,FALSE)=" ",VLOOKUP('Hide - Control'!A$3,'All practice data'!A:CA,C18+52,FALSE)=0)," n/a",VLOOKUP('Hide - Control'!A$3,'All practice data'!A:CA,C18+4,FALSE))</f>
        <v>1453</v>
      </c>
      <c r="H18" s="220">
        <f>IF(OR(VLOOKUP('Hide - Control'!A$3,'All practice data'!A:CA,C18+30,FALSE)=" ",VLOOKUP('Hide - Control'!A$3,'All practice data'!A:CA,C18+52,FALSE)=0)," n/a",VLOOKUP('Hide - Control'!A$3,'All practice data'!A:CA,C18+30,FALSE))</f>
        <v>0.686349</v>
      </c>
      <c r="I18" s="191">
        <f>IF(OR(LEFT(H18,1)=" ",VLOOKUP('Hide - Control'!A$3,'All practice data'!A:CA,C18+52,FALSE)=0)," n/a",+((2*G18+1.96^2-1.96*SQRT(1.96^2+4*G18*(1-G18/(VLOOKUP('Hide - Control'!A$3,'All practice data'!A:CA,C18+52,FALSE)))))/(2*(((VLOOKUP('Hide - Control'!A$3,'All practice data'!A:CA,C18+52,FALSE)))+1.96^2))))</f>
        <v>0.6662613227942312</v>
      </c>
      <c r="J18" s="191">
        <f>IF(OR(LEFT(H18,1)=" ",VLOOKUP('Hide - Control'!A$3,'All practice data'!A:CA,C18+52,FALSE)=0)," n/a",+((2*G18+1.96^2+1.96*SQRT(1.96^2+4*G18*(1-G18/(VLOOKUP('Hide - Control'!A$3,'All practice data'!A:CA,C18+52,FALSE)))))/(2*((VLOOKUP('Hide - Control'!A$3,'All practice data'!A:CA,C18+52,FALSE))+1.96^2))))</f>
        <v>0.7057608027619631</v>
      </c>
      <c r="K18" s="220">
        <f>IF('Hide - Calculation'!N12="","",'Hide - Calculation'!N12)</f>
        <v>0.7605666358473121</v>
      </c>
      <c r="L18" s="192">
        <f>'Hide - Calculation'!O12</f>
        <v>0.7248631360507991</v>
      </c>
      <c r="M18" s="193">
        <f>IF(ISBLANK('Hide - Calculation'!K12),"",'Hide - Calculation'!U12)</f>
        <v>0.677029013633728</v>
      </c>
      <c r="N18" s="194"/>
      <c r="O18" s="173"/>
      <c r="P18" s="173"/>
      <c r="Q18" s="173"/>
      <c r="R18" s="173"/>
      <c r="S18" s="173"/>
      <c r="T18" s="173"/>
      <c r="U18" s="173"/>
      <c r="V18" s="173"/>
      <c r="W18" s="173"/>
      <c r="X18" s="173"/>
      <c r="Y18" s="173"/>
      <c r="Z18" s="174"/>
      <c r="AA18" s="193">
        <f>IF(ISBLANK('Hide - Calculation'!K12),"",'Hide - Calculation'!T12)</f>
        <v>0.8534479737281799</v>
      </c>
      <c r="AB18" s="233" t="s">
        <v>48</v>
      </c>
      <c r="AC18" s="175" t="s">
        <v>523</v>
      </c>
    </row>
    <row r="19" spans="2:29" s="63" customFormat="1" ht="33.75" customHeight="1">
      <c r="B19" s="306"/>
      <c r="C19" s="137">
        <v>7</v>
      </c>
      <c r="D19" s="132" t="s">
        <v>500</v>
      </c>
      <c r="E19" s="85"/>
      <c r="F19" s="85"/>
      <c r="G19" s="221">
        <f>IF(OR(VLOOKUP('Hide - Control'!A$3,'All practice data'!A:CA,C19+4,FALSE)=" ",VLOOKUP('Hide - Control'!A$3,'All practice data'!A:CA,C19+52,FALSE)=0)," n/a",VLOOKUP('Hide - Control'!A$3,'All practice data'!A:CA,C19+4,FALSE))</f>
        <v>20</v>
      </c>
      <c r="H19" s="218">
        <f>IF(OR(VLOOKUP('Hide - Control'!A$3,'All practice data'!A:CA,C19+30,FALSE)=" ",VLOOKUP('Hide - Control'!A$3,'All practice data'!A:CA,C19+52,FALSE)=0)," n/a",VLOOKUP('Hide - Control'!A$3,'All practice data'!A:CA,C19+30,FALSE))</f>
        <v>0.444444</v>
      </c>
      <c r="I19" s="120">
        <f>IF(OR(LEFT(H19,1)=" ",VLOOKUP('Hide - Control'!A$3,'All practice data'!A:CA,C19+52,FALSE)=0)," n/a",+((2*G19+1.96^2-1.96*SQRT(1.96^2+4*G19*(1-G19/(VLOOKUP('Hide - Control'!A$3,'All practice data'!A:CA,C19+52,FALSE)))))/(2*(((VLOOKUP('Hide - Control'!A$3,'All practice data'!A:CA,C19+52,FALSE)))+1.96^2))))</f>
        <v>0.30938708549039107</v>
      </c>
      <c r="J19" s="120">
        <f>IF(OR(LEFT(H19,1)=" ",VLOOKUP('Hide - Control'!A$3,'All practice data'!A:CA,C19+52,FALSE)=0)," n/a",+((2*G19+1.96^2+1.96*SQRT(1.96^2+4*G19*(1-G19/(VLOOKUP('Hide - Control'!A$3,'All practice data'!A:CA,C19+52,FALSE)))))/(2*((VLOOKUP('Hide - Control'!A$3,'All practice data'!A:CA,C19+52,FALSE))+1.96^2))))</f>
        <v>0.5882411658363468</v>
      </c>
      <c r="K19" s="218">
        <f>IF('Hide - Calculation'!N13="","",'Hide - Calculation'!N13)</f>
        <v>0.7654779713361965</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0.8888890147209167</v>
      </c>
      <c r="AB19" s="234" t="s">
        <v>48</v>
      </c>
      <c r="AC19" s="131" t="s">
        <v>522</v>
      </c>
    </row>
    <row r="20" spans="2:29" s="63" customFormat="1" ht="33.75" customHeight="1">
      <c r="B20" s="306"/>
      <c r="C20" s="137">
        <v>8</v>
      </c>
      <c r="D20" s="132" t="s">
        <v>501</v>
      </c>
      <c r="E20" s="85"/>
      <c r="F20" s="85"/>
      <c r="G20" s="221">
        <f>IF(OR(VLOOKUP('Hide - Control'!A$3,'All practice data'!A:CA,C20+4,FALSE)=" ",VLOOKUP('Hide - Control'!A$3,'All practice data'!A:CA,C20+52,FALSE)=0)," n/a",VLOOKUP('Hide - Control'!A$3,'All practice data'!A:CA,C20+4,FALSE))</f>
        <v>2655</v>
      </c>
      <c r="H20" s="218">
        <f>IF(OR(VLOOKUP('Hide - Control'!A$3,'All practice data'!A:CA,C20+30,FALSE)=" ",VLOOKUP('Hide - Control'!A$3,'All practice data'!A:CA,C20+52,FALSE)=0)," n/a",VLOOKUP('Hide - Control'!A$3,'All practice data'!A:CA,C20+30,FALSE))</f>
        <v>0.777452</v>
      </c>
      <c r="I20" s="120">
        <f>IF(OR(LEFT(H20,1)=" ",VLOOKUP('Hide - Control'!A$3,'All practice data'!A:CA,C20+52,FALSE)=0)," n/a",+((2*G20+1.96^2-1.96*SQRT(1.96^2+4*G20*(1-G20/(VLOOKUP('Hide - Control'!A$3,'All practice data'!A:CA,C20+52,FALSE)))))/(2*(((VLOOKUP('Hide - Control'!A$3,'All practice data'!A:CA,C20+52,FALSE)))+1.96^2))))</f>
        <v>0.7631938904879593</v>
      </c>
      <c r="J20" s="120">
        <f>IF(OR(LEFT(H20,1)=" ",VLOOKUP('Hide - Control'!A$3,'All practice data'!A:CA,C20+52,FALSE)=0)," n/a",+((2*G20+1.96^2+1.96*SQRT(1.96^2+4*G20*(1-G20/(VLOOKUP('Hide - Control'!A$3,'All practice data'!A:CA,C20+52,FALSE)))))/(2*((VLOOKUP('Hide - Control'!A$3,'All practice data'!A:CA,C20+52,FALSE))+1.96^2))))</f>
        <v>0.7910874192983729</v>
      </c>
      <c r="K20" s="218">
        <f>IF('Hide - Calculation'!N14="","",'Hide - Calculation'!N14)</f>
        <v>0.8053312149697692</v>
      </c>
      <c r="L20" s="155">
        <f>'Hide - Calculation'!O14</f>
        <v>0.7559681673907895</v>
      </c>
      <c r="M20" s="152">
        <f>IF(ISBLANK('Hide - Calculation'!K14),"",'Hide - Calculation'!U14)</f>
        <v>0.6885709762573242</v>
      </c>
      <c r="N20" s="160"/>
      <c r="O20" s="84"/>
      <c r="P20" s="84"/>
      <c r="Q20" s="84"/>
      <c r="R20" s="84"/>
      <c r="S20" s="84"/>
      <c r="T20" s="84"/>
      <c r="U20" s="84"/>
      <c r="V20" s="84"/>
      <c r="W20" s="84"/>
      <c r="X20" s="84"/>
      <c r="Y20" s="84"/>
      <c r="Z20" s="88"/>
      <c r="AA20" s="152">
        <f>IF(ISBLANK('Hide - Calculation'!K14),"",'Hide - Calculation'!T14)</f>
        <v>0.8686869740486145</v>
      </c>
      <c r="AB20" s="234" t="s">
        <v>48</v>
      </c>
      <c r="AC20" s="131" t="s">
        <v>524</v>
      </c>
    </row>
    <row r="21" spans="2:29" s="63" customFormat="1" ht="33.75" customHeight="1">
      <c r="B21" s="306"/>
      <c r="C21" s="137">
        <v>9</v>
      </c>
      <c r="D21" s="132" t="s">
        <v>502</v>
      </c>
      <c r="E21" s="85"/>
      <c r="F21" s="85"/>
      <c r="G21" s="221">
        <f>IF(OR(VLOOKUP('Hide - Control'!A$3,'All practice data'!A:CA,C21+4,FALSE)=" ",VLOOKUP('Hide - Control'!A$3,'All practice data'!A:CA,C21+52,FALSE)=0)," n/a",VLOOKUP('Hide - Control'!A$3,'All practice data'!A:CA,C21+4,FALSE))</f>
        <v>1292</v>
      </c>
      <c r="H21" s="218">
        <f>IF(OR(VLOOKUP('Hide - Control'!A$3,'All practice data'!A:CA,C21+30,FALSE)=" ",VLOOKUP('Hide - Control'!A$3,'All practice data'!A:CA,C21+52,FALSE)=0)," n/a",VLOOKUP('Hide - Control'!A$3,'All practice data'!A:CA,C21+30,FALSE))</f>
        <v>0.654509</v>
      </c>
      <c r="I21" s="120">
        <f>IF(OR(LEFT(H21,1)=" ",VLOOKUP('Hide - Control'!A$3,'All practice data'!A:CA,C21+52,FALSE)=0)," n/a",+((2*G21+1.96^2-1.96*SQRT(1.96^2+4*G21*(1-G21/(VLOOKUP('Hide - Control'!A$3,'All practice data'!A:CA,C21+52,FALSE)))))/(2*(((VLOOKUP('Hide - Control'!A$3,'All practice data'!A:CA,C21+52,FALSE)))+1.96^2))))</f>
        <v>0.6332489963513651</v>
      </c>
      <c r="J21" s="120">
        <f>IF(OR(LEFT(H21,1)=" ",VLOOKUP('Hide - Control'!A$3,'All practice data'!A:CA,C21+52,FALSE)=0)," n/a",+((2*G21+1.96^2+1.96*SQRT(1.96^2+4*G21*(1-G21/(VLOOKUP('Hide - Control'!A$3,'All practice data'!A:CA,C21+52,FALSE)))))/(2*((VLOOKUP('Hide - Control'!A$3,'All practice data'!A:CA,C21+52,FALSE))+1.96^2))))</f>
        <v>0.6751680174276959</v>
      </c>
      <c r="K21" s="218">
        <f>IF('Hide - Calculation'!N15="","",'Hide - Calculation'!N15)</f>
        <v>0.6146998209398966</v>
      </c>
      <c r="L21" s="155">
        <f>'Hide - Calculation'!O15</f>
        <v>0.5147293797466616</v>
      </c>
      <c r="M21" s="152">
        <f>IF(ISBLANK('Hide - Calculation'!K15),"",'Hide - Calculation'!U15)</f>
        <v>0.5544300079345703</v>
      </c>
      <c r="N21" s="160"/>
      <c r="O21" s="84"/>
      <c r="P21" s="84"/>
      <c r="Q21" s="84"/>
      <c r="R21" s="84"/>
      <c r="S21" s="84"/>
      <c r="T21" s="84"/>
      <c r="U21" s="84"/>
      <c r="V21" s="84"/>
      <c r="W21" s="84"/>
      <c r="X21" s="84"/>
      <c r="Y21" s="84"/>
      <c r="Z21" s="88"/>
      <c r="AA21" s="152">
        <f>IF(ISBLANK('Hide - Calculation'!K15),"",'Hide - Calculation'!T15)</f>
        <v>0.6844919919967651</v>
      </c>
      <c r="AB21" s="234" t="s">
        <v>48</v>
      </c>
      <c r="AC21" s="131" t="s">
        <v>523</v>
      </c>
    </row>
    <row r="22" spans="2:29" s="63" customFormat="1" ht="33.75" customHeight="1" thickBot="1">
      <c r="B22" s="309"/>
      <c r="C22" s="180">
        <v>10</v>
      </c>
      <c r="D22" s="195" t="s">
        <v>503</v>
      </c>
      <c r="E22" s="182"/>
      <c r="F22" s="182"/>
      <c r="G22" s="222">
        <f>IF(OR(VLOOKUP('Hide - Control'!A$3,'All practice data'!A:CA,C22+4,FALSE)=" ",VLOOKUP('Hide - Control'!A$3,'All practice data'!A:CA,C22+52,FALSE)=0)," n/a",VLOOKUP('Hide - Control'!A$3,'All practice data'!A:CA,C22+4,FALSE))</f>
        <v>562</v>
      </c>
      <c r="H22" s="223">
        <f>IF(OR(VLOOKUP('Hide - Control'!A$3,'All practice data'!A:CA,C22+30,FALSE)=" ",VLOOKUP('Hide - Control'!A$3,'All practice data'!A:CA,C22+52,FALSE)=0)," n/a",VLOOKUP('Hide - Control'!A$3,'All practice data'!A:CA,C22+30,FALSE))</f>
        <v>0.675481</v>
      </c>
      <c r="I22" s="196">
        <f>IF(OR(LEFT(H22,1)=" ",VLOOKUP('Hide - Control'!A$3,'All practice data'!A:CA,C22+52,FALSE)=0)," n/a",+((2*G22+1.96^2-1.96*SQRT(1.96^2+4*G22*(1-G22/(VLOOKUP('Hide - Control'!A$3,'All practice data'!A:CA,C22+52,FALSE)))))/(2*(((VLOOKUP('Hide - Control'!A$3,'All practice data'!A:CA,C22+52,FALSE)))+1.96^2))))</f>
        <v>0.6429229856453228</v>
      </c>
      <c r="J22" s="196">
        <f>IF(OR(LEFT(H22,1)=" ",VLOOKUP('Hide - Control'!A$3,'All practice data'!A:CA,C22+52,FALSE)=0)," n/a",+((2*G22+1.96^2+1.96*SQRT(1.96^2+4*G22*(1-G22/(VLOOKUP('Hide - Control'!A$3,'All practice data'!A:CA,C22+52,FALSE)))))/(2*((VLOOKUP('Hide - Control'!A$3,'All practice data'!A:CA,C22+52,FALSE))+1.96^2))))</f>
        <v>0.7064255033506783</v>
      </c>
      <c r="K22" s="223">
        <f>IF('Hide - Calculation'!N16="","",'Hide - Calculation'!N16)</f>
        <v>0.6644839799028087</v>
      </c>
      <c r="L22" s="197">
        <f>'Hide - Calculation'!O16</f>
        <v>0.5752927626212945</v>
      </c>
      <c r="M22" s="198">
        <f>IF(ISBLANK('Hide - Calculation'!K16),"",'Hide - Calculation'!U16)</f>
        <v>0.5670099854469299</v>
      </c>
      <c r="N22" s="199"/>
      <c r="O22" s="91"/>
      <c r="P22" s="91"/>
      <c r="Q22" s="91"/>
      <c r="R22" s="91"/>
      <c r="S22" s="91"/>
      <c r="T22" s="91"/>
      <c r="U22" s="91"/>
      <c r="V22" s="91"/>
      <c r="W22" s="91"/>
      <c r="X22" s="91"/>
      <c r="Y22" s="91"/>
      <c r="Z22" s="188"/>
      <c r="AA22" s="198">
        <f>IF(ISBLANK('Hide - Calculation'!K16),"",'Hide - Calculation'!T16)</f>
        <v>0.7419350147247314</v>
      </c>
      <c r="AB22" s="235" t="s">
        <v>48</v>
      </c>
      <c r="AC22" s="189" t="s">
        <v>522</v>
      </c>
    </row>
    <row r="23" spans="2:29" s="63" customFormat="1" ht="33.75" customHeight="1">
      <c r="B23" s="308" t="s">
        <v>343</v>
      </c>
      <c r="C23" s="163">
        <v>11</v>
      </c>
      <c r="D23" s="179" t="s">
        <v>355</v>
      </c>
      <c r="E23" s="165"/>
      <c r="F23" s="165"/>
      <c r="G23" s="118">
        <f>IF(VLOOKUP('Hide - Control'!A$3,'All practice data'!A:CA,C23+4,FALSE)=" "," ",VLOOKUP('Hide - Control'!A$3,'All practice data'!A:CA,C23+4,FALSE))</f>
        <v>454</v>
      </c>
      <c r="H23" s="216">
        <f>IF(VLOOKUP('Hide - Control'!A$3,'All practice data'!A:CA,C23+30,FALSE)=" "," ",VLOOKUP('Hide - Control'!A$3,'All practice data'!A:CA,C23+30,FALSE))</f>
        <v>3121.5621562156216</v>
      </c>
      <c r="I23" s="215">
        <f>IF(LEFT(G23,1)=" "," n/a",IF(G23&lt;5,100000*VLOOKUP(G23,'Hide - Calculation'!AQ:AR,2,FALSE)/$E$8,100000*(G23*(1-1/(9*G23)-1.96/(3*SQRT(G23)))^3)/$E$8))</f>
        <v>2840.979501775804</v>
      </c>
      <c r="J23" s="215">
        <f>IF(LEFT(G23,1)=" "," n/a",IF(G23&lt;5,100000*VLOOKUP(G23,'Hide - Calculation'!AQ:AS,3,FALSE)/$E$8,100000*((G23+1)*(1-1/(9*(G23+1))+1.96/(3*SQRT(G23+1)))^3)/$E$8))</f>
        <v>3422.3587361311043</v>
      </c>
      <c r="K23" s="216">
        <f>IF('Hide - Calculation'!N17="","",'Hide - Calculation'!N17)</f>
        <v>2151.622498243726</v>
      </c>
      <c r="L23" s="217">
        <f>'Hide - Calculation'!O17</f>
        <v>1812.1669120472948</v>
      </c>
      <c r="M23" s="170">
        <f>IF(ISBLANK('Hide - Calculation'!K17),"",'Hide - Calculation'!U17)</f>
        <v>796.812744140625</v>
      </c>
      <c r="N23" s="171"/>
      <c r="O23" s="172"/>
      <c r="P23" s="172"/>
      <c r="Q23" s="172"/>
      <c r="R23" s="173"/>
      <c r="S23" s="173"/>
      <c r="T23" s="173"/>
      <c r="U23" s="173"/>
      <c r="V23" s="173"/>
      <c r="W23" s="173"/>
      <c r="X23" s="173"/>
      <c r="Y23" s="173"/>
      <c r="Z23" s="174"/>
      <c r="AA23" s="170">
        <f>IF(ISBLANK('Hide - Calculation'!K17),"",'Hide - Calculation'!T17)</f>
        <v>4359.90966796875</v>
      </c>
      <c r="AB23" s="233" t="s">
        <v>26</v>
      </c>
      <c r="AC23" s="175" t="s">
        <v>522</v>
      </c>
    </row>
    <row r="24" spans="2:29" s="63" customFormat="1" ht="33.75" customHeight="1">
      <c r="B24" s="306"/>
      <c r="C24" s="137">
        <v>12</v>
      </c>
      <c r="D24" s="147" t="s">
        <v>509</v>
      </c>
      <c r="E24" s="85"/>
      <c r="F24" s="85"/>
      <c r="G24" s="118">
        <f>IF(VLOOKUP('Hide - Control'!A$3,'All practice data'!A:CA,C24+4,FALSE)=" "," ",VLOOKUP('Hide - Control'!A$3,'All practice data'!A:CA,C24+4,FALSE))</f>
        <v>454</v>
      </c>
      <c r="H24" s="119">
        <f>IF(VLOOKUP('Hide - Control'!A$3,'All practice data'!A:CA,C24+30,FALSE)=" "," ",VLOOKUP('Hide - Control'!A$3,'All practice data'!A:CA,C24+30,FALSE))</f>
        <v>1.4468624879999998</v>
      </c>
      <c r="I24" s="212">
        <f>IF(LEFT(VLOOKUP('Hide - Control'!A$3,'All practice data'!A:CA,C24+44,FALSE),1)=" "," n/a",VLOOKUP('Hide - Control'!A$3,'All practice data'!A:CA,C24+44,FALSE))</f>
        <v>1.3168130489999998</v>
      </c>
      <c r="J24" s="212">
        <f>IF(LEFT(VLOOKUP('Hide - Control'!A$3,'All practice data'!A:CA,C24+45,FALSE),1)=" "," n/a",VLOOKUP('Hide - Control'!A$3,'All practice data'!A:CA,C24+45,FALSE))</f>
        <v>1.5862808229999998</v>
      </c>
      <c r="K24" s="152" t="s">
        <v>587</v>
      </c>
      <c r="L24" s="213">
        <v>1</v>
      </c>
      <c r="M24" s="152">
        <f>IF(ISBLANK('Hide - Calculation'!K18),"",'Hide - Calculation'!U18)</f>
        <v>0.3828134834766388</v>
      </c>
      <c r="N24" s="86"/>
      <c r="O24" s="87"/>
      <c r="P24" s="87"/>
      <c r="Q24" s="87"/>
      <c r="R24" s="84"/>
      <c r="S24" s="84"/>
      <c r="T24" s="84"/>
      <c r="U24" s="84"/>
      <c r="V24" s="84"/>
      <c r="W24" s="84"/>
      <c r="X24" s="84"/>
      <c r="Y24" s="84"/>
      <c r="Z24" s="88"/>
      <c r="AA24" s="152">
        <f>IF(ISBLANK('Hide - Calculation'!K18),"",'Hide - Calculation'!T18)</f>
        <v>1.8599727153778076</v>
      </c>
      <c r="AB24" s="234" t="s">
        <v>26</v>
      </c>
      <c r="AC24" s="131" t="s">
        <v>522</v>
      </c>
    </row>
    <row r="25" spans="2:29" s="63" customFormat="1" ht="33.75" customHeight="1">
      <c r="B25" s="306"/>
      <c r="C25" s="137">
        <v>13</v>
      </c>
      <c r="D25" s="147" t="s">
        <v>350</v>
      </c>
      <c r="E25" s="85"/>
      <c r="F25" s="85"/>
      <c r="G25" s="118">
        <f>IF(VLOOKUP('Hide - Control'!A$3,'All practice data'!A:CA,C25+4,FALSE)=" "," ",VLOOKUP('Hide - Control'!A$3,'All practice data'!A:CA,C25+4,FALSE))</f>
        <v>39</v>
      </c>
      <c r="H25" s="119">
        <f>IF(VLOOKUP('Hide - Control'!A$3,'All practice data'!A:CA,C25+30,FALSE)=" "," ",VLOOKUP('Hide - Control'!A$3,'All practice data'!A:CA,C25+30,FALSE))</f>
        <v>0.08590308370044053</v>
      </c>
      <c r="I25" s="120">
        <f>IF(LEFT(G25,1)=" "," n/a",IF(G25=0," n/a",+((2*G25+1.96^2-1.96*SQRT(1.96^2+4*G25*(1-G25/G23)))/(2*(G23+1.96^2)))))</f>
        <v>0.06347513217453836</v>
      </c>
      <c r="J25" s="120">
        <f>IF(LEFT(G25,1)=" "," n/a",IF(G25=0," n/a",+((2*G25+1.96^2+1.96*SQRT(1.96^2+4*G25*(1-G25/G23)))/(2*(G23+1.96^2)))))</f>
        <v>0.11528014039134471</v>
      </c>
      <c r="K25" s="125">
        <f>IF('Hide - Calculation'!N19="","",'Hide - Calculation'!N19)</f>
        <v>0.13349542665277295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0.23076923191547394</v>
      </c>
      <c r="AB25" s="234" t="s">
        <v>26</v>
      </c>
      <c r="AC25" s="131" t="s">
        <v>522</v>
      </c>
    </row>
    <row r="26" spans="2:29" s="63" customFormat="1" ht="33.75" customHeight="1">
      <c r="B26" s="306"/>
      <c r="C26" s="137">
        <v>14</v>
      </c>
      <c r="D26" s="147" t="s">
        <v>492</v>
      </c>
      <c r="E26" s="85"/>
      <c r="F26" s="85"/>
      <c r="G26" s="121">
        <f>IF(VLOOKUP('Hide - Control'!A$3,'All practice data'!A:CA,C26+4,FALSE)=" "," ",VLOOKUP('Hide - Control'!A$3,'All practice data'!A:CA,C26+4,FALSE))</f>
        <v>69</v>
      </c>
      <c r="H26" s="119">
        <f>IF(VLOOKUP('Hide - Control'!A$3,'All practice data'!A:CA,C26+30,FALSE)=" "," ",VLOOKUP('Hide - Control'!A$3,'All practice data'!A:CA,C26+30,FALSE))</f>
        <v>0.5652173913043478</v>
      </c>
      <c r="I26" s="120">
        <f>IF(OR(LEFT(G26,1)=" ",LEFT(G25,1)=" ")," n/a",IF(G26=0," n/a",+((2*G25+1.96^2-1.96*SQRT(1.96^2+4*G25*(1-G25/G26)))/(2*(G26+1.96^2)))))</f>
        <v>0.4478819321166956</v>
      </c>
      <c r="J26" s="120">
        <f>IF(OR(LEFT(G26,1)=" ",LEFT(G25,1)=" ")," n/a",IF(G26=0," n/a",+((2*G25+1.96^2+1.96*SQRT(1.96^2+4*G25*(1-G25/G26)))/(2*(G26+1.96^2)))))</f>
        <v>0.6756738382123472</v>
      </c>
      <c r="K26" s="125">
        <f>IF('Hide - Calculation'!N20="","",'Hide - Calculation'!N20)</f>
        <v>0.47215397215397215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0.6739130616188049</v>
      </c>
      <c r="AB26" s="234" t="s">
        <v>26</v>
      </c>
      <c r="AC26" s="131" t="s">
        <v>522</v>
      </c>
    </row>
    <row r="27" spans="2:29" s="63" customFormat="1" ht="33.75" customHeight="1">
      <c r="B27" s="306"/>
      <c r="C27" s="137">
        <v>15</v>
      </c>
      <c r="D27" s="147" t="s">
        <v>479</v>
      </c>
      <c r="E27" s="85"/>
      <c r="F27" s="85"/>
      <c r="G27" s="121">
        <f>IF(VLOOKUP('Hide - Control'!A$3,'All practice data'!A:CA,C27+4,FALSE)=" "," ",VLOOKUP('Hide - Control'!A$3,'All practice data'!A:CA,C27+4,FALSE))</f>
        <v>68</v>
      </c>
      <c r="H27" s="122">
        <f>IF(VLOOKUP('Hide - Control'!A$3,'All practice data'!A:CA,C27+30,FALSE)=" "," ",VLOOKUP('Hide - Control'!A$3,'All practice data'!A:CA,C27+30,FALSE))</f>
        <v>467.5467546754675</v>
      </c>
      <c r="I27" s="123">
        <f>IF(LEFT(G27,1)=" "," n/a",IF(G27&lt;5,100000*VLOOKUP(G27,'Hide - Calculation'!AQ:AR,2,FALSE)/$E$8,100000*(G27*(1-1/(9*G27)-1.96/(3*SQRT(G27)))^3)/$E$8))</f>
        <v>363.05029904980273</v>
      </c>
      <c r="J27" s="123">
        <f>IF(LEFT(G27,1)=" "," n/a",IF(G27&lt;5,100000*VLOOKUP(G27,'Hide - Calculation'!AQ:AS,3,FALSE)/$E$8,100000*((G27+1)*(1-1/(9*(G27+1))+1.96/(3*SQRT(G27+1)))^3)/$E$8))</f>
        <v>592.73815250414</v>
      </c>
      <c r="K27" s="122">
        <f>IF('Hide - Calculation'!N21="","",'Hide - Calculation'!N21)</f>
        <v>443.6771644520176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828.55322265625</v>
      </c>
      <c r="AB27" s="234" t="s">
        <v>26</v>
      </c>
      <c r="AC27" s="131" t="s">
        <v>522</v>
      </c>
    </row>
    <row r="28" spans="2:29" s="63" customFormat="1" ht="33.75" customHeight="1">
      <c r="B28" s="306"/>
      <c r="C28" s="137">
        <v>16</v>
      </c>
      <c r="D28" s="147" t="s">
        <v>480</v>
      </c>
      <c r="E28" s="85"/>
      <c r="F28" s="85"/>
      <c r="G28" s="121">
        <f>IF(VLOOKUP('Hide - Control'!A$3,'All practice data'!A:CA,C28+4,FALSE)=" "," ",VLOOKUP('Hide - Control'!A$3,'All practice data'!A:CA,C28+4,FALSE))</f>
        <v>108</v>
      </c>
      <c r="H28" s="122">
        <f>IF(VLOOKUP('Hide - Control'!A$3,'All practice data'!A:CA,C28+30,FALSE)=" "," ",VLOOKUP('Hide - Control'!A$3,'All practice data'!A:CA,C28+30,FALSE))</f>
        <v>742.5742574257425</v>
      </c>
      <c r="I28" s="123">
        <f>IF(LEFT(G28,1)=" "," n/a",IF(G28&lt;5,100000*VLOOKUP(G28,'Hide - Calculation'!AQ:AR,2,FALSE)/$E$8,100000*(G28*(1-1/(9*G28)-1.96/(3*SQRT(G28)))^3)/$E$8))</f>
        <v>609.1334106925514</v>
      </c>
      <c r="J28" s="123">
        <f>IF(LEFT(G28,1)=" "," n/a",IF(G28&lt;5,100000*VLOOKUP(G28,'Hide - Calculation'!AQ:AS,3,FALSE)/$E$8,100000*((G28+1)*(1-1/(9*(G28+1))+1.96/(3*SQRT(G28+1)))^3)/$E$8))</f>
        <v>896.5501152970292</v>
      </c>
      <c r="K28" s="122">
        <f>IF('Hide - Calculation'!N22="","",'Hide - Calculation'!N22)</f>
        <v>369.1912171352555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831.7338256835938</v>
      </c>
      <c r="AB28" s="234" t="s">
        <v>26</v>
      </c>
      <c r="AC28" s="131" t="s">
        <v>522</v>
      </c>
    </row>
    <row r="29" spans="2:29" s="63" customFormat="1" ht="33.75" customHeight="1">
      <c r="B29" s="306"/>
      <c r="C29" s="137">
        <v>17</v>
      </c>
      <c r="D29" s="147" t="s">
        <v>481</v>
      </c>
      <c r="E29" s="85"/>
      <c r="F29" s="85"/>
      <c r="G29" s="121">
        <f>IF(VLOOKUP('Hide - Control'!A$3,'All practice data'!A:CA,C29+4,FALSE)=" "," ",VLOOKUP('Hide - Control'!A$3,'All practice data'!A:CA,C29+4,FALSE))</f>
        <v>11</v>
      </c>
      <c r="H29" s="122">
        <f>IF(VLOOKUP('Hide - Control'!A$3,'All practice data'!A:CA,C29+30,FALSE)=" "," ",VLOOKUP('Hide - Control'!A$3,'All practice data'!A:CA,C29+30,FALSE))</f>
        <v>75.63256325632564</v>
      </c>
      <c r="I29" s="123">
        <f>IF(LEFT(G29,1)=" "," n/a",IF(G29&lt;5,100000*VLOOKUP(G29,'Hide - Calculation'!AQ:AR,2,FALSE)/$E$8,100000*(G29*(1-1/(9*G29)-1.96/(3*SQRT(G29)))^3)/$E$8))</f>
        <v>37.70362416797845</v>
      </c>
      <c r="J29" s="123">
        <f>IF(LEFT(G29,1)=" "," n/a",IF(G29&lt;5,100000*VLOOKUP(G29,'Hide - Calculation'!AQ:AS,3,FALSE)/$E$8,100000*((G29+1)*(1-1/(9*(G29+1))+1.96/(3*SQRT(G29+1)))^3)/$E$8))</f>
        <v>135.33698184415448</v>
      </c>
      <c r="K29" s="122">
        <f>IF('Hide - Calculation'!N23="","",'Hide - Calculation'!N23)</f>
        <v>80.21563557189762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225.8120574951172</v>
      </c>
      <c r="AB29" s="234" t="s">
        <v>26</v>
      </c>
      <c r="AC29" s="131" t="s">
        <v>522</v>
      </c>
    </row>
    <row r="30" spans="2:29" s="63" customFormat="1" ht="33.75" customHeight="1" thickBot="1">
      <c r="B30" s="309"/>
      <c r="C30" s="180">
        <v>18</v>
      </c>
      <c r="D30" s="181" t="s">
        <v>482</v>
      </c>
      <c r="E30" s="182"/>
      <c r="F30" s="182"/>
      <c r="G30" s="183">
        <f>IF(VLOOKUP('Hide - Control'!A$3,'All practice data'!A:CA,C30+4,FALSE)=" "," ",VLOOKUP('Hide - Control'!A$3,'All practice data'!A:CA,C30+4,FALSE))</f>
        <v>102</v>
      </c>
      <c r="H30" s="184">
        <f>IF(VLOOKUP('Hide - Control'!A$3,'All practice data'!A:CA,C30+30,FALSE)=" "," ",VLOOKUP('Hide - Control'!A$3,'All practice data'!A:CA,C30+30,FALSE))</f>
        <v>701.3201320132014</v>
      </c>
      <c r="I30" s="185">
        <f>IF(LEFT(G30,1)=" "," n/a",IF(G30&lt;5,100000*VLOOKUP(G30,'Hide - Calculation'!AQ:AR,2,FALSE)/$E$8,100000*(G30*(1-1/(9*G30)-1.96/(3*SQRT(G30)))^3)/$E$8))</f>
        <v>571.827756493664</v>
      </c>
      <c r="J30" s="185">
        <f>IF(LEFT(G30,1)=" "," n/a",IF(G30&lt;5,100000*VLOOKUP(G30,'Hide - Calculation'!AQ:AS,3,FALSE)/$E$8,100000*((G30+1)*(1-1/(9*(G30+1))+1.96/(3*SQRT(G30+1)))^3)/$E$8))</f>
        <v>851.3654440111827</v>
      </c>
      <c r="K30" s="184">
        <f>IF('Hide - Calculation'!N24="","",'Hide - Calculation'!N24)</f>
        <v>401.32729474014616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885.8780517578125</v>
      </c>
      <c r="AB30" s="235" t="s">
        <v>26</v>
      </c>
      <c r="AC30" s="189" t="s">
        <v>522</v>
      </c>
    </row>
    <row r="31" spans="2:29" s="63" customFormat="1" ht="33.75" customHeight="1">
      <c r="B31" s="304" t="s">
        <v>352</v>
      </c>
      <c r="C31" s="163">
        <v>19</v>
      </c>
      <c r="D31" s="164" t="s">
        <v>356</v>
      </c>
      <c r="E31" s="165"/>
      <c r="F31" s="165"/>
      <c r="G31" s="166">
        <f>IF(VLOOKUP('Hide - Control'!A$3,'All practice data'!A:CA,C31+4,FALSE)=" "," ",VLOOKUP('Hide - Control'!A$3,'All practice data'!A:CA,C31+4,FALSE))</f>
        <v>76</v>
      </c>
      <c r="H31" s="167">
        <f>IF(VLOOKUP('Hide - Control'!A$3,'All practice data'!A:CA,C31+30,FALSE)=" "," ",VLOOKUP('Hide - Control'!A$3,'All practice data'!A:CA,C31+30,FALSE))</f>
        <v>522.5522552255226</v>
      </c>
      <c r="I31" s="168">
        <f>IF(LEFT(G31,1)=" "," n/a",IF(G31&lt;5,100000*VLOOKUP(G31,'Hide - Calculation'!AQ:AR,2,FALSE)/$E$8,100000*(G31*(1-1/(9*G31)-1.96/(3*SQRT(G31)))^3)/$E$8))</f>
        <v>411.69463323202024</v>
      </c>
      <c r="J31" s="168">
        <f>IF(LEFT(G31,1)=" "," n/a",IF(G31&lt;5,100000*VLOOKUP(G31,'Hide - Calculation'!AQ:AS,3,FALSE)/$E$8,100000*((G31+1)*(1-1/(9*(G31+1))+1.96/(3*SQRT(G31+1)))^3)/$E$8))</f>
        <v>654.0631407275038</v>
      </c>
      <c r="K31" s="167">
        <f>IF('Hide - Calculation'!N25="","",'Hide - Calculation'!N25)</f>
        <v>745.606823809595</v>
      </c>
      <c r="L31" s="169">
        <f>'Hide - Calculation'!O25</f>
        <v>562.6134400960308</v>
      </c>
      <c r="M31" s="170">
        <f>IF(ISBLANK('Hide - Calculation'!K25),"",'Hide - Calculation'!U25)</f>
        <v>424.808837890625</v>
      </c>
      <c r="N31" s="171"/>
      <c r="O31" s="172"/>
      <c r="P31" s="172"/>
      <c r="Q31" s="172"/>
      <c r="R31" s="173"/>
      <c r="S31" s="173"/>
      <c r="T31" s="173"/>
      <c r="U31" s="173"/>
      <c r="V31" s="173"/>
      <c r="W31" s="173"/>
      <c r="X31" s="173"/>
      <c r="Y31" s="173"/>
      <c r="Z31" s="174"/>
      <c r="AA31" s="170">
        <f>IF(ISBLANK('Hide - Calculation'!K25),"",'Hide - Calculation'!T25)</f>
        <v>1212.9110107421875</v>
      </c>
      <c r="AB31" s="233" t="s">
        <v>47</v>
      </c>
      <c r="AC31" s="175" t="s">
        <v>522</v>
      </c>
    </row>
    <row r="32" spans="2:29" s="63" customFormat="1" ht="33.75" customHeight="1">
      <c r="B32" s="305"/>
      <c r="C32" s="137">
        <v>20</v>
      </c>
      <c r="D32" s="132" t="s">
        <v>357</v>
      </c>
      <c r="E32" s="85"/>
      <c r="F32" s="85"/>
      <c r="G32" s="121">
        <f>IF(VLOOKUP('Hide - Control'!A$3,'All practice data'!A:CA,C32+4,FALSE)=" "," ",VLOOKUP('Hide - Control'!A$3,'All practice data'!A:CA,C32+4,FALSE))</f>
        <v>82</v>
      </c>
      <c r="H32" s="122">
        <f>IF(VLOOKUP('Hide - Control'!A$3,'All practice data'!A:CA,C32+30,FALSE)=" "," ",VLOOKUP('Hide - Control'!A$3,'All practice data'!A:CA,C32+30,FALSE))</f>
        <v>563.8063806380638</v>
      </c>
      <c r="I32" s="123">
        <f>IF(LEFT(G32,1)=" "," n/a",IF(G32&lt;5,100000*VLOOKUP(G32,'Hide - Calculation'!AQ:AR,2,FALSE)/$E$8,100000*(G32*(1-1/(9*G32)-1.96/(3*SQRT(G32)))^3)/$E$8))</f>
        <v>448.3954325208897</v>
      </c>
      <c r="J32" s="123">
        <f>IF(LEFT(G32,1)=" "," n/a",IF(G32&lt;5,100000*VLOOKUP(G32,'Hide - Calculation'!AQ:AS,3,FALSE)/$E$8,100000*((G32+1)*(1-1/(9*(G32+1))+1.96/(3*SQRT(G32+1)))^3)/$E$8))</f>
        <v>699.8433396856886</v>
      </c>
      <c r="K32" s="122">
        <f>IF('Hide - Calculation'!N26="","",'Hide - Calculation'!N26)</f>
        <v>704.2534216203559</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1273.5609130859375</v>
      </c>
      <c r="AB32" s="234" t="s">
        <v>47</v>
      </c>
      <c r="AC32" s="131" t="s">
        <v>522</v>
      </c>
    </row>
    <row r="33" spans="2:29" s="63" customFormat="1" ht="33.75" customHeight="1">
      <c r="B33" s="305"/>
      <c r="C33" s="137">
        <v>21</v>
      </c>
      <c r="D33" s="132" t="s">
        <v>359</v>
      </c>
      <c r="E33" s="85"/>
      <c r="F33" s="85"/>
      <c r="G33" s="121">
        <f>IF(VLOOKUP('Hide - Control'!A$3,'All practice data'!A:CA,C33+4,FALSE)=" "," ",VLOOKUP('Hide - Control'!A$3,'All practice data'!A:CA,C33+4,FALSE))</f>
        <v>182</v>
      </c>
      <c r="H33" s="122">
        <f>IF(VLOOKUP('Hide - Control'!A$3,'All practice data'!A:CA,C33+30,FALSE)=" "," ",VLOOKUP('Hide - Control'!A$3,'All practice data'!A:CA,C33+30,FALSE))</f>
        <v>1251.3751375137513</v>
      </c>
      <c r="I33" s="123">
        <f>IF(LEFT(G33,1)=" "," n/a",IF(G33&lt;5,100000*VLOOKUP(G33,'Hide - Calculation'!AQ:AR,2,FALSE)/$E$8,100000*(G33*(1-1/(9*G33)-1.96/(3*SQRT(G33)))^3)/$E$8))</f>
        <v>1076.1577309757959</v>
      </c>
      <c r="J33" s="123">
        <f>IF(LEFT(G33,1)=" "," n/a",IF(G33&lt;5,100000*VLOOKUP(G33,'Hide - Calculation'!AQ:AS,3,FALSE)/$E$8,100000*((G33+1)*(1-1/(9*(G33+1))+1.96/(3*SQRT(G33+1)))^3)/$E$8))</f>
        <v>1446.984603755985</v>
      </c>
      <c r="K33" s="122">
        <f>IF('Hide - Calculation'!N27="","",'Hide - Calculation'!N27)</f>
        <v>1600.5759582280814</v>
      </c>
      <c r="L33" s="156">
        <f>'Hide - Calculation'!O27</f>
        <v>1059.3522061277838</v>
      </c>
      <c r="M33" s="148">
        <f>IF(ISBLANK('Hide - Calculation'!K27),"",'Hide - Calculation'!U27)</f>
        <v>849.093017578125</v>
      </c>
      <c r="N33" s="86"/>
      <c r="O33" s="87"/>
      <c r="P33" s="87"/>
      <c r="Q33" s="87"/>
      <c r="R33" s="84"/>
      <c r="S33" s="84"/>
      <c r="T33" s="84"/>
      <c r="U33" s="84"/>
      <c r="V33" s="84"/>
      <c r="W33" s="84"/>
      <c r="X33" s="84"/>
      <c r="Y33" s="84"/>
      <c r="Z33" s="88"/>
      <c r="AA33" s="148">
        <f>IF(ISBLANK('Hide - Calculation'!K27),"",'Hide - Calculation'!T27)</f>
        <v>2954.6611328125</v>
      </c>
      <c r="AB33" s="234" t="s">
        <v>47</v>
      </c>
      <c r="AC33" s="131" t="s">
        <v>522</v>
      </c>
    </row>
    <row r="34" spans="2:29" s="63" customFormat="1" ht="33.75" customHeight="1">
      <c r="B34" s="305"/>
      <c r="C34" s="137">
        <v>22</v>
      </c>
      <c r="D34" s="132" t="s">
        <v>358</v>
      </c>
      <c r="E34" s="85"/>
      <c r="F34" s="85"/>
      <c r="G34" s="118">
        <f>IF(VLOOKUP('Hide - Control'!A$3,'All practice data'!A:CA,C34+4,FALSE)=" "," ",VLOOKUP('Hide - Control'!A$3,'All practice data'!A:CA,C34+4,FALSE))</f>
        <v>82</v>
      </c>
      <c r="H34" s="122">
        <f>IF(VLOOKUP('Hide - Control'!A$3,'All practice data'!A:CA,C34+30,FALSE)=" "," ",VLOOKUP('Hide - Control'!A$3,'All practice data'!A:CA,C34+30,FALSE))</f>
        <v>563.8063806380638</v>
      </c>
      <c r="I34" s="123">
        <f>IF(LEFT(G34,1)=" "," n/a",IF(G34&lt;5,100000*VLOOKUP(G34,'Hide - Calculation'!AQ:AR,2,FALSE)/$E$8,100000*(G34*(1-1/(9*G34)-1.96/(3*SQRT(G34)))^3)/$E$8))</f>
        <v>448.3954325208897</v>
      </c>
      <c r="J34" s="123">
        <f>IF(LEFT(G34,1)=" "," n/a",IF(G34&lt;5,100000*VLOOKUP(G34,'Hide - Calculation'!AQ:AS,3,FALSE)/$E$8,100000*((G34+1)*(1-1/(9*(G34+1))+1.96/(3*SQRT(G34+1)))^3)/$E$8))</f>
        <v>699.8433396856886</v>
      </c>
      <c r="K34" s="122">
        <f>IF('Hide - Calculation'!N28="","",'Hide - Calculation'!N28)</f>
        <v>755.8206159165758</v>
      </c>
      <c r="L34" s="156">
        <f>'Hide - Calculation'!O28</f>
        <v>582.9390489900089</v>
      </c>
      <c r="M34" s="148">
        <f>IF(ISBLANK('Hide - Calculation'!K28),"",'Hide - Calculation'!U28)</f>
        <v>429.3381042480469</v>
      </c>
      <c r="N34" s="86"/>
      <c r="O34" s="87"/>
      <c r="P34" s="87"/>
      <c r="Q34" s="87"/>
      <c r="R34" s="84"/>
      <c r="S34" s="84"/>
      <c r="T34" s="84"/>
      <c r="U34" s="84"/>
      <c r="V34" s="84"/>
      <c r="W34" s="84"/>
      <c r="X34" s="84"/>
      <c r="Y34" s="84"/>
      <c r="Z34" s="88"/>
      <c r="AA34" s="148">
        <f>IF(ISBLANK('Hide - Calculation'!K28),"",'Hide - Calculation'!T28)</f>
        <v>1528.2730712890625</v>
      </c>
      <c r="AB34" s="234" t="s">
        <v>47</v>
      </c>
      <c r="AC34" s="131" t="s">
        <v>522</v>
      </c>
    </row>
    <row r="35" spans="2:29" s="63" customFormat="1" ht="33.75" customHeight="1">
      <c r="B35" s="305"/>
      <c r="C35" s="137">
        <v>23</v>
      </c>
      <c r="D35" s="138" t="s">
        <v>483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344</v>
      </c>
      <c r="AC35" s="131">
        <v>2008</v>
      </c>
    </row>
    <row r="36" spans="2:29" ht="33.75" customHeight="1">
      <c r="B36" s="306"/>
      <c r="C36" s="137">
        <v>24</v>
      </c>
      <c r="D36" s="224" t="s">
        <v>484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344</v>
      </c>
      <c r="AC36" s="131">
        <v>2008</v>
      </c>
    </row>
    <row r="37" spans="2:29" ht="33.75" customHeight="1" thickBot="1">
      <c r="B37" s="307"/>
      <c r="C37" s="176">
        <v>25</v>
      </c>
      <c r="D37" s="177" t="s">
        <v>360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344</v>
      </c>
      <c r="AC37" s="149">
        <v>2008</v>
      </c>
    </row>
    <row r="38" spans="2:29" ht="16.5" customHeight="1">
      <c r="B38" s="69"/>
      <c r="C38" s="69"/>
      <c r="D38" s="65" t="s">
        <v>342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586</v>
      </c>
      <c r="C39" s="244"/>
      <c r="D39" s="244"/>
      <c r="E39" s="303" t="s">
        <v>590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508</v>
      </c>
      <c r="BE2" s="341"/>
      <c r="BF2" s="341"/>
      <c r="BG2" s="341"/>
      <c r="BH2" s="341"/>
      <c r="BI2" s="341"/>
      <c r="BJ2" s="342"/>
    </row>
    <row r="3" spans="1:82" s="72" customFormat="1" ht="76.5" customHeight="1">
      <c r="A3" s="266" t="s">
        <v>276</v>
      </c>
      <c r="B3" s="275" t="s">
        <v>277</v>
      </c>
      <c r="C3" s="276" t="s">
        <v>49</v>
      </c>
      <c r="D3" s="274" t="s">
        <v>493</v>
      </c>
      <c r="E3" s="267" t="s">
        <v>365</v>
      </c>
      <c r="F3" s="267" t="s">
        <v>476</v>
      </c>
      <c r="G3" s="267" t="s">
        <v>367</v>
      </c>
      <c r="H3" s="267" t="s">
        <v>368</v>
      </c>
      <c r="I3" s="267" t="s">
        <v>369</v>
      </c>
      <c r="J3" s="267" t="s">
        <v>517</v>
      </c>
      <c r="K3" s="267" t="s">
        <v>518</v>
      </c>
      <c r="L3" s="267" t="s">
        <v>519</v>
      </c>
      <c r="M3" s="267" t="s">
        <v>370</v>
      </c>
      <c r="N3" s="267" t="s">
        <v>371</v>
      </c>
      <c r="O3" s="267" t="s">
        <v>372</v>
      </c>
      <c r="P3" s="267" t="s">
        <v>507</v>
      </c>
      <c r="Q3" s="267" t="s">
        <v>373</v>
      </c>
      <c r="R3" s="267" t="s">
        <v>374</v>
      </c>
      <c r="S3" s="267" t="s">
        <v>375</v>
      </c>
      <c r="T3" s="267" t="s">
        <v>376</v>
      </c>
      <c r="U3" s="267" t="s">
        <v>377</v>
      </c>
      <c r="V3" s="267" t="s">
        <v>378</v>
      </c>
      <c r="W3" s="267" t="s">
        <v>379</v>
      </c>
      <c r="X3" s="267" t="s">
        <v>380</v>
      </c>
      <c r="Y3" s="267" t="s">
        <v>381</v>
      </c>
      <c r="Z3" s="267" t="s">
        <v>382</v>
      </c>
      <c r="AA3" s="267" t="s">
        <v>383</v>
      </c>
      <c r="AB3" s="267" t="s">
        <v>384</v>
      </c>
      <c r="AC3" s="267" t="s">
        <v>385</v>
      </c>
      <c r="AD3" s="268" t="s">
        <v>386</v>
      </c>
      <c r="AE3" s="268" t="s">
        <v>365</v>
      </c>
      <c r="AF3" s="269" t="s">
        <v>366</v>
      </c>
      <c r="AG3" s="268" t="s">
        <v>367</v>
      </c>
      <c r="AH3" s="268" t="s">
        <v>368</v>
      </c>
      <c r="AI3" s="268" t="s">
        <v>369</v>
      </c>
      <c r="AJ3" s="268" t="s">
        <v>517</v>
      </c>
      <c r="AK3" s="268" t="s">
        <v>518</v>
      </c>
      <c r="AL3" s="268" t="s">
        <v>519</v>
      </c>
      <c r="AM3" s="268" t="s">
        <v>370</v>
      </c>
      <c r="AN3" s="268" t="s">
        <v>371</v>
      </c>
      <c r="AO3" s="268" t="s">
        <v>372</v>
      </c>
      <c r="AP3" s="268" t="s">
        <v>507</v>
      </c>
      <c r="AQ3" s="268" t="s">
        <v>373</v>
      </c>
      <c r="AR3" s="268" t="s">
        <v>374</v>
      </c>
      <c r="AS3" s="268" t="s">
        <v>375</v>
      </c>
      <c r="AT3" s="268" t="s">
        <v>376</v>
      </c>
      <c r="AU3" s="268" t="s">
        <v>377</v>
      </c>
      <c r="AV3" s="268" t="s">
        <v>378</v>
      </c>
      <c r="AW3" s="268" t="s">
        <v>379</v>
      </c>
      <c r="AX3" s="268" t="s">
        <v>380</v>
      </c>
      <c r="AY3" s="270" t="s">
        <v>381</v>
      </c>
      <c r="AZ3" s="271" t="s">
        <v>382</v>
      </c>
      <c r="BA3" s="271" t="s">
        <v>383</v>
      </c>
      <c r="BB3" s="271" t="s">
        <v>384</v>
      </c>
      <c r="BC3" s="272" t="s">
        <v>385</v>
      </c>
      <c r="BD3" s="273" t="s">
        <v>505</v>
      </c>
      <c r="BE3" s="273" t="s">
        <v>506</v>
      </c>
      <c r="BF3" s="273" t="s">
        <v>513</v>
      </c>
      <c r="BG3" s="273" t="s">
        <v>514</v>
      </c>
      <c r="BH3" s="273" t="s">
        <v>512</v>
      </c>
      <c r="BI3" s="273" t="s">
        <v>515</v>
      </c>
      <c r="BJ3" s="273" t="s">
        <v>516</v>
      </c>
      <c r="BK3" s="73"/>
      <c r="BL3" s="73"/>
      <c r="BM3" s="73"/>
      <c r="BN3" s="73"/>
      <c r="BO3" s="73"/>
      <c r="BP3" s="73"/>
      <c r="BQ3" s="73"/>
      <c r="BR3" s="73"/>
      <c r="BS3" s="73"/>
      <c r="BT3" s="73"/>
      <c r="BU3" s="73"/>
      <c r="BV3" s="73"/>
      <c r="BW3" s="73"/>
      <c r="BX3" s="73"/>
      <c r="BY3" s="73"/>
      <c r="BZ3" s="73"/>
      <c r="CA3" s="73"/>
      <c r="CB3" s="73"/>
      <c r="CC3" s="73"/>
      <c r="CD3" s="73"/>
    </row>
    <row r="4" spans="1:66" ht="12.75">
      <c r="A4" s="79" t="s">
        <v>536</v>
      </c>
      <c r="B4" s="79" t="s">
        <v>294</v>
      </c>
      <c r="C4" s="79" t="s">
        <v>269</v>
      </c>
      <c r="D4" s="99">
        <v>14544</v>
      </c>
      <c r="E4" s="99">
        <v>3225</v>
      </c>
      <c r="F4" s="99" t="s">
        <v>364</v>
      </c>
      <c r="G4" s="99">
        <v>86</v>
      </c>
      <c r="H4" s="99">
        <v>32</v>
      </c>
      <c r="I4" s="99">
        <v>235</v>
      </c>
      <c r="J4" s="99">
        <v>1453</v>
      </c>
      <c r="K4" s="99">
        <v>20</v>
      </c>
      <c r="L4" s="99">
        <v>2655</v>
      </c>
      <c r="M4" s="99">
        <v>1292</v>
      </c>
      <c r="N4" s="99">
        <v>562</v>
      </c>
      <c r="O4" s="99">
        <v>454</v>
      </c>
      <c r="P4" s="159">
        <v>454</v>
      </c>
      <c r="Q4" s="99">
        <v>39</v>
      </c>
      <c r="R4" s="99">
        <v>69</v>
      </c>
      <c r="S4" s="99">
        <v>68</v>
      </c>
      <c r="T4" s="99">
        <v>108</v>
      </c>
      <c r="U4" s="99">
        <v>11</v>
      </c>
      <c r="V4" s="99">
        <v>102</v>
      </c>
      <c r="W4" s="99">
        <v>76</v>
      </c>
      <c r="X4" s="99">
        <v>82</v>
      </c>
      <c r="Y4" s="99">
        <v>182</v>
      </c>
      <c r="Z4" s="99">
        <v>82</v>
      </c>
      <c r="AA4" s="99" t="s">
        <v>589</v>
      </c>
      <c r="AB4" s="99" t="s">
        <v>589</v>
      </c>
      <c r="AC4" s="99" t="s">
        <v>589</v>
      </c>
      <c r="AD4" s="98" t="s">
        <v>342</v>
      </c>
      <c r="AE4" s="100">
        <v>0.22174092409240925</v>
      </c>
      <c r="AF4" s="100">
        <v>0.08</v>
      </c>
      <c r="AG4" s="98">
        <v>591.3091309130913</v>
      </c>
      <c r="AH4" s="98">
        <v>220.02200220022002</v>
      </c>
      <c r="AI4" s="100">
        <v>0.016</v>
      </c>
      <c r="AJ4" s="100">
        <v>0.686349</v>
      </c>
      <c r="AK4" s="100">
        <v>0.444444</v>
      </c>
      <c r="AL4" s="100">
        <v>0.777452</v>
      </c>
      <c r="AM4" s="100">
        <v>0.654509</v>
      </c>
      <c r="AN4" s="100">
        <v>0.675481</v>
      </c>
      <c r="AO4" s="98">
        <v>3121.5621562156216</v>
      </c>
      <c r="AP4" s="158">
        <v>1.4468624879999998</v>
      </c>
      <c r="AQ4" s="100">
        <v>0.08590308370044053</v>
      </c>
      <c r="AR4" s="100">
        <v>0.5652173913043478</v>
      </c>
      <c r="AS4" s="98">
        <v>467.5467546754675</v>
      </c>
      <c r="AT4" s="98">
        <v>742.5742574257425</v>
      </c>
      <c r="AU4" s="98">
        <v>75.63256325632564</v>
      </c>
      <c r="AV4" s="98">
        <v>701.3201320132014</v>
      </c>
      <c r="AW4" s="98">
        <v>522.5522552255226</v>
      </c>
      <c r="AX4" s="98">
        <v>563.8063806380638</v>
      </c>
      <c r="AY4" s="98">
        <v>1251.3751375137513</v>
      </c>
      <c r="AZ4" s="98">
        <v>563.8063806380638</v>
      </c>
      <c r="BA4" s="100" t="s">
        <v>589</v>
      </c>
      <c r="BB4" s="100" t="s">
        <v>589</v>
      </c>
      <c r="BC4" s="100" t="s">
        <v>589</v>
      </c>
      <c r="BD4" s="158">
        <v>1.3168130489999998</v>
      </c>
      <c r="BE4" s="158">
        <v>1.5862808229999998</v>
      </c>
      <c r="BF4" s="162">
        <v>2117</v>
      </c>
      <c r="BG4" s="162">
        <v>45</v>
      </c>
      <c r="BH4" s="162">
        <v>3415</v>
      </c>
      <c r="BI4" s="162">
        <v>1974</v>
      </c>
      <c r="BJ4" s="162">
        <v>832</v>
      </c>
      <c r="BK4" s="97"/>
      <c r="BL4" s="97"/>
      <c r="BM4" s="97"/>
      <c r="BN4" s="97"/>
    </row>
    <row r="5" spans="1:66" ht="12.75">
      <c r="A5" s="79" t="s">
        <v>549</v>
      </c>
      <c r="B5" s="79" t="s">
        <v>308</v>
      </c>
      <c r="C5" s="79" t="s">
        <v>269</v>
      </c>
      <c r="D5" s="99">
        <v>9348</v>
      </c>
      <c r="E5" s="99">
        <v>1831</v>
      </c>
      <c r="F5" s="99" t="s">
        <v>363</v>
      </c>
      <c r="G5" s="99">
        <v>51</v>
      </c>
      <c r="H5" s="99">
        <v>21</v>
      </c>
      <c r="I5" s="99">
        <v>220</v>
      </c>
      <c r="J5" s="99">
        <v>873</v>
      </c>
      <c r="K5" s="99">
        <v>17</v>
      </c>
      <c r="L5" s="99">
        <v>1725</v>
      </c>
      <c r="M5" s="99">
        <v>665</v>
      </c>
      <c r="N5" s="99">
        <v>288</v>
      </c>
      <c r="O5" s="99">
        <v>158</v>
      </c>
      <c r="P5" s="159">
        <v>158</v>
      </c>
      <c r="Q5" s="99">
        <v>23</v>
      </c>
      <c r="R5" s="99">
        <v>50</v>
      </c>
      <c r="S5" s="99">
        <v>46</v>
      </c>
      <c r="T5" s="99">
        <v>22</v>
      </c>
      <c r="U5" s="99">
        <v>10</v>
      </c>
      <c r="V5" s="99">
        <v>32</v>
      </c>
      <c r="W5" s="99">
        <v>59</v>
      </c>
      <c r="X5" s="99">
        <v>48</v>
      </c>
      <c r="Y5" s="99">
        <v>132</v>
      </c>
      <c r="Z5" s="99">
        <v>59</v>
      </c>
      <c r="AA5" s="99" t="s">
        <v>589</v>
      </c>
      <c r="AB5" s="99" t="s">
        <v>589</v>
      </c>
      <c r="AC5" s="99" t="s">
        <v>589</v>
      </c>
      <c r="AD5" s="98" t="s">
        <v>342</v>
      </c>
      <c r="AE5" s="100">
        <v>0.19587077449721865</v>
      </c>
      <c r="AF5" s="100">
        <v>0.14</v>
      </c>
      <c r="AG5" s="98">
        <v>545.571245186136</v>
      </c>
      <c r="AH5" s="98">
        <v>224.64698331193838</v>
      </c>
      <c r="AI5" s="100">
        <v>0.024</v>
      </c>
      <c r="AJ5" s="100">
        <v>0.699519</v>
      </c>
      <c r="AK5" s="100">
        <v>0.53125</v>
      </c>
      <c r="AL5" s="100">
        <v>0.806829</v>
      </c>
      <c r="AM5" s="100">
        <v>0.600723</v>
      </c>
      <c r="AN5" s="100">
        <v>0.651584</v>
      </c>
      <c r="AO5" s="98">
        <v>1690.201112537441</v>
      </c>
      <c r="AP5" s="158">
        <v>0.8387799072</v>
      </c>
      <c r="AQ5" s="100">
        <v>0.14556962025316456</v>
      </c>
      <c r="AR5" s="100">
        <v>0.46</v>
      </c>
      <c r="AS5" s="98">
        <v>492.08386820710314</v>
      </c>
      <c r="AT5" s="98">
        <v>235.34445870774496</v>
      </c>
      <c r="AU5" s="98">
        <v>106.97475395806589</v>
      </c>
      <c r="AV5" s="98">
        <v>342.3192126658109</v>
      </c>
      <c r="AW5" s="98">
        <v>631.1510483525888</v>
      </c>
      <c r="AX5" s="98">
        <v>513.4788189987163</v>
      </c>
      <c r="AY5" s="98">
        <v>1412.0667522464698</v>
      </c>
      <c r="AZ5" s="98">
        <v>631.1510483525888</v>
      </c>
      <c r="BA5" s="100" t="s">
        <v>589</v>
      </c>
      <c r="BB5" s="100" t="s">
        <v>589</v>
      </c>
      <c r="BC5" s="100" t="s">
        <v>589</v>
      </c>
      <c r="BD5" s="158">
        <v>0.7130904388</v>
      </c>
      <c r="BE5" s="158">
        <v>0.9802433777</v>
      </c>
      <c r="BF5" s="162">
        <v>1248</v>
      </c>
      <c r="BG5" s="162">
        <v>32</v>
      </c>
      <c r="BH5" s="162">
        <v>2138</v>
      </c>
      <c r="BI5" s="162">
        <v>1107</v>
      </c>
      <c r="BJ5" s="162">
        <v>442</v>
      </c>
      <c r="BK5" s="97"/>
      <c r="BL5" s="97"/>
      <c r="BM5" s="97"/>
      <c r="BN5" s="97"/>
    </row>
    <row r="6" spans="1:66" ht="12.75">
      <c r="A6" s="79" t="s">
        <v>555</v>
      </c>
      <c r="B6" s="79" t="s">
        <v>314</v>
      </c>
      <c r="C6" s="79" t="s">
        <v>269</v>
      </c>
      <c r="D6" s="99">
        <v>7194</v>
      </c>
      <c r="E6" s="99">
        <v>1719</v>
      </c>
      <c r="F6" s="99" t="s">
        <v>362</v>
      </c>
      <c r="G6" s="99">
        <v>56</v>
      </c>
      <c r="H6" s="99">
        <v>26</v>
      </c>
      <c r="I6" s="99">
        <v>169</v>
      </c>
      <c r="J6" s="99">
        <v>728</v>
      </c>
      <c r="K6" s="99">
        <v>684</v>
      </c>
      <c r="L6" s="99">
        <v>1285</v>
      </c>
      <c r="M6" s="99">
        <v>501</v>
      </c>
      <c r="N6" s="99">
        <v>240</v>
      </c>
      <c r="O6" s="99">
        <v>64</v>
      </c>
      <c r="P6" s="159">
        <v>64</v>
      </c>
      <c r="Q6" s="99">
        <v>9</v>
      </c>
      <c r="R6" s="99">
        <v>29</v>
      </c>
      <c r="S6" s="99">
        <v>10</v>
      </c>
      <c r="T6" s="99">
        <v>13</v>
      </c>
      <c r="U6" s="99" t="s">
        <v>589</v>
      </c>
      <c r="V6" s="99">
        <v>8</v>
      </c>
      <c r="W6" s="99">
        <v>60</v>
      </c>
      <c r="X6" s="99">
        <v>45</v>
      </c>
      <c r="Y6" s="99">
        <v>102</v>
      </c>
      <c r="Z6" s="99">
        <v>37</v>
      </c>
      <c r="AA6" s="99" t="s">
        <v>589</v>
      </c>
      <c r="AB6" s="99" t="s">
        <v>589</v>
      </c>
      <c r="AC6" s="99" t="s">
        <v>589</v>
      </c>
      <c r="AD6" s="98" t="s">
        <v>342</v>
      </c>
      <c r="AE6" s="100">
        <v>0.2389491242702252</v>
      </c>
      <c r="AF6" s="100">
        <v>0.11</v>
      </c>
      <c r="AG6" s="98">
        <v>778.426466499861</v>
      </c>
      <c r="AH6" s="98">
        <v>361.4122880177926</v>
      </c>
      <c r="AI6" s="100">
        <v>0.023</v>
      </c>
      <c r="AJ6" s="100">
        <v>0.753623</v>
      </c>
      <c r="AK6" s="100">
        <v>0.741866</v>
      </c>
      <c r="AL6" s="100">
        <v>0.778788</v>
      </c>
      <c r="AM6" s="100">
        <v>0.557906</v>
      </c>
      <c r="AN6" s="100">
        <v>0.621762</v>
      </c>
      <c r="AO6" s="98">
        <v>889.6302474284125</v>
      </c>
      <c r="AP6" s="158">
        <v>0.4006489563</v>
      </c>
      <c r="AQ6" s="100">
        <v>0.140625</v>
      </c>
      <c r="AR6" s="100">
        <v>0.3103448275862069</v>
      </c>
      <c r="AS6" s="98">
        <v>139.00472616068947</v>
      </c>
      <c r="AT6" s="98">
        <v>180.7061440088963</v>
      </c>
      <c r="AU6" s="98" t="s">
        <v>589</v>
      </c>
      <c r="AV6" s="98">
        <v>111.20378092855157</v>
      </c>
      <c r="AW6" s="98">
        <v>834.0283569641368</v>
      </c>
      <c r="AX6" s="98">
        <v>625.5212677231026</v>
      </c>
      <c r="AY6" s="98">
        <v>1417.8482068390326</v>
      </c>
      <c r="AZ6" s="98">
        <v>514.317486794551</v>
      </c>
      <c r="BA6" s="100" t="s">
        <v>589</v>
      </c>
      <c r="BB6" s="100" t="s">
        <v>589</v>
      </c>
      <c r="BC6" s="100" t="s">
        <v>589</v>
      </c>
      <c r="BD6" s="158">
        <v>0.3085485268</v>
      </c>
      <c r="BE6" s="158">
        <v>0.5116197968</v>
      </c>
      <c r="BF6" s="162">
        <v>966</v>
      </c>
      <c r="BG6" s="162">
        <v>922</v>
      </c>
      <c r="BH6" s="162">
        <v>1650</v>
      </c>
      <c r="BI6" s="162">
        <v>898</v>
      </c>
      <c r="BJ6" s="162">
        <v>386</v>
      </c>
      <c r="BK6" s="97"/>
      <c r="BL6" s="97"/>
      <c r="BM6" s="97"/>
      <c r="BN6" s="97"/>
    </row>
    <row r="7" spans="1:66" ht="12.75">
      <c r="A7" s="79" t="s">
        <v>557</v>
      </c>
      <c r="B7" s="79" t="s">
        <v>316</v>
      </c>
      <c r="C7" s="79" t="s">
        <v>269</v>
      </c>
      <c r="D7" s="99">
        <v>5590</v>
      </c>
      <c r="E7" s="99">
        <v>1662</v>
      </c>
      <c r="F7" s="99" t="s">
        <v>362</v>
      </c>
      <c r="G7" s="99">
        <v>23</v>
      </c>
      <c r="H7" s="99">
        <v>13</v>
      </c>
      <c r="I7" s="99">
        <v>147</v>
      </c>
      <c r="J7" s="99">
        <v>803</v>
      </c>
      <c r="K7" s="99">
        <v>736</v>
      </c>
      <c r="L7" s="99">
        <v>968</v>
      </c>
      <c r="M7" s="99">
        <v>609</v>
      </c>
      <c r="N7" s="99">
        <v>268</v>
      </c>
      <c r="O7" s="99">
        <v>76</v>
      </c>
      <c r="P7" s="159">
        <v>76</v>
      </c>
      <c r="Q7" s="99">
        <v>17</v>
      </c>
      <c r="R7" s="99">
        <v>49</v>
      </c>
      <c r="S7" s="99">
        <v>9</v>
      </c>
      <c r="T7" s="99">
        <v>17</v>
      </c>
      <c r="U7" s="99">
        <v>6</v>
      </c>
      <c r="V7" s="99">
        <v>14</v>
      </c>
      <c r="W7" s="99">
        <v>45</v>
      </c>
      <c r="X7" s="99">
        <v>40</v>
      </c>
      <c r="Y7" s="99">
        <v>103</v>
      </c>
      <c r="Z7" s="99">
        <v>24</v>
      </c>
      <c r="AA7" s="99" t="s">
        <v>589</v>
      </c>
      <c r="AB7" s="99" t="s">
        <v>589</v>
      </c>
      <c r="AC7" s="99" t="s">
        <v>589</v>
      </c>
      <c r="AD7" s="98" t="s">
        <v>342</v>
      </c>
      <c r="AE7" s="100">
        <v>0.2973166368515206</v>
      </c>
      <c r="AF7" s="100">
        <v>0.1</v>
      </c>
      <c r="AG7" s="98">
        <v>411.4490161001789</v>
      </c>
      <c r="AH7" s="98">
        <v>232.5581395348837</v>
      </c>
      <c r="AI7" s="100">
        <v>0.026000000000000002</v>
      </c>
      <c r="AJ7" s="100">
        <v>0.796627</v>
      </c>
      <c r="AK7" s="100">
        <v>0.791398</v>
      </c>
      <c r="AL7" s="100">
        <v>0.778761</v>
      </c>
      <c r="AM7" s="100">
        <v>0.601185</v>
      </c>
      <c r="AN7" s="100">
        <v>0.638095</v>
      </c>
      <c r="AO7" s="98">
        <v>1359.5706618962433</v>
      </c>
      <c r="AP7" s="158">
        <v>0.5297904587</v>
      </c>
      <c r="AQ7" s="100">
        <v>0.2236842105263158</v>
      </c>
      <c r="AR7" s="100">
        <v>0.3469387755102041</v>
      </c>
      <c r="AS7" s="98">
        <v>161.00178890876566</v>
      </c>
      <c r="AT7" s="98">
        <v>304.1144901610018</v>
      </c>
      <c r="AU7" s="98">
        <v>107.3345259391771</v>
      </c>
      <c r="AV7" s="98">
        <v>250.44722719141325</v>
      </c>
      <c r="AW7" s="98">
        <v>805.0089445438283</v>
      </c>
      <c r="AX7" s="98">
        <v>715.5635062611807</v>
      </c>
      <c r="AY7" s="98">
        <v>1842.5760286225402</v>
      </c>
      <c r="AZ7" s="98">
        <v>429.3381037567084</v>
      </c>
      <c r="BA7" s="100" t="s">
        <v>589</v>
      </c>
      <c r="BB7" s="100" t="s">
        <v>589</v>
      </c>
      <c r="BC7" s="100" t="s">
        <v>589</v>
      </c>
      <c r="BD7" s="158">
        <v>0.4174146271</v>
      </c>
      <c r="BE7" s="158">
        <v>0.6631118010999999</v>
      </c>
      <c r="BF7" s="162">
        <v>1008</v>
      </c>
      <c r="BG7" s="162">
        <v>930</v>
      </c>
      <c r="BH7" s="162">
        <v>1243</v>
      </c>
      <c r="BI7" s="162">
        <v>1013</v>
      </c>
      <c r="BJ7" s="162">
        <v>420</v>
      </c>
      <c r="BK7" s="97"/>
      <c r="BL7" s="97"/>
      <c r="BM7" s="97"/>
      <c r="BN7" s="97"/>
    </row>
    <row r="8" spans="1:66" ht="12.75">
      <c r="A8" s="79" t="s">
        <v>533</v>
      </c>
      <c r="B8" s="79" t="s">
        <v>291</v>
      </c>
      <c r="C8" s="79" t="s">
        <v>269</v>
      </c>
      <c r="D8" s="99">
        <v>3689</v>
      </c>
      <c r="E8" s="99">
        <v>793</v>
      </c>
      <c r="F8" s="99" t="s">
        <v>362</v>
      </c>
      <c r="G8" s="99">
        <v>19</v>
      </c>
      <c r="H8" s="99">
        <v>7</v>
      </c>
      <c r="I8" s="99">
        <v>118</v>
      </c>
      <c r="J8" s="99">
        <v>449</v>
      </c>
      <c r="K8" s="99">
        <v>411</v>
      </c>
      <c r="L8" s="99">
        <v>717</v>
      </c>
      <c r="M8" s="99">
        <v>346</v>
      </c>
      <c r="N8" s="99">
        <v>155</v>
      </c>
      <c r="O8" s="99">
        <v>34</v>
      </c>
      <c r="P8" s="159">
        <v>34</v>
      </c>
      <c r="Q8" s="99" t="s">
        <v>589</v>
      </c>
      <c r="R8" s="99">
        <v>25</v>
      </c>
      <c r="S8" s="99">
        <v>12</v>
      </c>
      <c r="T8" s="99">
        <v>9</v>
      </c>
      <c r="U8" s="99" t="s">
        <v>589</v>
      </c>
      <c r="V8" s="99" t="s">
        <v>589</v>
      </c>
      <c r="W8" s="99">
        <v>22</v>
      </c>
      <c r="X8" s="99">
        <v>32</v>
      </c>
      <c r="Y8" s="99">
        <v>56</v>
      </c>
      <c r="Z8" s="99">
        <v>22</v>
      </c>
      <c r="AA8" s="99" t="s">
        <v>589</v>
      </c>
      <c r="AB8" s="99" t="s">
        <v>589</v>
      </c>
      <c r="AC8" s="99" t="s">
        <v>589</v>
      </c>
      <c r="AD8" s="98" t="s">
        <v>342</v>
      </c>
      <c r="AE8" s="100">
        <v>0.2149634047167254</v>
      </c>
      <c r="AF8" s="100">
        <v>0.09</v>
      </c>
      <c r="AG8" s="98">
        <v>515.0447275684468</v>
      </c>
      <c r="AH8" s="98">
        <v>189.75332068311195</v>
      </c>
      <c r="AI8" s="100">
        <v>0.032</v>
      </c>
      <c r="AJ8" s="100">
        <v>0.783595</v>
      </c>
      <c r="AK8" s="100">
        <v>0.763941</v>
      </c>
      <c r="AL8" s="100">
        <v>0.795782</v>
      </c>
      <c r="AM8" s="100">
        <v>0.614565</v>
      </c>
      <c r="AN8" s="100">
        <v>0.668103</v>
      </c>
      <c r="AO8" s="98">
        <v>921.6589861751152</v>
      </c>
      <c r="AP8" s="158">
        <v>0.4127544022</v>
      </c>
      <c r="AQ8" s="100" t="s">
        <v>589</v>
      </c>
      <c r="AR8" s="100" t="s">
        <v>589</v>
      </c>
      <c r="AS8" s="98">
        <v>325.29140688533477</v>
      </c>
      <c r="AT8" s="98">
        <v>243.9685551640011</v>
      </c>
      <c r="AU8" s="98" t="s">
        <v>589</v>
      </c>
      <c r="AV8" s="98" t="s">
        <v>589</v>
      </c>
      <c r="AW8" s="98">
        <v>596.3675792897805</v>
      </c>
      <c r="AX8" s="98">
        <v>867.4437516942261</v>
      </c>
      <c r="AY8" s="98">
        <v>1518.0265654648956</v>
      </c>
      <c r="AZ8" s="98">
        <v>596.3675792897805</v>
      </c>
      <c r="BA8" s="100" t="s">
        <v>589</v>
      </c>
      <c r="BB8" s="100" t="s">
        <v>589</v>
      </c>
      <c r="BC8" s="100" t="s">
        <v>589</v>
      </c>
      <c r="BD8" s="158">
        <v>0.28584444049999996</v>
      </c>
      <c r="BE8" s="158">
        <v>0.5767829132</v>
      </c>
      <c r="BF8" s="162">
        <v>573</v>
      </c>
      <c r="BG8" s="162">
        <v>538</v>
      </c>
      <c r="BH8" s="162">
        <v>901</v>
      </c>
      <c r="BI8" s="162">
        <v>563</v>
      </c>
      <c r="BJ8" s="162">
        <v>232</v>
      </c>
      <c r="BK8" s="97"/>
      <c r="BL8" s="97"/>
      <c r="BM8" s="97"/>
      <c r="BN8" s="97"/>
    </row>
    <row r="9" spans="1:66" ht="12.75">
      <c r="A9" s="79" t="s">
        <v>573</v>
      </c>
      <c r="B9" s="79" t="s">
        <v>332</v>
      </c>
      <c r="C9" s="79" t="s">
        <v>269</v>
      </c>
      <c r="D9" s="99">
        <v>1087</v>
      </c>
      <c r="E9" s="99">
        <v>336</v>
      </c>
      <c r="F9" s="99" t="s">
        <v>364</v>
      </c>
      <c r="G9" s="99" t="s">
        <v>589</v>
      </c>
      <c r="H9" s="99" t="s">
        <v>589</v>
      </c>
      <c r="I9" s="99">
        <v>33</v>
      </c>
      <c r="J9" s="99">
        <v>146</v>
      </c>
      <c r="K9" s="99">
        <v>136</v>
      </c>
      <c r="L9" s="99">
        <v>185</v>
      </c>
      <c r="M9" s="99">
        <v>128</v>
      </c>
      <c r="N9" s="99">
        <v>57</v>
      </c>
      <c r="O9" s="99">
        <v>13</v>
      </c>
      <c r="P9" s="159">
        <v>13</v>
      </c>
      <c r="Q9" s="99" t="s">
        <v>589</v>
      </c>
      <c r="R9" s="99">
        <v>7</v>
      </c>
      <c r="S9" s="99" t="s">
        <v>589</v>
      </c>
      <c r="T9" s="99">
        <v>6</v>
      </c>
      <c r="U9" s="99" t="s">
        <v>589</v>
      </c>
      <c r="V9" s="99" t="s">
        <v>589</v>
      </c>
      <c r="W9" s="99">
        <v>8</v>
      </c>
      <c r="X9" s="99" t="s">
        <v>589</v>
      </c>
      <c r="Y9" s="99">
        <v>25</v>
      </c>
      <c r="Z9" s="99">
        <v>11</v>
      </c>
      <c r="AA9" s="99" t="s">
        <v>589</v>
      </c>
      <c r="AB9" s="99" t="s">
        <v>589</v>
      </c>
      <c r="AC9" s="99" t="s">
        <v>589</v>
      </c>
      <c r="AD9" s="98" t="s">
        <v>342</v>
      </c>
      <c r="AE9" s="100">
        <v>0.3091076356945722</v>
      </c>
      <c r="AF9" s="100">
        <v>0.07</v>
      </c>
      <c r="AG9" s="98" t="s">
        <v>589</v>
      </c>
      <c r="AH9" s="98" t="s">
        <v>589</v>
      </c>
      <c r="AI9" s="100">
        <v>0.03</v>
      </c>
      <c r="AJ9" s="100">
        <v>0.843931</v>
      </c>
      <c r="AK9" s="100">
        <v>0.824242</v>
      </c>
      <c r="AL9" s="100">
        <v>0.761317</v>
      </c>
      <c r="AM9" s="100">
        <v>0.684492</v>
      </c>
      <c r="AN9" s="100">
        <v>0.703704</v>
      </c>
      <c r="AO9" s="98">
        <v>1195.9521619135235</v>
      </c>
      <c r="AP9" s="158">
        <v>0.44625713349999996</v>
      </c>
      <c r="AQ9" s="100" t="s">
        <v>589</v>
      </c>
      <c r="AR9" s="100" t="s">
        <v>589</v>
      </c>
      <c r="AS9" s="98" t="s">
        <v>589</v>
      </c>
      <c r="AT9" s="98">
        <v>551.9779208831646</v>
      </c>
      <c r="AU9" s="98" t="s">
        <v>589</v>
      </c>
      <c r="AV9" s="98" t="s">
        <v>589</v>
      </c>
      <c r="AW9" s="98">
        <v>735.9705611775529</v>
      </c>
      <c r="AX9" s="98" t="s">
        <v>589</v>
      </c>
      <c r="AY9" s="98">
        <v>2299.9080036798528</v>
      </c>
      <c r="AZ9" s="98">
        <v>1011.9595216191352</v>
      </c>
      <c r="BA9" s="100" t="s">
        <v>589</v>
      </c>
      <c r="BB9" s="100" t="s">
        <v>589</v>
      </c>
      <c r="BC9" s="100" t="s">
        <v>589</v>
      </c>
      <c r="BD9" s="158">
        <v>0.23761312480000002</v>
      </c>
      <c r="BE9" s="158">
        <v>0.7631132506999999</v>
      </c>
      <c r="BF9" s="162">
        <v>173</v>
      </c>
      <c r="BG9" s="162">
        <v>165</v>
      </c>
      <c r="BH9" s="162">
        <v>243</v>
      </c>
      <c r="BI9" s="162">
        <v>187</v>
      </c>
      <c r="BJ9" s="162">
        <v>81</v>
      </c>
      <c r="BK9" s="97"/>
      <c r="BL9" s="97"/>
      <c r="BM9" s="97"/>
      <c r="BN9" s="97"/>
    </row>
    <row r="10" spans="1:66" ht="12.75">
      <c r="A10" s="79" t="s">
        <v>561</v>
      </c>
      <c r="B10" s="79" t="s">
        <v>320</v>
      </c>
      <c r="C10" s="79" t="s">
        <v>269</v>
      </c>
      <c r="D10" s="99">
        <v>5360</v>
      </c>
      <c r="E10" s="99">
        <v>1491</v>
      </c>
      <c r="F10" s="99" t="s">
        <v>362</v>
      </c>
      <c r="G10" s="99">
        <v>43</v>
      </c>
      <c r="H10" s="99">
        <v>15</v>
      </c>
      <c r="I10" s="99">
        <v>126</v>
      </c>
      <c r="J10" s="99">
        <v>605</v>
      </c>
      <c r="K10" s="99">
        <v>15</v>
      </c>
      <c r="L10" s="99">
        <v>866</v>
      </c>
      <c r="M10" s="99">
        <v>483</v>
      </c>
      <c r="N10" s="99">
        <v>214</v>
      </c>
      <c r="O10" s="99">
        <v>131</v>
      </c>
      <c r="P10" s="159">
        <v>131</v>
      </c>
      <c r="Q10" s="99">
        <v>17</v>
      </c>
      <c r="R10" s="99">
        <v>28</v>
      </c>
      <c r="S10" s="99">
        <v>22</v>
      </c>
      <c r="T10" s="99">
        <v>42</v>
      </c>
      <c r="U10" s="99" t="s">
        <v>589</v>
      </c>
      <c r="V10" s="99">
        <v>11</v>
      </c>
      <c r="W10" s="99">
        <v>52</v>
      </c>
      <c r="X10" s="99">
        <v>66</v>
      </c>
      <c r="Y10" s="99">
        <v>61</v>
      </c>
      <c r="Z10" s="99">
        <v>37</v>
      </c>
      <c r="AA10" s="99" t="s">
        <v>589</v>
      </c>
      <c r="AB10" s="99" t="s">
        <v>589</v>
      </c>
      <c r="AC10" s="99" t="s">
        <v>589</v>
      </c>
      <c r="AD10" s="98" t="s">
        <v>342</v>
      </c>
      <c r="AE10" s="100">
        <v>0.27817164179104475</v>
      </c>
      <c r="AF10" s="100">
        <v>0.09</v>
      </c>
      <c r="AG10" s="98">
        <v>802.2388059701492</v>
      </c>
      <c r="AH10" s="98">
        <v>279.85074626865674</v>
      </c>
      <c r="AI10" s="100">
        <v>0.024</v>
      </c>
      <c r="AJ10" s="100">
        <v>0.755306</v>
      </c>
      <c r="AK10" s="100">
        <v>0.625</v>
      </c>
      <c r="AL10" s="100">
        <v>0.785844</v>
      </c>
      <c r="AM10" s="100">
        <v>0.605263</v>
      </c>
      <c r="AN10" s="100">
        <v>0.662539</v>
      </c>
      <c r="AO10" s="98">
        <v>2444.0298507462685</v>
      </c>
      <c r="AP10" s="158">
        <v>1.041461716</v>
      </c>
      <c r="AQ10" s="100">
        <v>0.1297709923664122</v>
      </c>
      <c r="AR10" s="100">
        <v>0.6071428571428571</v>
      </c>
      <c r="AS10" s="98">
        <v>410.44776119402985</v>
      </c>
      <c r="AT10" s="98">
        <v>783.5820895522388</v>
      </c>
      <c r="AU10" s="98" t="s">
        <v>589</v>
      </c>
      <c r="AV10" s="98">
        <v>205.22388059701493</v>
      </c>
      <c r="AW10" s="98">
        <v>970.1492537313433</v>
      </c>
      <c r="AX10" s="98">
        <v>1231.3432835820895</v>
      </c>
      <c r="AY10" s="98">
        <v>1138.0597014925372</v>
      </c>
      <c r="AZ10" s="98">
        <v>690.2985074626865</v>
      </c>
      <c r="BA10" s="100" t="s">
        <v>589</v>
      </c>
      <c r="BB10" s="100" t="s">
        <v>589</v>
      </c>
      <c r="BC10" s="100" t="s">
        <v>589</v>
      </c>
      <c r="BD10" s="158">
        <v>0.8707639313</v>
      </c>
      <c r="BE10" s="158">
        <v>1.235841064</v>
      </c>
      <c r="BF10" s="162">
        <v>801</v>
      </c>
      <c r="BG10" s="162">
        <v>24</v>
      </c>
      <c r="BH10" s="162">
        <v>1102</v>
      </c>
      <c r="BI10" s="162">
        <v>798</v>
      </c>
      <c r="BJ10" s="162">
        <v>323</v>
      </c>
      <c r="BK10" s="97"/>
      <c r="BL10" s="97"/>
      <c r="BM10" s="97"/>
      <c r="BN10" s="97"/>
    </row>
    <row r="11" spans="1:66" ht="12.75">
      <c r="A11" s="79" t="s">
        <v>548</v>
      </c>
      <c r="B11" s="79" t="s">
        <v>307</v>
      </c>
      <c r="C11" s="79" t="s">
        <v>269</v>
      </c>
      <c r="D11" s="99">
        <v>4017</v>
      </c>
      <c r="E11" s="99">
        <v>1113</v>
      </c>
      <c r="F11" s="99" t="s">
        <v>364</v>
      </c>
      <c r="G11" s="99">
        <v>34</v>
      </c>
      <c r="H11" s="99">
        <v>14</v>
      </c>
      <c r="I11" s="99">
        <v>129</v>
      </c>
      <c r="J11" s="99">
        <v>512</v>
      </c>
      <c r="K11" s="99">
        <v>13</v>
      </c>
      <c r="L11" s="99">
        <v>743</v>
      </c>
      <c r="M11" s="99">
        <v>430</v>
      </c>
      <c r="N11" s="99">
        <v>183</v>
      </c>
      <c r="O11" s="99">
        <v>92</v>
      </c>
      <c r="P11" s="159">
        <v>92</v>
      </c>
      <c r="Q11" s="99">
        <v>17</v>
      </c>
      <c r="R11" s="99">
        <v>34</v>
      </c>
      <c r="S11" s="99">
        <v>17</v>
      </c>
      <c r="T11" s="99">
        <v>19</v>
      </c>
      <c r="U11" s="99">
        <v>6</v>
      </c>
      <c r="V11" s="99">
        <v>16</v>
      </c>
      <c r="W11" s="99">
        <v>42</v>
      </c>
      <c r="X11" s="99">
        <v>37</v>
      </c>
      <c r="Y11" s="99">
        <v>60</v>
      </c>
      <c r="Z11" s="99">
        <v>31</v>
      </c>
      <c r="AA11" s="99" t="s">
        <v>589</v>
      </c>
      <c r="AB11" s="99" t="s">
        <v>589</v>
      </c>
      <c r="AC11" s="99" t="s">
        <v>589</v>
      </c>
      <c r="AD11" s="98" t="s">
        <v>342</v>
      </c>
      <c r="AE11" s="100">
        <v>0.2770724421209858</v>
      </c>
      <c r="AF11" s="100">
        <v>0.08</v>
      </c>
      <c r="AG11" s="98">
        <v>846.402788150361</v>
      </c>
      <c r="AH11" s="98">
        <v>348.51879512073685</v>
      </c>
      <c r="AI11" s="100">
        <v>0.032</v>
      </c>
      <c r="AJ11" s="100">
        <v>0.735632</v>
      </c>
      <c r="AK11" s="100">
        <v>0.722222</v>
      </c>
      <c r="AL11" s="100">
        <v>0.783755</v>
      </c>
      <c r="AM11" s="100">
        <v>0.603933</v>
      </c>
      <c r="AN11" s="100">
        <v>0.646643</v>
      </c>
      <c r="AO11" s="98">
        <v>2290.266367936271</v>
      </c>
      <c r="AP11" s="158">
        <v>0.9167375946</v>
      </c>
      <c r="AQ11" s="100">
        <v>0.18478260869565216</v>
      </c>
      <c r="AR11" s="100">
        <v>0.5</v>
      </c>
      <c r="AS11" s="98">
        <v>423.2013940751805</v>
      </c>
      <c r="AT11" s="98">
        <v>472.9897933781429</v>
      </c>
      <c r="AU11" s="98">
        <v>149.36519790888724</v>
      </c>
      <c r="AV11" s="98">
        <v>398.3071944236993</v>
      </c>
      <c r="AW11" s="98">
        <v>1045.5563853622107</v>
      </c>
      <c r="AX11" s="98">
        <v>921.0853871048046</v>
      </c>
      <c r="AY11" s="98">
        <v>1493.6519790888724</v>
      </c>
      <c r="AZ11" s="98">
        <v>771.7201891959173</v>
      </c>
      <c r="BA11" s="100" t="s">
        <v>589</v>
      </c>
      <c r="BB11" s="100" t="s">
        <v>589</v>
      </c>
      <c r="BC11" s="100" t="s">
        <v>589</v>
      </c>
      <c r="BD11" s="158">
        <v>0.739019928</v>
      </c>
      <c r="BE11" s="158">
        <v>1.124297333</v>
      </c>
      <c r="BF11" s="162">
        <v>696</v>
      </c>
      <c r="BG11" s="162">
        <v>18</v>
      </c>
      <c r="BH11" s="162">
        <v>948</v>
      </c>
      <c r="BI11" s="162">
        <v>712</v>
      </c>
      <c r="BJ11" s="162">
        <v>283</v>
      </c>
      <c r="BK11" s="97"/>
      <c r="BL11" s="97"/>
      <c r="BM11" s="97"/>
      <c r="BN11" s="97"/>
    </row>
    <row r="12" spans="1:66" ht="12.75">
      <c r="A12" s="79" t="s">
        <v>575</v>
      </c>
      <c r="B12" s="79" t="s">
        <v>334</v>
      </c>
      <c r="C12" s="79" t="s">
        <v>269</v>
      </c>
      <c r="D12" s="99">
        <v>2009</v>
      </c>
      <c r="E12" s="99">
        <v>773</v>
      </c>
      <c r="F12" s="99" t="s">
        <v>362</v>
      </c>
      <c r="G12" s="99">
        <v>17</v>
      </c>
      <c r="H12" s="99">
        <v>15</v>
      </c>
      <c r="I12" s="99">
        <v>35</v>
      </c>
      <c r="J12" s="99">
        <v>278</v>
      </c>
      <c r="K12" s="99">
        <v>7</v>
      </c>
      <c r="L12" s="99">
        <v>334</v>
      </c>
      <c r="M12" s="99">
        <v>245</v>
      </c>
      <c r="N12" s="99">
        <v>111</v>
      </c>
      <c r="O12" s="99">
        <v>36</v>
      </c>
      <c r="P12" s="159">
        <v>36</v>
      </c>
      <c r="Q12" s="99" t="s">
        <v>589</v>
      </c>
      <c r="R12" s="99">
        <v>11</v>
      </c>
      <c r="S12" s="99">
        <v>11</v>
      </c>
      <c r="T12" s="99">
        <v>8</v>
      </c>
      <c r="U12" s="99" t="s">
        <v>589</v>
      </c>
      <c r="V12" s="99" t="s">
        <v>589</v>
      </c>
      <c r="W12" s="99">
        <v>17</v>
      </c>
      <c r="X12" s="99">
        <v>13</v>
      </c>
      <c r="Y12" s="99">
        <v>24</v>
      </c>
      <c r="Z12" s="99">
        <v>13</v>
      </c>
      <c r="AA12" s="99" t="s">
        <v>589</v>
      </c>
      <c r="AB12" s="99" t="s">
        <v>589</v>
      </c>
      <c r="AC12" s="99" t="s">
        <v>589</v>
      </c>
      <c r="AD12" s="98" t="s">
        <v>342</v>
      </c>
      <c r="AE12" s="100">
        <v>0.38476854156296664</v>
      </c>
      <c r="AF12" s="100">
        <v>0.1</v>
      </c>
      <c r="AG12" s="98">
        <v>846.1921353907417</v>
      </c>
      <c r="AH12" s="98">
        <v>746.6401194624191</v>
      </c>
      <c r="AI12" s="100">
        <v>0.017</v>
      </c>
      <c r="AJ12" s="100">
        <v>0.700252</v>
      </c>
      <c r="AK12" s="100">
        <v>0.538462</v>
      </c>
      <c r="AL12" s="100">
        <v>0.802885</v>
      </c>
      <c r="AM12" s="100">
        <v>0.609453</v>
      </c>
      <c r="AN12" s="100">
        <v>0.698113</v>
      </c>
      <c r="AO12" s="98">
        <v>1791.936286709806</v>
      </c>
      <c r="AP12" s="158">
        <v>0.6118321228</v>
      </c>
      <c r="AQ12" s="100" t="s">
        <v>589</v>
      </c>
      <c r="AR12" s="100" t="s">
        <v>589</v>
      </c>
      <c r="AS12" s="98">
        <v>547.536087605774</v>
      </c>
      <c r="AT12" s="98">
        <v>398.2080637132902</v>
      </c>
      <c r="AU12" s="98" t="s">
        <v>589</v>
      </c>
      <c r="AV12" s="98" t="s">
        <v>589</v>
      </c>
      <c r="AW12" s="98">
        <v>846.1921353907417</v>
      </c>
      <c r="AX12" s="98">
        <v>647.0881035340966</v>
      </c>
      <c r="AY12" s="98">
        <v>1194.6241911398706</v>
      </c>
      <c r="AZ12" s="98">
        <v>647.0881035340966</v>
      </c>
      <c r="BA12" s="100" t="s">
        <v>589</v>
      </c>
      <c r="BB12" s="100" t="s">
        <v>589</v>
      </c>
      <c r="BC12" s="100" t="s">
        <v>589</v>
      </c>
      <c r="BD12" s="158">
        <v>0.4285197067</v>
      </c>
      <c r="BE12" s="158">
        <v>0.8470335388</v>
      </c>
      <c r="BF12" s="162">
        <v>397</v>
      </c>
      <c r="BG12" s="162">
        <v>13</v>
      </c>
      <c r="BH12" s="162">
        <v>416</v>
      </c>
      <c r="BI12" s="162">
        <v>402</v>
      </c>
      <c r="BJ12" s="162">
        <v>159</v>
      </c>
      <c r="BK12" s="97"/>
      <c r="BL12" s="97"/>
      <c r="BM12" s="97"/>
      <c r="BN12" s="97"/>
    </row>
    <row r="13" spans="1:66" ht="12.75">
      <c r="A13" s="79" t="s">
        <v>568</v>
      </c>
      <c r="B13" s="79" t="s">
        <v>327</v>
      </c>
      <c r="C13" s="79" t="s">
        <v>269</v>
      </c>
      <c r="D13" s="99">
        <v>1798</v>
      </c>
      <c r="E13" s="99">
        <v>488</v>
      </c>
      <c r="F13" s="99" t="s">
        <v>364</v>
      </c>
      <c r="G13" s="99">
        <v>19</v>
      </c>
      <c r="H13" s="99" t="s">
        <v>589</v>
      </c>
      <c r="I13" s="99">
        <v>58</v>
      </c>
      <c r="J13" s="99">
        <v>223</v>
      </c>
      <c r="K13" s="99" t="s">
        <v>589</v>
      </c>
      <c r="L13" s="99">
        <v>326</v>
      </c>
      <c r="M13" s="99">
        <v>212</v>
      </c>
      <c r="N13" s="99">
        <v>91</v>
      </c>
      <c r="O13" s="99">
        <v>45</v>
      </c>
      <c r="P13" s="159">
        <v>45</v>
      </c>
      <c r="Q13" s="99" t="s">
        <v>589</v>
      </c>
      <c r="R13" s="99">
        <v>12</v>
      </c>
      <c r="S13" s="99">
        <v>7</v>
      </c>
      <c r="T13" s="99">
        <v>7</v>
      </c>
      <c r="U13" s="99" t="s">
        <v>589</v>
      </c>
      <c r="V13" s="99">
        <v>7</v>
      </c>
      <c r="W13" s="99">
        <v>13</v>
      </c>
      <c r="X13" s="99">
        <v>10</v>
      </c>
      <c r="Y13" s="99">
        <v>23</v>
      </c>
      <c r="Z13" s="99">
        <v>15</v>
      </c>
      <c r="AA13" s="99" t="s">
        <v>589</v>
      </c>
      <c r="AB13" s="99" t="s">
        <v>589</v>
      </c>
      <c r="AC13" s="99" t="s">
        <v>589</v>
      </c>
      <c r="AD13" s="98" t="s">
        <v>342</v>
      </c>
      <c r="AE13" s="100">
        <v>0.271412680756396</v>
      </c>
      <c r="AF13" s="100">
        <v>0.08</v>
      </c>
      <c r="AG13" s="98">
        <v>1056.7296996662958</v>
      </c>
      <c r="AH13" s="98" t="s">
        <v>589</v>
      </c>
      <c r="AI13" s="100">
        <v>0.032</v>
      </c>
      <c r="AJ13" s="100">
        <v>0.743333</v>
      </c>
      <c r="AK13" s="100" t="s">
        <v>589</v>
      </c>
      <c r="AL13" s="100">
        <v>0.823232</v>
      </c>
      <c r="AM13" s="100">
        <v>0.625369</v>
      </c>
      <c r="AN13" s="100">
        <v>0.705426</v>
      </c>
      <c r="AO13" s="98">
        <v>2502.780867630701</v>
      </c>
      <c r="AP13" s="158">
        <v>1.03264122</v>
      </c>
      <c r="AQ13" s="100" t="s">
        <v>589</v>
      </c>
      <c r="AR13" s="100" t="s">
        <v>589</v>
      </c>
      <c r="AS13" s="98">
        <v>389.321468298109</v>
      </c>
      <c r="AT13" s="98">
        <v>389.321468298109</v>
      </c>
      <c r="AU13" s="98" t="s">
        <v>589</v>
      </c>
      <c r="AV13" s="98">
        <v>389.321468298109</v>
      </c>
      <c r="AW13" s="98">
        <v>723.0255839822024</v>
      </c>
      <c r="AX13" s="98">
        <v>556.1735261401557</v>
      </c>
      <c r="AY13" s="98">
        <v>1279.1991101223582</v>
      </c>
      <c r="AZ13" s="98">
        <v>834.2602892102336</v>
      </c>
      <c r="BA13" s="100" t="s">
        <v>589</v>
      </c>
      <c r="BB13" s="100" t="s">
        <v>589</v>
      </c>
      <c r="BC13" s="100" t="s">
        <v>589</v>
      </c>
      <c r="BD13" s="158">
        <v>0.7532155609</v>
      </c>
      <c r="BE13" s="158">
        <v>1.381755219</v>
      </c>
      <c r="BF13" s="162">
        <v>300</v>
      </c>
      <c r="BG13" s="162" t="s">
        <v>589</v>
      </c>
      <c r="BH13" s="162">
        <v>396</v>
      </c>
      <c r="BI13" s="162">
        <v>339</v>
      </c>
      <c r="BJ13" s="162">
        <v>129</v>
      </c>
      <c r="BK13" s="97"/>
      <c r="BL13" s="97"/>
      <c r="BM13" s="97"/>
      <c r="BN13" s="97"/>
    </row>
    <row r="14" spans="1:66" ht="12.75">
      <c r="A14" s="79" t="s">
        <v>563</v>
      </c>
      <c r="B14" s="79" t="s">
        <v>322</v>
      </c>
      <c r="C14" s="79" t="s">
        <v>269</v>
      </c>
      <c r="D14" s="99">
        <v>6307</v>
      </c>
      <c r="E14" s="99">
        <v>1398</v>
      </c>
      <c r="F14" s="99" t="s">
        <v>362</v>
      </c>
      <c r="G14" s="99">
        <v>27</v>
      </c>
      <c r="H14" s="99">
        <v>13</v>
      </c>
      <c r="I14" s="99">
        <v>157</v>
      </c>
      <c r="J14" s="99">
        <v>714</v>
      </c>
      <c r="K14" s="99">
        <v>11</v>
      </c>
      <c r="L14" s="99">
        <v>1264</v>
      </c>
      <c r="M14" s="99">
        <v>573</v>
      </c>
      <c r="N14" s="99">
        <v>256</v>
      </c>
      <c r="O14" s="99">
        <v>116</v>
      </c>
      <c r="P14" s="159">
        <v>116</v>
      </c>
      <c r="Q14" s="99">
        <v>15</v>
      </c>
      <c r="R14" s="99">
        <v>33</v>
      </c>
      <c r="S14" s="99">
        <v>29</v>
      </c>
      <c r="T14" s="99">
        <v>22</v>
      </c>
      <c r="U14" s="99" t="s">
        <v>589</v>
      </c>
      <c r="V14" s="99">
        <v>16</v>
      </c>
      <c r="W14" s="99">
        <v>52</v>
      </c>
      <c r="X14" s="99">
        <v>42</v>
      </c>
      <c r="Y14" s="99">
        <v>76</v>
      </c>
      <c r="Z14" s="99">
        <v>43</v>
      </c>
      <c r="AA14" s="99" t="s">
        <v>589</v>
      </c>
      <c r="AB14" s="99" t="s">
        <v>589</v>
      </c>
      <c r="AC14" s="99" t="s">
        <v>589</v>
      </c>
      <c r="AD14" s="98" t="s">
        <v>342</v>
      </c>
      <c r="AE14" s="100">
        <v>0.221658474710639</v>
      </c>
      <c r="AF14" s="100">
        <v>0.1</v>
      </c>
      <c r="AG14" s="98">
        <v>428.0957666085302</v>
      </c>
      <c r="AH14" s="98">
        <v>206.12018392262564</v>
      </c>
      <c r="AI14" s="100">
        <v>0.025</v>
      </c>
      <c r="AJ14" s="100">
        <v>0.75</v>
      </c>
      <c r="AK14" s="100">
        <v>0.52381</v>
      </c>
      <c r="AL14" s="100">
        <v>0.801014</v>
      </c>
      <c r="AM14" s="100">
        <v>0.664733</v>
      </c>
      <c r="AN14" s="100">
        <v>0.693767</v>
      </c>
      <c r="AO14" s="98">
        <v>1839.226256540352</v>
      </c>
      <c r="AP14" s="158">
        <v>0.8318805695</v>
      </c>
      <c r="AQ14" s="100">
        <v>0.12931034482758622</v>
      </c>
      <c r="AR14" s="100">
        <v>0.45454545454545453</v>
      </c>
      <c r="AS14" s="98">
        <v>459.806564135088</v>
      </c>
      <c r="AT14" s="98">
        <v>348.81877279213575</v>
      </c>
      <c r="AU14" s="98" t="s">
        <v>589</v>
      </c>
      <c r="AV14" s="98">
        <v>253.68638021246235</v>
      </c>
      <c r="AW14" s="98">
        <v>824.4807356905026</v>
      </c>
      <c r="AX14" s="98">
        <v>665.9267480577137</v>
      </c>
      <c r="AY14" s="98">
        <v>1205.010306009196</v>
      </c>
      <c r="AZ14" s="98">
        <v>681.7821468209926</v>
      </c>
      <c r="BA14" s="100" t="s">
        <v>589</v>
      </c>
      <c r="BB14" s="100" t="s">
        <v>589</v>
      </c>
      <c r="BC14" s="100" t="s">
        <v>589</v>
      </c>
      <c r="BD14" s="158">
        <v>0.6873989868</v>
      </c>
      <c r="BE14" s="158">
        <v>0.9977614594</v>
      </c>
      <c r="BF14" s="162">
        <v>952</v>
      </c>
      <c r="BG14" s="162">
        <v>21</v>
      </c>
      <c r="BH14" s="162">
        <v>1578</v>
      </c>
      <c r="BI14" s="162">
        <v>862</v>
      </c>
      <c r="BJ14" s="162">
        <v>369</v>
      </c>
      <c r="BK14" s="97"/>
      <c r="BL14" s="97"/>
      <c r="BM14" s="97"/>
      <c r="BN14" s="97"/>
    </row>
    <row r="15" spans="1:66" ht="12.75">
      <c r="A15" s="79" t="s">
        <v>558</v>
      </c>
      <c r="B15" s="79" t="s">
        <v>317</v>
      </c>
      <c r="C15" s="79" t="s">
        <v>269</v>
      </c>
      <c r="D15" s="99">
        <v>4883</v>
      </c>
      <c r="E15" s="99">
        <v>1003</v>
      </c>
      <c r="F15" s="99" t="s">
        <v>363</v>
      </c>
      <c r="G15" s="99">
        <v>25</v>
      </c>
      <c r="H15" s="99">
        <v>17</v>
      </c>
      <c r="I15" s="99">
        <v>105</v>
      </c>
      <c r="J15" s="99">
        <v>581</v>
      </c>
      <c r="K15" s="99">
        <v>556</v>
      </c>
      <c r="L15" s="99">
        <v>976</v>
      </c>
      <c r="M15" s="99">
        <v>478</v>
      </c>
      <c r="N15" s="99">
        <v>210</v>
      </c>
      <c r="O15" s="99">
        <v>79</v>
      </c>
      <c r="P15" s="159">
        <v>79</v>
      </c>
      <c r="Q15" s="99">
        <v>13</v>
      </c>
      <c r="R15" s="99">
        <v>27</v>
      </c>
      <c r="S15" s="99">
        <v>13</v>
      </c>
      <c r="T15" s="99">
        <v>12</v>
      </c>
      <c r="U15" s="99">
        <v>10</v>
      </c>
      <c r="V15" s="99">
        <v>19</v>
      </c>
      <c r="W15" s="99">
        <v>47</v>
      </c>
      <c r="X15" s="99">
        <v>30</v>
      </c>
      <c r="Y15" s="99">
        <v>63</v>
      </c>
      <c r="Z15" s="99">
        <v>35</v>
      </c>
      <c r="AA15" s="99" t="s">
        <v>589</v>
      </c>
      <c r="AB15" s="99" t="s">
        <v>589</v>
      </c>
      <c r="AC15" s="99" t="s">
        <v>589</v>
      </c>
      <c r="AD15" s="98" t="s">
        <v>342</v>
      </c>
      <c r="AE15" s="100">
        <v>0.20540651238992422</v>
      </c>
      <c r="AF15" s="100">
        <v>0.12</v>
      </c>
      <c r="AG15" s="98">
        <v>511.98033995494575</v>
      </c>
      <c r="AH15" s="98">
        <v>348.1466311693631</v>
      </c>
      <c r="AI15" s="100">
        <v>0.022000000000000002</v>
      </c>
      <c r="AJ15" s="100">
        <v>0.790476</v>
      </c>
      <c r="AK15" s="100">
        <v>0.788652</v>
      </c>
      <c r="AL15" s="100">
        <v>0.865248</v>
      </c>
      <c r="AM15" s="100">
        <v>0.655693</v>
      </c>
      <c r="AN15" s="100">
        <v>0.704698</v>
      </c>
      <c r="AO15" s="98">
        <v>1617.8578742576285</v>
      </c>
      <c r="AP15" s="158">
        <v>0.7666113281</v>
      </c>
      <c r="AQ15" s="100">
        <v>0.16455696202531644</v>
      </c>
      <c r="AR15" s="100">
        <v>0.48148148148148145</v>
      </c>
      <c r="AS15" s="98">
        <v>266.2297767765718</v>
      </c>
      <c r="AT15" s="98">
        <v>245.75056317837394</v>
      </c>
      <c r="AU15" s="98">
        <v>204.7921359819783</v>
      </c>
      <c r="AV15" s="98">
        <v>389.10505836575874</v>
      </c>
      <c r="AW15" s="98">
        <v>962.5230391152979</v>
      </c>
      <c r="AX15" s="98">
        <v>614.3764079459348</v>
      </c>
      <c r="AY15" s="98">
        <v>1290.1904566864632</v>
      </c>
      <c r="AZ15" s="98">
        <v>716.772475936924</v>
      </c>
      <c r="BA15" s="100" t="s">
        <v>589</v>
      </c>
      <c r="BB15" s="100" t="s">
        <v>589</v>
      </c>
      <c r="BC15" s="100" t="s">
        <v>589</v>
      </c>
      <c r="BD15" s="158">
        <v>0.606933403</v>
      </c>
      <c r="BE15" s="158">
        <v>0.9554264832</v>
      </c>
      <c r="BF15" s="162">
        <v>735</v>
      </c>
      <c r="BG15" s="162">
        <v>705</v>
      </c>
      <c r="BH15" s="162">
        <v>1128</v>
      </c>
      <c r="BI15" s="162">
        <v>729</v>
      </c>
      <c r="BJ15" s="162">
        <v>298</v>
      </c>
      <c r="BK15" s="97"/>
      <c r="BL15" s="97"/>
      <c r="BM15" s="97"/>
      <c r="BN15" s="97"/>
    </row>
    <row r="16" spans="1:66" ht="12.75">
      <c r="A16" s="79" t="s">
        <v>593</v>
      </c>
      <c r="B16" s="79" t="s">
        <v>305</v>
      </c>
      <c r="C16" s="79" t="s">
        <v>269</v>
      </c>
      <c r="D16" s="99">
        <v>9101</v>
      </c>
      <c r="E16" s="99">
        <v>2086</v>
      </c>
      <c r="F16" s="99" t="s">
        <v>362</v>
      </c>
      <c r="G16" s="99">
        <v>40</v>
      </c>
      <c r="H16" s="99">
        <v>28</v>
      </c>
      <c r="I16" s="99">
        <v>196</v>
      </c>
      <c r="J16" s="99">
        <v>986</v>
      </c>
      <c r="K16" s="99">
        <v>29</v>
      </c>
      <c r="L16" s="99">
        <v>1758</v>
      </c>
      <c r="M16" s="99">
        <v>830</v>
      </c>
      <c r="N16" s="99">
        <v>344</v>
      </c>
      <c r="O16" s="99">
        <v>238</v>
      </c>
      <c r="P16" s="159">
        <v>238</v>
      </c>
      <c r="Q16" s="99">
        <v>20</v>
      </c>
      <c r="R16" s="99">
        <v>43</v>
      </c>
      <c r="S16" s="99">
        <v>54</v>
      </c>
      <c r="T16" s="99">
        <v>21</v>
      </c>
      <c r="U16" s="99" t="s">
        <v>589</v>
      </c>
      <c r="V16" s="99">
        <v>54</v>
      </c>
      <c r="W16" s="99">
        <v>79</v>
      </c>
      <c r="X16" s="99">
        <v>75</v>
      </c>
      <c r="Y16" s="99">
        <v>211</v>
      </c>
      <c r="Z16" s="99">
        <v>76</v>
      </c>
      <c r="AA16" s="99" t="s">
        <v>589</v>
      </c>
      <c r="AB16" s="99" t="s">
        <v>589</v>
      </c>
      <c r="AC16" s="99" t="s">
        <v>589</v>
      </c>
      <c r="AD16" s="98" t="s">
        <v>342</v>
      </c>
      <c r="AE16" s="100">
        <v>0.22920558180419734</v>
      </c>
      <c r="AF16" s="100">
        <v>0.1</v>
      </c>
      <c r="AG16" s="98">
        <v>439.5121415229096</v>
      </c>
      <c r="AH16" s="98">
        <v>307.6584990660367</v>
      </c>
      <c r="AI16" s="100">
        <v>0.022000000000000002</v>
      </c>
      <c r="AJ16" s="100">
        <v>0.710375</v>
      </c>
      <c r="AK16" s="100">
        <v>0.805556</v>
      </c>
      <c r="AL16" s="100">
        <v>0.857143</v>
      </c>
      <c r="AM16" s="100">
        <v>0.61848</v>
      </c>
      <c r="AN16" s="100">
        <v>0.661538</v>
      </c>
      <c r="AO16" s="98">
        <v>2615.097242061312</v>
      </c>
      <c r="AP16" s="158">
        <v>1.179757156</v>
      </c>
      <c r="AQ16" s="100">
        <v>0.08403361344537816</v>
      </c>
      <c r="AR16" s="100">
        <v>0.46511627906976744</v>
      </c>
      <c r="AS16" s="98">
        <v>593.3413910559279</v>
      </c>
      <c r="AT16" s="98">
        <v>230.74387429952753</v>
      </c>
      <c r="AU16" s="98" t="s">
        <v>589</v>
      </c>
      <c r="AV16" s="98">
        <v>593.3413910559279</v>
      </c>
      <c r="AW16" s="98">
        <v>868.0364795077464</v>
      </c>
      <c r="AX16" s="98">
        <v>824.0852653554555</v>
      </c>
      <c r="AY16" s="98">
        <v>2318.426546533348</v>
      </c>
      <c r="AZ16" s="98">
        <v>835.0730688935282</v>
      </c>
      <c r="BA16" s="100" t="s">
        <v>589</v>
      </c>
      <c r="BB16" s="100" t="s">
        <v>589</v>
      </c>
      <c r="BC16" s="100" t="s">
        <v>589</v>
      </c>
      <c r="BD16" s="158">
        <v>1.0346230319999998</v>
      </c>
      <c r="BE16" s="158">
        <v>1.339550171</v>
      </c>
      <c r="BF16" s="162">
        <v>1388</v>
      </c>
      <c r="BG16" s="162">
        <v>36</v>
      </c>
      <c r="BH16" s="162">
        <v>2051</v>
      </c>
      <c r="BI16" s="162">
        <v>1342</v>
      </c>
      <c r="BJ16" s="162">
        <v>520</v>
      </c>
      <c r="BK16" s="97"/>
      <c r="BL16" s="97"/>
      <c r="BM16" s="97"/>
      <c r="BN16" s="97"/>
    </row>
    <row r="17" spans="1:66" ht="12.75">
      <c r="A17" s="79" t="s">
        <v>592</v>
      </c>
      <c r="B17" s="79" t="s">
        <v>290</v>
      </c>
      <c r="C17" s="79" t="s">
        <v>269</v>
      </c>
      <c r="D17" s="99">
        <v>16110</v>
      </c>
      <c r="E17" s="99">
        <v>3253</v>
      </c>
      <c r="F17" s="99" t="s">
        <v>362</v>
      </c>
      <c r="G17" s="99">
        <v>93</v>
      </c>
      <c r="H17" s="99">
        <v>42</v>
      </c>
      <c r="I17" s="99">
        <v>351</v>
      </c>
      <c r="J17" s="99">
        <v>1849</v>
      </c>
      <c r="K17" s="99">
        <v>35</v>
      </c>
      <c r="L17" s="99">
        <v>3155</v>
      </c>
      <c r="M17" s="99">
        <v>1342</v>
      </c>
      <c r="N17" s="99">
        <v>597</v>
      </c>
      <c r="O17" s="99">
        <v>313</v>
      </c>
      <c r="P17" s="159">
        <v>313</v>
      </c>
      <c r="Q17" s="99">
        <v>36</v>
      </c>
      <c r="R17" s="99">
        <v>76</v>
      </c>
      <c r="S17" s="99">
        <v>77</v>
      </c>
      <c r="T17" s="99">
        <v>43</v>
      </c>
      <c r="U17" s="99">
        <v>13</v>
      </c>
      <c r="V17" s="99">
        <v>56</v>
      </c>
      <c r="W17" s="99">
        <v>128</v>
      </c>
      <c r="X17" s="99">
        <v>85</v>
      </c>
      <c r="Y17" s="99">
        <v>232</v>
      </c>
      <c r="Z17" s="99">
        <v>81</v>
      </c>
      <c r="AA17" s="99" t="s">
        <v>589</v>
      </c>
      <c r="AB17" s="99" t="s">
        <v>589</v>
      </c>
      <c r="AC17" s="99" t="s">
        <v>589</v>
      </c>
      <c r="AD17" s="98" t="s">
        <v>342</v>
      </c>
      <c r="AE17" s="100">
        <v>0.20192427063935445</v>
      </c>
      <c r="AF17" s="100">
        <v>0.09</v>
      </c>
      <c r="AG17" s="98">
        <v>577.2811918063314</v>
      </c>
      <c r="AH17" s="98">
        <v>260.707635009311</v>
      </c>
      <c r="AI17" s="100">
        <v>0.022000000000000002</v>
      </c>
      <c r="AJ17" s="100">
        <v>0.778526</v>
      </c>
      <c r="AK17" s="100">
        <v>0.673077</v>
      </c>
      <c r="AL17" s="100">
        <v>0.815878</v>
      </c>
      <c r="AM17" s="100">
        <v>0.599911</v>
      </c>
      <c r="AN17" s="100">
        <v>0.651036</v>
      </c>
      <c r="AO17" s="98">
        <v>1942.8926132836748</v>
      </c>
      <c r="AP17" s="158">
        <v>0.9252664185</v>
      </c>
      <c r="AQ17" s="100">
        <v>0.11501597444089456</v>
      </c>
      <c r="AR17" s="100">
        <v>0.47368421052631576</v>
      </c>
      <c r="AS17" s="98">
        <v>477.96399751707014</v>
      </c>
      <c r="AT17" s="98">
        <v>266.9149596523898</v>
      </c>
      <c r="AU17" s="98">
        <v>80.69522036002483</v>
      </c>
      <c r="AV17" s="98">
        <v>347.6101800124147</v>
      </c>
      <c r="AW17" s="98">
        <v>794.5375543140906</v>
      </c>
      <c r="AX17" s="98">
        <v>527.6225946617008</v>
      </c>
      <c r="AY17" s="98">
        <v>1440.0993171942894</v>
      </c>
      <c r="AZ17" s="98">
        <v>502.7932960893855</v>
      </c>
      <c r="BA17" s="100" t="s">
        <v>589</v>
      </c>
      <c r="BB17" s="100" t="s">
        <v>589</v>
      </c>
      <c r="BC17" s="100" t="s">
        <v>589</v>
      </c>
      <c r="BD17" s="158">
        <v>0.8255899811</v>
      </c>
      <c r="BE17" s="158">
        <v>1.033661194</v>
      </c>
      <c r="BF17" s="162">
        <v>2375</v>
      </c>
      <c r="BG17" s="162">
        <v>52</v>
      </c>
      <c r="BH17" s="162">
        <v>3867</v>
      </c>
      <c r="BI17" s="162">
        <v>2237</v>
      </c>
      <c r="BJ17" s="162">
        <v>917</v>
      </c>
      <c r="BK17" s="97"/>
      <c r="BL17" s="97"/>
      <c r="BM17" s="97"/>
      <c r="BN17" s="97"/>
    </row>
    <row r="18" spans="1:66" ht="12.75">
      <c r="A18" s="79" t="s">
        <v>528</v>
      </c>
      <c r="B18" s="79" t="s">
        <v>285</v>
      </c>
      <c r="C18" s="79" t="s">
        <v>269</v>
      </c>
      <c r="D18" s="99">
        <v>11871</v>
      </c>
      <c r="E18" s="99">
        <v>3552</v>
      </c>
      <c r="F18" s="99" t="s">
        <v>362</v>
      </c>
      <c r="G18" s="99">
        <v>77</v>
      </c>
      <c r="H18" s="99">
        <v>47</v>
      </c>
      <c r="I18" s="99">
        <v>366</v>
      </c>
      <c r="J18" s="99">
        <v>1491</v>
      </c>
      <c r="K18" s="99">
        <v>19</v>
      </c>
      <c r="L18" s="99">
        <v>2032</v>
      </c>
      <c r="M18" s="99">
        <v>1241</v>
      </c>
      <c r="N18" s="99">
        <v>569</v>
      </c>
      <c r="O18" s="99">
        <v>214</v>
      </c>
      <c r="P18" s="159">
        <v>214</v>
      </c>
      <c r="Q18" s="99">
        <v>41</v>
      </c>
      <c r="R18" s="99">
        <v>96</v>
      </c>
      <c r="S18" s="99">
        <v>45</v>
      </c>
      <c r="T18" s="99">
        <v>21</v>
      </c>
      <c r="U18" s="99">
        <v>7</v>
      </c>
      <c r="V18" s="99">
        <v>55</v>
      </c>
      <c r="W18" s="99">
        <v>77</v>
      </c>
      <c r="X18" s="99">
        <v>74</v>
      </c>
      <c r="Y18" s="99">
        <v>182</v>
      </c>
      <c r="Z18" s="99">
        <v>116</v>
      </c>
      <c r="AA18" s="99" t="s">
        <v>589</v>
      </c>
      <c r="AB18" s="99" t="s">
        <v>589</v>
      </c>
      <c r="AC18" s="99" t="s">
        <v>589</v>
      </c>
      <c r="AD18" s="98" t="s">
        <v>342</v>
      </c>
      <c r="AE18" s="100">
        <v>0.29921657821582004</v>
      </c>
      <c r="AF18" s="100">
        <v>0.09</v>
      </c>
      <c r="AG18" s="98">
        <v>648.6395417403758</v>
      </c>
      <c r="AH18" s="98">
        <v>395.92283716620335</v>
      </c>
      <c r="AI18" s="100">
        <v>0.031</v>
      </c>
      <c r="AJ18" s="100">
        <v>0.786392</v>
      </c>
      <c r="AK18" s="100">
        <v>0.612903</v>
      </c>
      <c r="AL18" s="100">
        <v>0.815737</v>
      </c>
      <c r="AM18" s="100">
        <v>0.623932</v>
      </c>
      <c r="AN18" s="100">
        <v>0.688862</v>
      </c>
      <c r="AO18" s="98">
        <v>1802.712492629096</v>
      </c>
      <c r="AP18" s="158">
        <v>0.7149608612</v>
      </c>
      <c r="AQ18" s="100">
        <v>0.19158878504672897</v>
      </c>
      <c r="AR18" s="100">
        <v>0.4270833333333333</v>
      </c>
      <c r="AS18" s="98">
        <v>379.07505686125853</v>
      </c>
      <c r="AT18" s="98">
        <v>176.90169320192064</v>
      </c>
      <c r="AU18" s="98">
        <v>58.967231067306884</v>
      </c>
      <c r="AV18" s="98">
        <v>463.31395838598263</v>
      </c>
      <c r="AW18" s="98">
        <v>648.6395417403758</v>
      </c>
      <c r="AX18" s="98">
        <v>623.3678712829585</v>
      </c>
      <c r="AY18" s="98">
        <v>1533.148007749979</v>
      </c>
      <c r="AZ18" s="98">
        <v>977.1712576867998</v>
      </c>
      <c r="BA18" s="100" t="s">
        <v>589</v>
      </c>
      <c r="BB18" s="100" t="s">
        <v>589</v>
      </c>
      <c r="BC18" s="100" t="s">
        <v>589</v>
      </c>
      <c r="BD18" s="158">
        <v>0.6223726654</v>
      </c>
      <c r="BE18" s="158">
        <v>0.8174401855000001</v>
      </c>
      <c r="BF18" s="162">
        <v>1896</v>
      </c>
      <c r="BG18" s="162">
        <v>31</v>
      </c>
      <c r="BH18" s="162">
        <v>2491</v>
      </c>
      <c r="BI18" s="162">
        <v>1989</v>
      </c>
      <c r="BJ18" s="162">
        <v>826</v>
      </c>
      <c r="BK18" s="97"/>
      <c r="BL18" s="97"/>
      <c r="BM18" s="97"/>
      <c r="BN18" s="97"/>
    </row>
    <row r="19" spans="1:66" ht="12.75">
      <c r="A19" s="79" t="s">
        <v>541</v>
      </c>
      <c r="B19" s="79" t="s">
        <v>299</v>
      </c>
      <c r="C19" s="79" t="s">
        <v>269</v>
      </c>
      <c r="D19" s="99">
        <v>7998</v>
      </c>
      <c r="E19" s="99">
        <v>1491</v>
      </c>
      <c r="F19" s="99" t="s">
        <v>364</v>
      </c>
      <c r="G19" s="99">
        <v>36</v>
      </c>
      <c r="H19" s="99">
        <v>15</v>
      </c>
      <c r="I19" s="99">
        <v>177</v>
      </c>
      <c r="J19" s="99">
        <v>895</v>
      </c>
      <c r="K19" s="99">
        <v>819</v>
      </c>
      <c r="L19" s="99">
        <v>1615</v>
      </c>
      <c r="M19" s="99">
        <v>617</v>
      </c>
      <c r="N19" s="99">
        <v>270</v>
      </c>
      <c r="O19" s="99">
        <v>150</v>
      </c>
      <c r="P19" s="159">
        <v>150</v>
      </c>
      <c r="Q19" s="99">
        <v>23</v>
      </c>
      <c r="R19" s="99">
        <v>49</v>
      </c>
      <c r="S19" s="99">
        <v>50</v>
      </c>
      <c r="T19" s="99">
        <v>16</v>
      </c>
      <c r="U19" s="99">
        <v>8</v>
      </c>
      <c r="V19" s="99">
        <v>38</v>
      </c>
      <c r="W19" s="99">
        <v>72</v>
      </c>
      <c r="X19" s="99">
        <v>51</v>
      </c>
      <c r="Y19" s="99">
        <v>88</v>
      </c>
      <c r="Z19" s="99">
        <v>58</v>
      </c>
      <c r="AA19" s="99" t="s">
        <v>589</v>
      </c>
      <c r="AB19" s="99" t="s">
        <v>589</v>
      </c>
      <c r="AC19" s="99" t="s">
        <v>589</v>
      </c>
      <c r="AD19" s="98" t="s">
        <v>342</v>
      </c>
      <c r="AE19" s="100">
        <v>0.18642160540135033</v>
      </c>
      <c r="AF19" s="100">
        <v>0.09</v>
      </c>
      <c r="AG19" s="98">
        <v>450.112528132033</v>
      </c>
      <c r="AH19" s="98">
        <v>187.5468867216804</v>
      </c>
      <c r="AI19" s="100">
        <v>0.022000000000000002</v>
      </c>
      <c r="AJ19" s="100">
        <v>0.823367</v>
      </c>
      <c r="AK19" s="100">
        <v>0.782983</v>
      </c>
      <c r="AL19" s="100">
        <v>0.786271</v>
      </c>
      <c r="AM19" s="100">
        <v>0.600779</v>
      </c>
      <c r="AN19" s="100">
        <v>0.644391</v>
      </c>
      <c r="AO19" s="98">
        <v>1875.4688672168043</v>
      </c>
      <c r="AP19" s="158">
        <v>0.9457447052000001</v>
      </c>
      <c r="AQ19" s="100">
        <v>0.15333333333333332</v>
      </c>
      <c r="AR19" s="100">
        <v>0.46938775510204084</v>
      </c>
      <c r="AS19" s="98">
        <v>625.1562890722681</v>
      </c>
      <c r="AT19" s="98">
        <v>200.05001250312577</v>
      </c>
      <c r="AU19" s="98">
        <v>100.02500625156289</v>
      </c>
      <c r="AV19" s="98">
        <v>475.1187796949237</v>
      </c>
      <c r="AW19" s="98">
        <v>900.225056264066</v>
      </c>
      <c r="AX19" s="98">
        <v>637.6594148537134</v>
      </c>
      <c r="AY19" s="98">
        <v>1100.275068767192</v>
      </c>
      <c r="AZ19" s="98">
        <v>725.1812953238309</v>
      </c>
      <c r="BA19" s="100" t="s">
        <v>589</v>
      </c>
      <c r="BB19" s="100" t="s">
        <v>589</v>
      </c>
      <c r="BC19" s="100" t="s">
        <v>589</v>
      </c>
      <c r="BD19" s="158">
        <v>0.8004541016000001</v>
      </c>
      <c r="BE19" s="158">
        <v>1.1097820280000001</v>
      </c>
      <c r="BF19" s="162">
        <v>1087</v>
      </c>
      <c r="BG19" s="162">
        <v>1046</v>
      </c>
      <c r="BH19" s="162">
        <v>2054</v>
      </c>
      <c r="BI19" s="162">
        <v>1027</v>
      </c>
      <c r="BJ19" s="162">
        <v>419</v>
      </c>
      <c r="BK19" s="97"/>
      <c r="BL19" s="97"/>
      <c r="BM19" s="97"/>
      <c r="BN19" s="97"/>
    </row>
    <row r="20" spans="1:66" ht="12.75">
      <c r="A20" s="79" t="s">
        <v>551</v>
      </c>
      <c r="B20" s="79" t="s">
        <v>310</v>
      </c>
      <c r="C20" s="79" t="s">
        <v>269</v>
      </c>
      <c r="D20" s="99">
        <v>6399</v>
      </c>
      <c r="E20" s="99">
        <v>1799</v>
      </c>
      <c r="F20" s="99" t="s">
        <v>363</v>
      </c>
      <c r="G20" s="99">
        <v>44</v>
      </c>
      <c r="H20" s="99">
        <v>14</v>
      </c>
      <c r="I20" s="99">
        <v>170</v>
      </c>
      <c r="J20" s="99">
        <v>710</v>
      </c>
      <c r="K20" s="99">
        <v>72</v>
      </c>
      <c r="L20" s="99">
        <v>1117</v>
      </c>
      <c r="M20" s="99">
        <v>565</v>
      </c>
      <c r="N20" s="99">
        <v>236</v>
      </c>
      <c r="O20" s="99">
        <v>223</v>
      </c>
      <c r="P20" s="159">
        <v>223</v>
      </c>
      <c r="Q20" s="99">
        <v>25</v>
      </c>
      <c r="R20" s="99">
        <v>42</v>
      </c>
      <c r="S20" s="99">
        <v>30</v>
      </c>
      <c r="T20" s="99">
        <v>25</v>
      </c>
      <c r="U20" s="99" t="s">
        <v>589</v>
      </c>
      <c r="V20" s="99">
        <v>56</v>
      </c>
      <c r="W20" s="99">
        <v>50</v>
      </c>
      <c r="X20" s="99">
        <v>79</v>
      </c>
      <c r="Y20" s="99">
        <v>178</v>
      </c>
      <c r="Z20" s="99">
        <v>57</v>
      </c>
      <c r="AA20" s="99" t="s">
        <v>589</v>
      </c>
      <c r="AB20" s="99" t="s">
        <v>589</v>
      </c>
      <c r="AC20" s="99" t="s">
        <v>589</v>
      </c>
      <c r="AD20" s="98" t="s">
        <v>342</v>
      </c>
      <c r="AE20" s="100">
        <v>0.2811376777621503</v>
      </c>
      <c r="AF20" s="100">
        <v>0.13</v>
      </c>
      <c r="AG20" s="98">
        <v>687.607438662291</v>
      </c>
      <c r="AH20" s="98">
        <v>218.78418502891077</v>
      </c>
      <c r="AI20" s="100">
        <v>0.027000000000000003</v>
      </c>
      <c r="AJ20" s="100">
        <v>0.746583</v>
      </c>
      <c r="AK20" s="100">
        <v>0.672897</v>
      </c>
      <c r="AL20" s="100">
        <v>0.813547</v>
      </c>
      <c r="AM20" s="100">
        <v>0.586708</v>
      </c>
      <c r="AN20" s="100">
        <v>0.592965</v>
      </c>
      <c r="AO20" s="98">
        <v>3484.919518674793</v>
      </c>
      <c r="AP20" s="158">
        <v>1.43908905</v>
      </c>
      <c r="AQ20" s="100">
        <v>0.11210762331838565</v>
      </c>
      <c r="AR20" s="100">
        <v>0.5952380952380952</v>
      </c>
      <c r="AS20" s="98">
        <v>468.8232536333802</v>
      </c>
      <c r="AT20" s="98">
        <v>390.6860446944835</v>
      </c>
      <c r="AU20" s="98" t="s">
        <v>589</v>
      </c>
      <c r="AV20" s="98">
        <v>875.1367401156431</v>
      </c>
      <c r="AW20" s="98">
        <v>781.372089388967</v>
      </c>
      <c r="AX20" s="98">
        <v>1234.567901234568</v>
      </c>
      <c r="AY20" s="98">
        <v>2781.6846382247227</v>
      </c>
      <c r="AZ20" s="98">
        <v>890.7641819034224</v>
      </c>
      <c r="BA20" s="100" t="s">
        <v>589</v>
      </c>
      <c r="BB20" s="100" t="s">
        <v>589</v>
      </c>
      <c r="BC20" s="100" t="s">
        <v>589</v>
      </c>
      <c r="BD20" s="158">
        <v>1.25639473</v>
      </c>
      <c r="BE20" s="158">
        <v>1.6408804319999999</v>
      </c>
      <c r="BF20" s="162">
        <v>951</v>
      </c>
      <c r="BG20" s="162">
        <v>107</v>
      </c>
      <c r="BH20" s="162">
        <v>1373</v>
      </c>
      <c r="BI20" s="162">
        <v>963</v>
      </c>
      <c r="BJ20" s="162">
        <v>398</v>
      </c>
      <c r="BK20" s="97"/>
      <c r="BL20" s="97"/>
      <c r="BM20" s="97"/>
      <c r="BN20" s="97"/>
    </row>
    <row r="21" spans="1:66" ht="12.75">
      <c r="A21" s="79" t="s">
        <v>574</v>
      </c>
      <c r="B21" s="79" t="s">
        <v>333</v>
      </c>
      <c r="C21" s="79" t="s">
        <v>269</v>
      </c>
      <c r="D21" s="99">
        <v>3514</v>
      </c>
      <c r="E21" s="99">
        <v>721</v>
      </c>
      <c r="F21" s="99" t="s">
        <v>362</v>
      </c>
      <c r="G21" s="99">
        <v>19</v>
      </c>
      <c r="H21" s="99">
        <v>9</v>
      </c>
      <c r="I21" s="99">
        <v>79</v>
      </c>
      <c r="J21" s="99">
        <v>326</v>
      </c>
      <c r="K21" s="99">
        <v>11</v>
      </c>
      <c r="L21" s="99">
        <v>681</v>
      </c>
      <c r="M21" s="99">
        <v>251</v>
      </c>
      <c r="N21" s="99">
        <v>110</v>
      </c>
      <c r="O21" s="99">
        <v>28</v>
      </c>
      <c r="P21" s="159">
        <v>28</v>
      </c>
      <c r="Q21" s="99" t="s">
        <v>589</v>
      </c>
      <c r="R21" s="99">
        <v>12</v>
      </c>
      <c r="S21" s="99">
        <v>10</v>
      </c>
      <c r="T21" s="99" t="s">
        <v>589</v>
      </c>
      <c r="U21" s="99" t="s">
        <v>589</v>
      </c>
      <c r="V21" s="99" t="s">
        <v>589</v>
      </c>
      <c r="W21" s="99">
        <v>22</v>
      </c>
      <c r="X21" s="99">
        <v>27</v>
      </c>
      <c r="Y21" s="99">
        <v>37</v>
      </c>
      <c r="Z21" s="99">
        <v>24</v>
      </c>
      <c r="AA21" s="99" t="s">
        <v>589</v>
      </c>
      <c r="AB21" s="99" t="s">
        <v>589</v>
      </c>
      <c r="AC21" s="99" t="s">
        <v>589</v>
      </c>
      <c r="AD21" s="98" t="s">
        <v>342</v>
      </c>
      <c r="AE21" s="100">
        <v>0.2051792828685259</v>
      </c>
      <c r="AF21" s="100">
        <v>0.11</v>
      </c>
      <c r="AG21" s="98">
        <v>540.6943653955606</v>
      </c>
      <c r="AH21" s="98">
        <v>256.11838360842347</v>
      </c>
      <c r="AI21" s="100">
        <v>0.022000000000000002</v>
      </c>
      <c r="AJ21" s="100">
        <v>0.679167</v>
      </c>
      <c r="AK21" s="100">
        <v>0.846154</v>
      </c>
      <c r="AL21" s="100">
        <v>0.799296</v>
      </c>
      <c r="AM21" s="100">
        <v>0.561521</v>
      </c>
      <c r="AN21" s="100">
        <v>0.56701</v>
      </c>
      <c r="AO21" s="98">
        <v>796.8127490039841</v>
      </c>
      <c r="AP21" s="158">
        <v>0.3828134918</v>
      </c>
      <c r="AQ21" s="100" t="s">
        <v>589</v>
      </c>
      <c r="AR21" s="100" t="s">
        <v>589</v>
      </c>
      <c r="AS21" s="98">
        <v>284.57598178713715</v>
      </c>
      <c r="AT21" s="98" t="s">
        <v>589</v>
      </c>
      <c r="AU21" s="98" t="s">
        <v>589</v>
      </c>
      <c r="AV21" s="98" t="s">
        <v>589</v>
      </c>
      <c r="AW21" s="98">
        <v>626.0671599317018</v>
      </c>
      <c r="AX21" s="98">
        <v>768.3551508252704</v>
      </c>
      <c r="AY21" s="98">
        <v>1052.9311326124075</v>
      </c>
      <c r="AZ21" s="98">
        <v>682.9823562891291</v>
      </c>
      <c r="BA21" s="100" t="s">
        <v>589</v>
      </c>
      <c r="BB21" s="100" t="s">
        <v>589</v>
      </c>
      <c r="BC21" s="100" t="s">
        <v>589</v>
      </c>
      <c r="BD21" s="158">
        <v>0.2543767929</v>
      </c>
      <c r="BE21" s="158">
        <v>0.5532720947</v>
      </c>
      <c r="BF21" s="162">
        <v>480</v>
      </c>
      <c r="BG21" s="162">
        <v>13</v>
      </c>
      <c r="BH21" s="162">
        <v>852</v>
      </c>
      <c r="BI21" s="162">
        <v>447</v>
      </c>
      <c r="BJ21" s="162">
        <v>194</v>
      </c>
      <c r="BK21" s="97"/>
      <c r="BL21" s="97"/>
      <c r="BM21" s="97"/>
      <c r="BN21" s="97"/>
    </row>
    <row r="22" spans="1:66" ht="12.75">
      <c r="A22" s="79" t="s">
        <v>562</v>
      </c>
      <c r="B22" s="79" t="s">
        <v>321</v>
      </c>
      <c r="C22" s="79" t="s">
        <v>269</v>
      </c>
      <c r="D22" s="99">
        <v>11770</v>
      </c>
      <c r="E22" s="99">
        <v>2671</v>
      </c>
      <c r="F22" s="99" t="s">
        <v>364</v>
      </c>
      <c r="G22" s="99">
        <v>72</v>
      </c>
      <c r="H22" s="99">
        <v>34</v>
      </c>
      <c r="I22" s="99">
        <v>344</v>
      </c>
      <c r="J22" s="99">
        <v>1288</v>
      </c>
      <c r="K22" s="99">
        <v>1162</v>
      </c>
      <c r="L22" s="99">
        <v>2233</v>
      </c>
      <c r="M22" s="99">
        <v>861</v>
      </c>
      <c r="N22" s="99">
        <v>379</v>
      </c>
      <c r="O22" s="99">
        <v>295</v>
      </c>
      <c r="P22" s="159">
        <v>295</v>
      </c>
      <c r="Q22" s="99">
        <v>31</v>
      </c>
      <c r="R22" s="99">
        <v>66</v>
      </c>
      <c r="S22" s="99">
        <v>60</v>
      </c>
      <c r="T22" s="99">
        <v>67</v>
      </c>
      <c r="U22" s="99">
        <v>9</v>
      </c>
      <c r="V22" s="99">
        <v>54</v>
      </c>
      <c r="W22" s="99">
        <v>50</v>
      </c>
      <c r="X22" s="99">
        <v>90</v>
      </c>
      <c r="Y22" s="99">
        <v>140</v>
      </c>
      <c r="Z22" s="99">
        <v>82</v>
      </c>
      <c r="AA22" s="99" t="s">
        <v>589</v>
      </c>
      <c r="AB22" s="99" t="s">
        <v>589</v>
      </c>
      <c r="AC22" s="99" t="s">
        <v>589</v>
      </c>
      <c r="AD22" s="98" t="s">
        <v>342</v>
      </c>
      <c r="AE22" s="100">
        <v>0.22693288020390825</v>
      </c>
      <c r="AF22" s="100">
        <v>0.08</v>
      </c>
      <c r="AG22" s="98">
        <v>611.7247238742566</v>
      </c>
      <c r="AH22" s="98">
        <v>288.8700084961767</v>
      </c>
      <c r="AI22" s="100">
        <v>0.028999999999999998</v>
      </c>
      <c r="AJ22" s="100">
        <v>0.822478</v>
      </c>
      <c r="AK22" s="100">
        <v>0.779866</v>
      </c>
      <c r="AL22" s="100">
        <v>0.811115</v>
      </c>
      <c r="AM22" s="100">
        <v>0.611072</v>
      </c>
      <c r="AN22" s="100">
        <v>0.661431</v>
      </c>
      <c r="AO22" s="98">
        <v>2506.3721325403567</v>
      </c>
      <c r="AP22" s="158">
        <v>1.162161636</v>
      </c>
      <c r="AQ22" s="100">
        <v>0.10508474576271186</v>
      </c>
      <c r="AR22" s="100">
        <v>0.4696969696969697</v>
      </c>
      <c r="AS22" s="98">
        <v>509.77060322854715</v>
      </c>
      <c r="AT22" s="98">
        <v>569.2438402718776</v>
      </c>
      <c r="AU22" s="98">
        <v>76.46559048428207</v>
      </c>
      <c r="AV22" s="98">
        <v>458.79354290569245</v>
      </c>
      <c r="AW22" s="98">
        <v>424.8088360237893</v>
      </c>
      <c r="AX22" s="98">
        <v>764.6559048428207</v>
      </c>
      <c r="AY22" s="98">
        <v>1189.46474086661</v>
      </c>
      <c r="AZ22" s="98">
        <v>696.6864910790144</v>
      </c>
      <c r="BA22" s="100" t="s">
        <v>589</v>
      </c>
      <c r="BB22" s="100" t="s">
        <v>589</v>
      </c>
      <c r="BC22" s="100" t="s">
        <v>589</v>
      </c>
      <c r="BD22" s="158">
        <v>1.033313141</v>
      </c>
      <c r="BE22" s="158">
        <v>1.3026351930000002</v>
      </c>
      <c r="BF22" s="162">
        <v>1566</v>
      </c>
      <c r="BG22" s="162">
        <v>1490</v>
      </c>
      <c r="BH22" s="162">
        <v>2753</v>
      </c>
      <c r="BI22" s="162">
        <v>1409</v>
      </c>
      <c r="BJ22" s="162">
        <v>573</v>
      </c>
      <c r="BK22" s="97"/>
      <c r="BL22" s="97"/>
      <c r="BM22" s="97"/>
      <c r="BN22" s="97"/>
    </row>
    <row r="23" spans="1:66" ht="12.75">
      <c r="A23" s="79" t="s">
        <v>580</v>
      </c>
      <c r="B23" s="79" t="s">
        <v>339</v>
      </c>
      <c r="C23" s="79" t="s">
        <v>269</v>
      </c>
      <c r="D23" s="99">
        <v>4590</v>
      </c>
      <c r="E23" s="99">
        <v>1209</v>
      </c>
      <c r="F23" s="99" t="s">
        <v>362</v>
      </c>
      <c r="G23" s="99">
        <v>34</v>
      </c>
      <c r="H23" s="99">
        <v>16</v>
      </c>
      <c r="I23" s="99">
        <v>144</v>
      </c>
      <c r="J23" s="99">
        <v>525</v>
      </c>
      <c r="K23" s="99">
        <v>478</v>
      </c>
      <c r="L23" s="99">
        <v>842</v>
      </c>
      <c r="M23" s="99">
        <v>436</v>
      </c>
      <c r="N23" s="99">
        <v>208</v>
      </c>
      <c r="O23" s="99">
        <v>98</v>
      </c>
      <c r="P23" s="159">
        <v>98</v>
      </c>
      <c r="Q23" s="99">
        <v>11</v>
      </c>
      <c r="R23" s="99">
        <v>28</v>
      </c>
      <c r="S23" s="99">
        <v>18</v>
      </c>
      <c r="T23" s="99">
        <v>15</v>
      </c>
      <c r="U23" s="99" t="s">
        <v>589</v>
      </c>
      <c r="V23" s="99">
        <v>23</v>
      </c>
      <c r="W23" s="99">
        <v>29</v>
      </c>
      <c r="X23" s="99">
        <v>27</v>
      </c>
      <c r="Y23" s="99">
        <v>80</v>
      </c>
      <c r="Z23" s="99">
        <v>41</v>
      </c>
      <c r="AA23" s="99" t="s">
        <v>589</v>
      </c>
      <c r="AB23" s="99" t="s">
        <v>589</v>
      </c>
      <c r="AC23" s="99" t="s">
        <v>589</v>
      </c>
      <c r="AD23" s="98" t="s">
        <v>342</v>
      </c>
      <c r="AE23" s="100">
        <v>0.2633986928104575</v>
      </c>
      <c r="AF23" s="100">
        <v>0.09</v>
      </c>
      <c r="AG23" s="98">
        <v>740.7407407407408</v>
      </c>
      <c r="AH23" s="98">
        <v>348.5838779956427</v>
      </c>
      <c r="AI23" s="100">
        <v>0.031</v>
      </c>
      <c r="AJ23" s="100">
        <v>0.797872</v>
      </c>
      <c r="AK23" s="100">
        <v>0.773463</v>
      </c>
      <c r="AL23" s="100">
        <v>0.79509</v>
      </c>
      <c r="AM23" s="100">
        <v>0.654655</v>
      </c>
      <c r="AN23" s="100">
        <v>0.722222</v>
      </c>
      <c r="AO23" s="98">
        <v>2135.0762527233114</v>
      </c>
      <c r="AP23" s="158">
        <v>0.9212857056</v>
      </c>
      <c r="AQ23" s="100">
        <v>0.11224489795918367</v>
      </c>
      <c r="AR23" s="100">
        <v>0.39285714285714285</v>
      </c>
      <c r="AS23" s="98">
        <v>392.15686274509807</v>
      </c>
      <c r="AT23" s="98">
        <v>326.797385620915</v>
      </c>
      <c r="AU23" s="98" t="s">
        <v>589</v>
      </c>
      <c r="AV23" s="98">
        <v>501.0893246187364</v>
      </c>
      <c r="AW23" s="98">
        <v>631.8082788671024</v>
      </c>
      <c r="AX23" s="98">
        <v>588.2352941176471</v>
      </c>
      <c r="AY23" s="98">
        <v>1742.9193899782135</v>
      </c>
      <c r="AZ23" s="98">
        <v>893.2461873638345</v>
      </c>
      <c r="BA23" s="100" t="s">
        <v>589</v>
      </c>
      <c r="BB23" s="100" t="s">
        <v>589</v>
      </c>
      <c r="BC23" s="100" t="s">
        <v>589</v>
      </c>
      <c r="BD23" s="158">
        <v>0.7479442596</v>
      </c>
      <c r="BE23" s="158">
        <v>1.122752151</v>
      </c>
      <c r="BF23" s="162">
        <v>658</v>
      </c>
      <c r="BG23" s="162">
        <v>618</v>
      </c>
      <c r="BH23" s="162">
        <v>1059</v>
      </c>
      <c r="BI23" s="162">
        <v>666</v>
      </c>
      <c r="BJ23" s="162">
        <v>288</v>
      </c>
      <c r="BK23" s="97"/>
      <c r="BL23" s="97"/>
      <c r="BM23" s="97"/>
      <c r="BN23" s="97"/>
    </row>
    <row r="24" spans="1:66" ht="12.75">
      <c r="A24" s="79" t="s">
        <v>538</v>
      </c>
      <c r="B24" s="79" t="s">
        <v>296</v>
      </c>
      <c r="C24" s="79" t="s">
        <v>269</v>
      </c>
      <c r="D24" s="99">
        <v>9976</v>
      </c>
      <c r="E24" s="99">
        <v>4533</v>
      </c>
      <c r="F24" s="99" t="s">
        <v>364</v>
      </c>
      <c r="G24" s="99">
        <v>93</v>
      </c>
      <c r="H24" s="99">
        <v>44</v>
      </c>
      <c r="I24" s="99">
        <v>382</v>
      </c>
      <c r="J24" s="99">
        <v>1314</v>
      </c>
      <c r="K24" s="99">
        <v>1209</v>
      </c>
      <c r="L24" s="99">
        <v>1462</v>
      </c>
      <c r="M24" s="99">
        <v>1221</v>
      </c>
      <c r="N24" s="99">
        <v>515</v>
      </c>
      <c r="O24" s="99">
        <v>358</v>
      </c>
      <c r="P24" s="159">
        <v>358</v>
      </c>
      <c r="Q24" s="99">
        <v>52</v>
      </c>
      <c r="R24" s="99">
        <v>99</v>
      </c>
      <c r="S24" s="99">
        <v>36</v>
      </c>
      <c r="T24" s="99">
        <v>76</v>
      </c>
      <c r="U24" s="99">
        <v>20</v>
      </c>
      <c r="V24" s="99">
        <v>80</v>
      </c>
      <c r="W24" s="99">
        <v>121</v>
      </c>
      <c r="X24" s="99">
        <v>98</v>
      </c>
      <c r="Y24" s="99">
        <v>281</v>
      </c>
      <c r="Z24" s="99">
        <v>133</v>
      </c>
      <c r="AA24" s="99" t="s">
        <v>589</v>
      </c>
      <c r="AB24" s="99" t="s">
        <v>589</v>
      </c>
      <c r="AC24" s="99" t="s">
        <v>589</v>
      </c>
      <c r="AD24" s="98" t="s">
        <v>342</v>
      </c>
      <c r="AE24" s="100">
        <v>0.4543905372894948</v>
      </c>
      <c r="AF24" s="100">
        <v>0.07</v>
      </c>
      <c r="AG24" s="98">
        <v>932.2373696872494</v>
      </c>
      <c r="AH24" s="98">
        <v>441.0585404971933</v>
      </c>
      <c r="AI24" s="100">
        <v>0.038</v>
      </c>
      <c r="AJ24" s="100">
        <v>0.80122</v>
      </c>
      <c r="AK24" s="100">
        <v>0.787109</v>
      </c>
      <c r="AL24" s="100">
        <v>0.809524</v>
      </c>
      <c r="AM24" s="100">
        <v>0.648089</v>
      </c>
      <c r="AN24" s="100">
        <v>0.687583</v>
      </c>
      <c r="AO24" s="98">
        <v>3588.6126704089816</v>
      </c>
      <c r="AP24" s="158">
        <v>1.126528473</v>
      </c>
      <c r="AQ24" s="100">
        <v>0.1452513966480447</v>
      </c>
      <c r="AR24" s="100">
        <v>0.5252525252525253</v>
      </c>
      <c r="AS24" s="98">
        <v>360.86607858861265</v>
      </c>
      <c r="AT24" s="98">
        <v>761.8283881315157</v>
      </c>
      <c r="AU24" s="98">
        <v>200.4811547714515</v>
      </c>
      <c r="AV24" s="98">
        <v>801.924619085806</v>
      </c>
      <c r="AW24" s="98">
        <v>1212.9109863672816</v>
      </c>
      <c r="AX24" s="98">
        <v>982.3576583801123</v>
      </c>
      <c r="AY24" s="98">
        <v>2816.7602245388935</v>
      </c>
      <c r="AZ24" s="98">
        <v>1333.1996792301525</v>
      </c>
      <c r="BA24" s="100" t="s">
        <v>589</v>
      </c>
      <c r="BB24" s="100" t="s">
        <v>589</v>
      </c>
      <c r="BC24" s="100" t="s">
        <v>589</v>
      </c>
      <c r="BD24" s="158">
        <v>1.012842789</v>
      </c>
      <c r="BE24" s="158">
        <v>1.249483414</v>
      </c>
      <c r="BF24" s="162">
        <v>1640</v>
      </c>
      <c r="BG24" s="162">
        <v>1536</v>
      </c>
      <c r="BH24" s="162">
        <v>1806</v>
      </c>
      <c r="BI24" s="162">
        <v>1884</v>
      </c>
      <c r="BJ24" s="162">
        <v>749</v>
      </c>
      <c r="BK24" s="97"/>
      <c r="BL24" s="97"/>
      <c r="BM24" s="97"/>
      <c r="BN24" s="97"/>
    </row>
    <row r="25" spans="1:66" ht="12.75">
      <c r="A25" s="79" t="s">
        <v>581</v>
      </c>
      <c r="B25" s="79" t="s">
        <v>340</v>
      </c>
      <c r="C25" s="79" t="s">
        <v>269</v>
      </c>
      <c r="D25" s="99">
        <v>1966</v>
      </c>
      <c r="E25" s="99">
        <v>708</v>
      </c>
      <c r="F25" s="99" t="s">
        <v>362</v>
      </c>
      <c r="G25" s="99">
        <v>20</v>
      </c>
      <c r="H25" s="99">
        <v>10</v>
      </c>
      <c r="I25" s="99">
        <v>65</v>
      </c>
      <c r="J25" s="99">
        <v>255</v>
      </c>
      <c r="K25" s="99" t="s">
        <v>589</v>
      </c>
      <c r="L25" s="99">
        <v>313</v>
      </c>
      <c r="M25" s="99">
        <v>230</v>
      </c>
      <c r="N25" s="99">
        <v>104</v>
      </c>
      <c r="O25" s="99">
        <v>49</v>
      </c>
      <c r="P25" s="159">
        <v>49</v>
      </c>
      <c r="Q25" s="99">
        <v>10</v>
      </c>
      <c r="R25" s="99">
        <v>21</v>
      </c>
      <c r="S25" s="99">
        <v>12</v>
      </c>
      <c r="T25" s="99">
        <v>8</v>
      </c>
      <c r="U25" s="99" t="s">
        <v>589</v>
      </c>
      <c r="V25" s="99">
        <v>7</v>
      </c>
      <c r="W25" s="99">
        <v>18</v>
      </c>
      <c r="X25" s="99">
        <v>6</v>
      </c>
      <c r="Y25" s="99">
        <v>34</v>
      </c>
      <c r="Z25" s="99">
        <v>18</v>
      </c>
      <c r="AA25" s="99" t="s">
        <v>589</v>
      </c>
      <c r="AB25" s="99" t="s">
        <v>589</v>
      </c>
      <c r="AC25" s="99" t="s">
        <v>589</v>
      </c>
      <c r="AD25" s="98" t="s">
        <v>342</v>
      </c>
      <c r="AE25" s="100">
        <v>0.36012207527975587</v>
      </c>
      <c r="AF25" s="100">
        <v>0.1</v>
      </c>
      <c r="AG25" s="98">
        <v>1017.293997965412</v>
      </c>
      <c r="AH25" s="98">
        <v>508.646998982706</v>
      </c>
      <c r="AI25" s="100">
        <v>0.033</v>
      </c>
      <c r="AJ25" s="100">
        <v>0.724432</v>
      </c>
      <c r="AK25" s="100" t="s">
        <v>589</v>
      </c>
      <c r="AL25" s="100">
        <v>0.792405</v>
      </c>
      <c r="AM25" s="100">
        <v>0.600522</v>
      </c>
      <c r="AN25" s="100">
        <v>0.630303</v>
      </c>
      <c r="AO25" s="98">
        <v>2492.370295015259</v>
      </c>
      <c r="AP25" s="158">
        <v>0.8861591339</v>
      </c>
      <c r="AQ25" s="100">
        <v>0.20408163265306123</v>
      </c>
      <c r="AR25" s="100">
        <v>0.47619047619047616</v>
      </c>
      <c r="AS25" s="98">
        <v>610.3763987792472</v>
      </c>
      <c r="AT25" s="98">
        <v>406.9175991861648</v>
      </c>
      <c r="AU25" s="98" t="s">
        <v>589</v>
      </c>
      <c r="AV25" s="98">
        <v>356.0528992878942</v>
      </c>
      <c r="AW25" s="98">
        <v>915.5645981688708</v>
      </c>
      <c r="AX25" s="98">
        <v>305.1881993896236</v>
      </c>
      <c r="AY25" s="98">
        <v>1729.3997965412004</v>
      </c>
      <c r="AZ25" s="98">
        <v>915.5645981688708</v>
      </c>
      <c r="BA25" s="100" t="s">
        <v>589</v>
      </c>
      <c r="BB25" s="100" t="s">
        <v>589</v>
      </c>
      <c r="BC25" s="100" t="s">
        <v>589</v>
      </c>
      <c r="BD25" s="158">
        <v>0.6555854033999999</v>
      </c>
      <c r="BE25" s="158">
        <v>1.171549377</v>
      </c>
      <c r="BF25" s="162">
        <v>352</v>
      </c>
      <c r="BG25" s="162" t="s">
        <v>589</v>
      </c>
      <c r="BH25" s="162">
        <v>395</v>
      </c>
      <c r="BI25" s="162">
        <v>383</v>
      </c>
      <c r="BJ25" s="162">
        <v>165</v>
      </c>
      <c r="BK25" s="97"/>
      <c r="BL25" s="97"/>
      <c r="BM25" s="97"/>
      <c r="BN25" s="97"/>
    </row>
    <row r="26" spans="1:66" ht="12.75">
      <c r="A26" s="79" t="s">
        <v>567</v>
      </c>
      <c r="B26" s="79" t="s">
        <v>326</v>
      </c>
      <c r="C26" s="79" t="s">
        <v>269</v>
      </c>
      <c r="D26" s="99">
        <v>2763</v>
      </c>
      <c r="E26" s="99">
        <v>826</v>
      </c>
      <c r="F26" s="99" t="s">
        <v>364</v>
      </c>
      <c r="G26" s="99">
        <v>20</v>
      </c>
      <c r="H26" s="99">
        <v>13</v>
      </c>
      <c r="I26" s="99">
        <v>98</v>
      </c>
      <c r="J26" s="99">
        <v>421</v>
      </c>
      <c r="K26" s="99">
        <v>394</v>
      </c>
      <c r="L26" s="99">
        <v>522</v>
      </c>
      <c r="M26" s="99">
        <v>346</v>
      </c>
      <c r="N26" s="99">
        <v>162</v>
      </c>
      <c r="O26" s="99">
        <v>73</v>
      </c>
      <c r="P26" s="159">
        <v>73</v>
      </c>
      <c r="Q26" s="99">
        <v>10</v>
      </c>
      <c r="R26" s="99">
        <v>18</v>
      </c>
      <c r="S26" s="99">
        <v>10</v>
      </c>
      <c r="T26" s="99">
        <v>12</v>
      </c>
      <c r="U26" s="99" t="s">
        <v>589</v>
      </c>
      <c r="V26" s="99">
        <v>17</v>
      </c>
      <c r="W26" s="99">
        <v>28</v>
      </c>
      <c r="X26" s="99">
        <v>23</v>
      </c>
      <c r="Y26" s="99">
        <v>58</v>
      </c>
      <c r="Z26" s="99">
        <v>25</v>
      </c>
      <c r="AA26" s="99" t="s">
        <v>589</v>
      </c>
      <c r="AB26" s="99" t="s">
        <v>589</v>
      </c>
      <c r="AC26" s="99" t="s">
        <v>589</v>
      </c>
      <c r="AD26" s="98" t="s">
        <v>342</v>
      </c>
      <c r="AE26" s="100">
        <v>0.2989504162142599</v>
      </c>
      <c r="AF26" s="100">
        <v>0.09</v>
      </c>
      <c r="AG26" s="98">
        <v>723.8508867173363</v>
      </c>
      <c r="AH26" s="98">
        <v>470.50307636626854</v>
      </c>
      <c r="AI26" s="100">
        <v>0.035</v>
      </c>
      <c r="AJ26" s="100">
        <v>0.811175</v>
      </c>
      <c r="AK26" s="100">
        <v>0.791165</v>
      </c>
      <c r="AL26" s="100">
        <v>0.861386</v>
      </c>
      <c r="AM26" s="100">
        <v>0.630237</v>
      </c>
      <c r="AN26" s="100">
        <v>0.726457</v>
      </c>
      <c r="AO26" s="98">
        <v>2642.055736518277</v>
      </c>
      <c r="AP26" s="158">
        <v>1.002620926</v>
      </c>
      <c r="AQ26" s="100">
        <v>0.136986301369863</v>
      </c>
      <c r="AR26" s="100">
        <v>0.5555555555555556</v>
      </c>
      <c r="AS26" s="98">
        <v>361.92544335866813</v>
      </c>
      <c r="AT26" s="98">
        <v>434.31053203040176</v>
      </c>
      <c r="AU26" s="98" t="s">
        <v>589</v>
      </c>
      <c r="AV26" s="98">
        <v>615.2732537097357</v>
      </c>
      <c r="AW26" s="98">
        <v>1013.3912414042708</v>
      </c>
      <c r="AX26" s="98">
        <v>832.4285197249367</v>
      </c>
      <c r="AY26" s="98">
        <v>2099.167571480275</v>
      </c>
      <c r="AZ26" s="98">
        <v>904.8136083966702</v>
      </c>
      <c r="BA26" s="100" t="s">
        <v>589</v>
      </c>
      <c r="BB26" s="100" t="s">
        <v>589</v>
      </c>
      <c r="BC26" s="100" t="s">
        <v>589</v>
      </c>
      <c r="BD26" s="158">
        <v>0.7858946991000001</v>
      </c>
      <c r="BE26" s="158">
        <v>1.2606452179999998</v>
      </c>
      <c r="BF26" s="162">
        <v>519</v>
      </c>
      <c r="BG26" s="162">
        <v>498</v>
      </c>
      <c r="BH26" s="162">
        <v>606</v>
      </c>
      <c r="BI26" s="162">
        <v>549</v>
      </c>
      <c r="BJ26" s="162">
        <v>223</v>
      </c>
      <c r="BK26" s="97"/>
      <c r="BL26" s="97"/>
      <c r="BM26" s="97"/>
      <c r="BN26" s="97"/>
    </row>
    <row r="27" spans="1:66" ht="12.75">
      <c r="A27" s="79" t="s">
        <v>544</v>
      </c>
      <c r="B27" s="79" t="s">
        <v>302</v>
      </c>
      <c r="C27" s="79" t="s">
        <v>269</v>
      </c>
      <c r="D27" s="99">
        <v>3484</v>
      </c>
      <c r="E27" s="99">
        <v>774</v>
      </c>
      <c r="F27" s="99" t="s">
        <v>364</v>
      </c>
      <c r="G27" s="99">
        <v>21</v>
      </c>
      <c r="H27" s="99">
        <v>11</v>
      </c>
      <c r="I27" s="99">
        <v>80</v>
      </c>
      <c r="J27" s="99">
        <v>400</v>
      </c>
      <c r="K27" s="99">
        <v>7</v>
      </c>
      <c r="L27" s="99">
        <v>634</v>
      </c>
      <c r="M27" s="99">
        <v>349</v>
      </c>
      <c r="N27" s="99">
        <v>165</v>
      </c>
      <c r="O27" s="99">
        <v>49</v>
      </c>
      <c r="P27" s="159">
        <v>49</v>
      </c>
      <c r="Q27" s="99" t="s">
        <v>589</v>
      </c>
      <c r="R27" s="99">
        <v>12</v>
      </c>
      <c r="S27" s="99">
        <v>13</v>
      </c>
      <c r="T27" s="99" t="s">
        <v>589</v>
      </c>
      <c r="U27" s="99" t="s">
        <v>589</v>
      </c>
      <c r="V27" s="99">
        <v>8</v>
      </c>
      <c r="W27" s="99">
        <v>34</v>
      </c>
      <c r="X27" s="99">
        <v>19</v>
      </c>
      <c r="Y27" s="99">
        <v>66</v>
      </c>
      <c r="Z27" s="99">
        <v>27</v>
      </c>
      <c r="AA27" s="99" t="s">
        <v>589</v>
      </c>
      <c r="AB27" s="99" t="s">
        <v>589</v>
      </c>
      <c r="AC27" s="99" t="s">
        <v>589</v>
      </c>
      <c r="AD27" s="98" t="s">
        <v>342</v>
      </c>
      <c r="AE27" s="100">
        <v>0.22215843857634904</v>
      </c>
      <c r="AF27" s="100">
        <v>0.08</v>
      </c>
      <c r="AG27" s="98">
        <v>602.7554535017222</v>
      </c>
      <c r="AH27" s="98">
        <v>315.7290470723307</v>
      </c>
      <c r="AI27" s="100">
        <v>0.023</v>
      </c>
      <c r="AJ27" s="100">
        <v>0.728597</v>
      </c>
      <c r="AK27" s="100">
        <v>0.583333</v>
      </c>
      <c r="AL27" s="100">
        <v>0.803549</v>
      </c>
      <c r="AM27" s="100">
        <v>0.620996</v>
      </c>
      <c r="AN27" s="100">
        <v>0.730088</v>
      </c>
      <c r="AO27" s="98">
        <v>1406.4293915040184</v>
      </c>
      <c r="AP27" s="158">
        <v>0.6448491669</v>
      </c>
      <c r="AQ27" s="100" t="s">
        <v>589</v>
      </c>
      <c r="AR27" s="100" t="s">
        <v>589</v>
      </c>
      <c r="AS27" s="98">
        <v>373.13432835820896</v>
      </c>
      <c r="AT27" s="98" t="s">
        <v>589</v>
      </c>
      <c r="AU27" s="98" t="s">
        <v>589</v>
      </c>
      <c r="AV27" s="98">
        <v>229.6211251435132</v>
      </c>
      <c r="AW27" s="98">
        <v>975.8897818599311</v>
      </c>
      <c r="AX27" s="98">
        <v>545.3501722158438</v>
      </c>
      <c r="AY27" s="98">
        <v>1894.374282433984</v>
      </c>
      <c r="AZ27" s="98">
        <v>774.9712973593571</v>
      </c>
      <c r="BA27" s="100" t="s">
        <v>589</v>
      </c>
      <c r="BB27" s="100" t="s">
        <v>589</v>
      </c>
      <c r="BC27" s="100" t="s">
        <v>589</v>
      </c>
      <c r="BD27" s="158">
        <v>0.4770629883</v>
      </c>
      <c r="BE27" s="158">
        <v>0.8525248718</v>
      </c>
      <c r="BF27" s="162">
        <v>549</v>
      </c>
      <c r="BG27" s="162">
        <v>12</v>
      </c>
      <c r="BH27" s="162">
        <v>789</v>
      </c>
      <c r="BI27" s="162">
        <v>562</v>
      </c>
      <c r="BJ27" s="162">
        <v>226</v>
      </c>
      <c r="BK27" s="97"/>
      <c r="BL27" s="97"/>
      <c r="BM27" s="97"/>
      <c r="BN27" s="97"/>
    </row>
    <row r="28" spans="1:66" ht="12.75">
      <c r="A28" s="79" t="s">
        <v>542</v>
      </c>
      <c r="B28" s="79" t="s">
        <v>300</v>
      </c>
      <c r="C28" s="79" t="s">
        <v>269</v>
      </c>
      <c r="D28" s="99">
        <v>6252</v>
      </c>
      <c r="E28" s="99">
        <v>1520</v>
      </c>
      <c r="F28" s="99" t="s">
        <v>362</v>
      </c>
      <c r="G28" s="99">
        <v>29</v>
      </c>
      <c r="H28" s="99">
        <v>22</v>
      </c>
      <c r="I28" s="99">
        <v>162</v>
      </c>
      <c r="J28" s="99">
        <v>695</v>
      </c>
      <c r="K28" s="99">
        <v>674</v>
      </c>
      <c r="L28" s="99">
        <v>1110</v>
      </c>
      <c r="M28" s="99">
        <v>522</v>
      </c>
      <c r="N28" s="99">
        <v>230</v>
      </c>
      <c r="O28" s="99">
        <v>191</v>
      </c>
      <c r="P28" s="159">
        <v>191</v>
      </c>
      <c r="Q28" s="99">
        <v>15</v>
      </c>
      <c r="R28" s="99">
        <v>37</v>
      </c>
      <c r="S28" s="99">
        <v>35</v>
      </c>
      <c r="T28" s="99">
        <v>52</v>
      </c>
      <c r="U28" s="99">
        <v>6</v>
      </c>
      <c r="V28" s="99">
        <v>32</v>
      </c>
      <c r="W28" s="99">
        <v>50</v>
      </c>
      <c r="X28" s="99">
        <v>78</v>
      </c>
      <c r="Y28" s="99">
        <v>76</v>
      </c>
      <c r="Z28" s="99">
        <v>45</v>
      </c>
      <c r="AA28" s="99" t="s">
        <v>589</v>
      </c>
      <c r="AB28" s="99" t="s">
        <v>589</v>
      </c>
      <c r="AC28" s="99" t="s">
        <v>589</v>
      </c>
      <c r="AD28" s="98" t="s">
        <v>342</v>
      </c>
      <c r="AE28" s="100">
        <v>0.24312220089571338</v>
      </c>
      <c r="AF28" s="100">
        <v>0.09</v>
      </c>
      <c r="AG28" s="98">
        <v>463.8515674984005</v>
      </c>
      <c r="AH28" s="98">
        <v>351.88739603326934</v>
      </c>
      <c r="AI28" s="100">
        <v>0.026000000000000002</v>
      </c>
      <c r="AJ28" s="100">
        <v>0.743316</v>
      </c>
      <c r="AK28" s="100">
        <v>0.757303</v>
      </c>
      <c r="AL28" s="100">
        <v>0.795699</v>
      </c>
      <c r="AM28" s="100">
        <v>0.590498</v>
      </c>
      <c r="AN28" s="100">
        <v>0.653409</v>
      </c>
      <c r="AO28" s="98">
        <v>3055.022392834293</v>
      </c>
      <c r="AP28" s="158">
        <v>1.3594902039999999</v>
      </c>
      <c r="AQ28" s="100">
        <v>0.07853403141361257</v>
      </c>
      <c r="AR28" s="100">
        <v>0.40540540540540543</v>
      </c>
      <c r="AS28" s="98">
        <v>559.8208573256558</v>
      </c>
      <c r="AT28" s="98">
        <v>831.7338451695457</v>
      </c>
      <c r="AU28" s="98">
        <v>95.96928982725528</v>
      </c>
      <c r="AV28" s="98">
        <v>511.83621241202815</v>
      </c>
      <c r="AW28" s="98">
        <v>799.744081893794</v>
      </c>
      <c r="AX28" s="98">
        <v>1247.6007677543187</v>
      </c>
      <c r="AY28" s="98">
        <v>1215.6110044785669</v>
      </c>
      <c r="AZ28" s="98">
        <v>719.7696737044146</v>
      </c>
      <c r="BA28" s="100" t="s">
        <v>589</v>
      </c>
      <c r="BB28" s="100" t="s">
        <v>589</v>
      </c>
      <c r="BC28" s="100" t="s">
        <v>589</v>
      </c>
      <c r="BD28" s="158">
        <v>1.1735176090000001</v>
      </c>
      <c r="BE28" s="158">
        <v>1.56656311</v>
      </c>
      <c r="BF28" s="162">
        <v>935</v>
      </c>
      <c r="BG28" s="162">
        <v>890</v>
      </c>
      <c r="BH28" s="162">
        <v>1395</v>
      </c>
      <c r="BI28" s="162">
        <v>884</v>
      </c>
      <c r="BJ28" s="162">
        <v>352</v>
      </c>
      <c r="BK28" s="97"/>
      <c r="BL28" s="97"/>
      <c r="BM28" s="97"/>
      <c r="BN28" s="97"/>
    </row>
    <row r="29" spans="1:66" ht="12.75">
      <c r="A29" s="79" t="s">
        <v>525</v>
      </c>
      <c r="B29" s="79" t="s">
        <v>282</v>
      </c>
      <c r="C29" s="79" t="s">
        <v>269</v>
      </c>
      <c r="D29" s="99">
        <v>8315</v>
      </c>
      <c r="E29" s="99">
        <v>3014</v>
      </c>
      <c r="F29" s="99" t="s">
        <v>364</v>
      </c>
      <c r="G29" s="99">
        <v>69</v>
      </c>
      <c r="H29" s="99">
        <v>33</v>
      </c>
      <c r="I29" s="99">
        <v>339</v>
      </c>
      <c r="J29" s="99">
        <v>1122</v>
      </c>
      <c r="K29" s="99">
        <v>17</v>
      </c>
      <c r="L29" s="99">
        <v>1352</v>
      </c>
      <c r="M29" s="99">
        <v>903</v>
      </c>
      <c r="N29" s="99">
        <v>408</v>
      </c>
      <c r="O29" s="99">
        <v>177</v>
      </c>
      <c r="P29" s="159">
        <v>177</v>
      </c>
      <c r="Q29" s="99">
        <v>32</v>
      </c>
      <c r="R29" s="99">
        <v>80</v>
      </c>
      <c r="S29" s="99">
        <v>40</v>
      </c>
      <c r="T29" s="99">
        <v>53</v>
      </c>
      <c r="U29" s="99">
        <v>11</v>
      </c>
      <c r="V29" s="99">
        <v>25</v>
      </c>
      <c r="W29" s="99">
        <v>71</v>
      </c>
      <c r="X29" s="99">
        <v>65</v>
      </c>
      <c r="Y29" s="99">
        <v>210</v>
      </c>
      <c r="Z29" s="99">
        <v>79</v>
      </c>
      <c r="AA29" s="99" t="s">
        <v>589</v>
      </c>
      <c r="AB29" s="99" t="s">
        <v>589</v>
      </c>
      <c r="AC29" s="99" t="s">
        <v>589</v>
      </c>
      <c r="AD29" s="98" t="s">
        <v>342</v>
      </c>
      <c r="AE29" s="100">
        <v>0.3624774503908599</v>
      </c>
      <c r="AF29" s="100">
        <v>0.08</v>
      </c>
      <c r="AG29" s="98">
        <v>829.8256163559831</v>
      </c>
      <c r="AH29" s="98">
        <v>396.873120865905</v>
      </c>
      <c r="AI29" s="100">
        <v>0.040999999999999995</v>
      </c>
      <c r="AJ29" s="100">
        <v>0.808357</v>
      </c>
      <c r="AK29" s="100">
        <v>0.586207</v>
      </c>
      <c r="AL29" s="100">
        <v>0.804762</v>
      </c>
      <c r="AM29" s="100">
        <v>0.641335</v>
      </c>
      <c r="AN29" s="100">
        <v>0.681135</v>
      </c>
      <c r="AO29" s="98">
        <v>2128.6831028262177</v>
      </c>
      <c r="AP29" s="158">
        <v>0.7548394775</v>
      </c>
      <c r="AQ29" s="100">
        <v>0.1807909604519774</v>
      </c>
      <c r="AR29" s="100">
        <v>0.4</v>
      </c>
      <c r="AS29" s="98">
        <v>481.0583283223091</v>
      </c>
      <c r="AT29" s="98">
        <v>637.4022850270595</v>
      </c>
      <c r="AU29" s="98">
        <v>132.291040288635</v>
      </c>
      <c r="AV29" s="98">
        <v>300.6614552014432</v>
      </c>
      <c r="AW29" s="98">
        <v>853.8785327720987</v>
      </c>
      <c r="AX29" s="98">
        <v>781.7197835237522</v>
      </c>
      <c r="AY29" s="98">
        <v>2525.556223692123</v>
      </c>
      <c r="AZ29" s="98">
        <v>950.0901984365604</v>
      </c>
      <c r="BA29" s="100" t="s">
        <v>589</v>
      </c>
      <c r="BB29" s="100" t="s">
        <v>589</v>
      </c>
      <c r="BC29" s="100" t="s">
        <v>589</v>
      </c>
      <c r="BD29" s="158">
        <v>0.6477292633</v>
      </c>
      <c r="BE29" s="158">
        <v>0.8746034240999999</v>
      </c>
      <c r="BF29" s="162">
        <v>1388</v>
      </c>
      <c r="BG29" s="162">
        <v>29</v>
      </c>
      <c r="BH29" s="162">
        <v>1680</v>
      </c>
      <c r="BI29" s="162">
        <v>1408</v>
      </c>
      <c r="BJ29" s="162">
        <v>599</v>
      </c>
      <c r="BK29" s="97"/>
      <c r="BL29" s="97"/>
      <c r="BM29" s="97"/>
      <c r="BN29" s="97"/>
    </row>
    <row r="30" spans="1:66" ht="12.75">
      <c r="A30" s="79" t="s">
        <v>553</v>
      </c>
      <c r="B30" s="79" t="s">
        <v>312</v>
      </c>
      <c r="C30" s="79" t="s">
        <v>269</v>
      </c>
      <c r="D30" s="99">
        <v>8546</v>
      </c>
      <c r="E30" s="99">
        <v>3086</v>
      </c>
      <c r="F30" s="99" t="s">
        <v>364</v>
      </c>
      <c r="G30" s="99">
        <v>57</v>
      </c>
      <c r="H30" s="99">
        <v>32</v>
      </c>
      <c r="I30" s="99">
        <v>315</v>
      </c>
      <c r="J30" s="99">
        <v>1115</v>
      </c>
      <c r="K30" s="99">
        <v>17</v>
      </c>
      <c r="L30" s="99">
        <v>1343</v>
      </c>
      <c r="M30" s="99">
        <v>969</v>
      </c>
      <c r="N30" s="99">
        <v>459</v>
      </c>
      <c r="O30" s="99">
        <v>258</v>
      </c>
      <c r="P30" s="159">
        <v>258</v>
      </c>
      <c r="Q30" s="99">
        <v>32</v>
      </c>
      <c r="R30" s="99">
        <v>73</v>
      </c>
      <c r="S30" s="99">
        <v>44</v>
      </c>
      <c r="T30" s="99">
        <v>40</v>
      </c>
      <c r="U30" s="99">
        <v>10</v>
      </c>
      <c r="V30" s="99">
        <v>46</v>
      </c>
      <c r="W30" s="99">
        <v>69</v>
      </c>
      <c r="X30" s="99">
        <v>74</v>
      </c>
      <c r="Y30" s="99">
        <v>172</v>
      </c>
      <c r="Z30" s="99">
        <v>111</v>
      </c>
      <c r="AA30" s="99" t="s">
        <v>589</v>
      </c>
      <c r="AB30" s="99" t="s">
        <v>589</v>
      </c>
      <c r="AC30" s="99" t="s">
        <v>589</v>
      </c>
      <c r="AD30" s="98" t="s">
        <v>342</v>
      </c>
      <c r="AE30" s="100">
        <v>0.3611046103440206</v>
      </c>
      <c r="AF30" s="100">
        <v>0.08</v>
      </c>
      <c r="AG30" s="98">
        <v>666.9787034870114</v>
      </c>
      <c r="AH30" s="98">
        <v>374.4441844137608</v>
      </c>
      <c r="AI30" s="100">
        <v>0.037000000000000005</v>
      </c>
      <c r="AJ30" s="100">
        <v>0.774306</v>
      </c>
      <c r="AK30" s="100">
        <v>0.586207</v>
      </c>
      <c r="AL30" s="100">
        <v>0.800835</v>
      </c>
      <c r="AM30" s="100">
        <v>0.654288</v>
      </c>
      <c r="AN30" s="100">
        <v>0.710526</v>
      </c>
      <c r="AO30" s="98">
        <v>3018.9562368359466</v>
      </c>
      <c r="AP30" s="158">
        <v>1.067600403</v>
      </c>
      <c r="AQ30" s="100">
        <v>0.12403100775193798</v>
      </c>
      <c r="AR30" s="100">
        <v>0.4383561643835616</v>
      </c>
      <c r="AS30" s="98">
        <v>514.8607535689212</v>
      </c>
      <c r="AT30" s="98">
        <v>468.05523051720104</v>
      </c>
      <c r="AU30" s="98">
        <v>117.01380762930026</v>
      </c>
      <c r="AV30" s="98">
        <v>538.2635150947812</v>
      </c>
      <c r="AW30" s="98">
        <v>807.3952726421718</v>
      </c>
      <c r="AX30" s="98">
        <v>865.9021764568218</v>
      </c>
      <c r="AY30" s="98">
        <v>2012.6374912239644</v>
      </c>
      <c r="AZ30" s="98">
        <v>1298.853264685233</v>
      </c>
      <c r="BA30" s="100" t="s">
        <v>589</v>
      </c>
      <c r="BB30" s="100" t="s">
        <v>589</v>
      </c>
      <c r="BC30" s="100" t="s">
        <v>589</v>
      </c>
      <c r="BD30" s="158">
        <v>0.9412921142999999</v>
      </c>
      <c r="BE30" s="158">
        <v>1.206135406</v>
      </c>
      <c r="BF30" s="162">
        <v>1440</v>
      </c>
      <c r="BG30" s="162">
        <v>29</v>
      </c>
      <c r="BH30" s="162">
        <v>1677</v>
      </c>
      <c r="BI30" s="162">
        <v>1481</v>
      </c>
      <c r="BJ30" s="162">
        <v>646</v>
      </c>
      <c r="BK30" s="97"/>
      <c r="BL30" s="97"/>
      <c r="BM30" s="97"/>
      <c r="BN30" s="97"/>
    </row>
    <row r="31" spans="1:66" ht="12.75">
      <c r="A31" s="79" t="s">
        <v>559</v>
      </c>
      <c r="B31" s="79" t="s">
        <v>318</v>
      </c>
      <c r="C31" s="79" t="s">
        <v>269</v>
      </c>
      <c r="D31" s="99">
        <v>5757</v>
      </c>
      <c r="E31" s="99">
        <v>1432</v>
      </c>
      <c r="F31" s="99" t="s">
        <v>362</v>
      </c>
      <c r="G31" s="99">
        <v>39</v>
      </c>
      <c r="H31" s="99">
        <v>21</v>
      </c>
      <c r="I31" s="99">
        <v>199</v>
      </c>
      <c r="J31" s="99">
        <v>751</v>
      </c>
      <c r="K31" s="99">
        <v>226</v>
      </c>
      <c r="L31" s="99">
        <v>1111</v>
      </c>
      <c r="M31" s="99">
        <v>550</v>
      </c>
      <c r="N31" s="99">
        <v>259</v>
      </c>
      <c r="O31" s="99">
        <v>251</v>
      </c>
      <c r="P31" s="159">
        <v>251</v>
      </c>
      <c r="Q31" s="99">
        <v>21</v>
      </c>
      <c r="R31" s="99">
        <v>41</v>
      </c>
      <c r="S31" s="99">
        <v>37</v>
      </c>
      <c r="T31" s="99">
        <v>47</v>
      </c>
      <c r="U31" s="99">
        <v>13</v>
      </c>
      <c r="V31" s="99">
        <v>51</v>
      </c>
      <c r="W31" s="99">
        <v>55</v>
      </c>
      <c r="X31" s="99">
        <v>54</v>
      </c>
      <c r="Y31" s="99">
        <v>111</v>
      </c>
      <c r="Z31" s="99">
        <v>51</v>
      </c>
      <c r="AA31" s="99" t="s">
        <v>589</v>
      </c>
      <c r="AB31" s="99" t="s">
        <v>589</v>
      </c>
      <c r="AC31" s="99" t="s">
        <v>589</v>
      </c>
      <c r="AD31" s="98" t="s">
        <v>342</v>
      </c>
      <c r="AE31" s="100">
        <v>0.2487406635400382</v>
      </c>
      <c r="AF31" s="100">
        <v>0.09</v>
      </c>
      <c r="AG31" s="98">
        <v>677.4361646690985</v>
      </c>
      <c r="AH31" s="98">
        <v>364.77331943720685</v>
      </c>
      <c r="AI31" s="100">
        <v>0.035</v>
      </c>
      <c r="AJ31" s="100">
        <v>0.778238</v>
      </c>
      <c r="AK31" s="100">
        <v>0.784722</v>
      </c>
      <c r="AL31" s="100">
        <v>0.794707</v>
      </c>
      <c r="AM31" s="100">
        <v>0.580169</v>
      </c>
      <c r="AN31" s="100">
        <v>0.625604</v>
      </c>
      <c r="AO31" s="98">
        <v>4359.909675178044</v>
      </c>
      <c r="AP31" s="158">
        <v>1.859972687</v>
      </c>
      <c r="AQ31" s="100">
        <v>0.08366533864541832</v>
      </c>
      <c r="AR31" s="100">
        <v>0.5121951219512195</v>
      </c>
      <c r="AS31" s="98">
        <v>642.6958485322216</v>
      </c>
      <c r="AT31" s="98">
        <v>816.3974292166058</v>
      </c>
      <c r="AU31" s="98">
        <v>225.8120548896995</v>
      </c>
      <c r="AV31" s="98">
        <v>885.8780614903595</v>
      </c>
      <c r="AW31" s="98">
        <v>955.3586937641132</v>
      </c>
      <c r="AX31" s="98">
        <v>937.9885356956748</v>
      </c>
      <c r="AY31" s="98">
        <v>1928.087545596665</v>
      </c>
      <c r="AZ31" s="98">
        <v>885.8780614903595</v>
      </c>
      <c r="BA31" s="100" t="s">
        <v>589</v>
      </c>
      <c r="BB31" s="100" t="s">
        <v>589</v>
      </c>
      <c r="BC31" s="100" t="s">
        <v>589</v>
      </c>
      <c r="BD31" s="158">
        <v>1.636968994</v>
      </c>
      <c r="BE31" s="158">
        <v>2.104877777</v>
      </c>
      <c r="BF31" s="162">
        <v>965</v>
      </c>
      <c r="BG31" s="162">
        <v>288</v>
      </c>
      <c r="BH31" s="162">
        <v>1398</v>
      </c>
      <c r="BI31" s="162">
        <v>948</v>
      </c>
      <c r="BJ31" s="162">
        <v>414</v>
      </c>
      <c r="BK31" s="97"/>
      <c r="BL31" s="97"/>
      <c r="BM31" s="97"/>
      <c r="BN31" s="97"/>
    </row>
    <row r="32" spans="1:66" ht="12.75">
      <c r="A32" s="79" t="s">
        <v>570</v>
      </c>
      <c r="B32" s="79" t="s">
        <v>329</v>
      </c>
      <c r="C32" s="79" t="s">
        <v>269</v>
      </c>
      <c r="D32" s="99">
        <v>3795</v>
      </c>
      <c r="E32" s="99">
        <v>816</v>
      </c>
      <c r="F32" s="99" t="s">
        <v>364</v>
      </c>
      <c r="G32" s="99">
        <v>19</v>
      </c>
      <c r="H32" s="99">
        <v>11</v>
      </c>
      <c r="I32" s="99">
        <v>79</v>
      </c>
      <c r="J32" s="99">
        <v>502</v>
      </c>
      <c r="K32" s="99">
        <v>468</v>
      </c>
      <c r="L32" s="99">
        <v>773</v>
      </c>
      <c r="M32" s="99">
        <v>373</v>
      </c>
      <c r="N32" s="99">
        <v>173</v>
      </c>
      <c r="O32" s="99">
        <v>43</v>
      </c>
      <c r="P32" s="159">
        <v>43</v>
      </c>
      <c r="Q32" s="99" t="s">
        <v>589</v>
      </c>
      <c r="R32" s="99">
        <v>16</v>
      </c>
      <c r="S32" s="99" t="s">
        <v>589</v>
      </c>
      <c r="T32" s="99" t="s">
        <v>589</v>
      </c>
      <c r="U32" s="99" t="s">
        <v>589</v>
      </c>
      <c r="V32" s="99">
        <v>10</v>
      </c>
      <c r="W32" s="99">
        <v>23</v>
      </c>
      <c r="X32" s="99">
        <v>14</v>
      </c>
      <c r="Y32" s="99">
        <v>38</v>
      </c>
      <c r="Z32" s="99">
        <v>22</v>
      </c>
      <c r="AA32" s="99" t="s">
        <v>589</v>
      </c>
      <c r="AB32" s="99" t="s">
        <v>589</v>
      </c>
      <c r="AC32" s="99" t="s">
        <v>589</v>
      </c>
      <c r="AD32" s="98" t="s">
        <v>342</v>
      </c>
      <c r="AE32" s="100">
        <v>0.2150197628458498</v>
      </c>
      <c r="AF32" s="100">
        <v>0.07</v>
      </c>
      <c r="AG32" s="98">
        <v>500.65876152832675</v>
      </c>
      <c r="AH32" s="98">
        <v>289.8550724637681</v>
      </c>
      <c r="AI32" s="100">
        <v>0.021</v>
      </c>
      <c r="AJ32" s="100">
        <v>0.773498</v>
      </c>
      <c r="AK32" s="100">
        <v>0.75974</v>
      </c>
      <c r="AL32" s="100">
        <v>0.825855</v>
      </c>
      <c r="AM32" s="100">
        <v>0.619601</v>
      </c>
      <c r="AN32" s="100">
        <v>0.706122</v>
      </c>
      <c r="AO32" s="98">
        <v>1133.0698287220027</v>
      </c>
      <c r="AP32" s="158">
        <v>0.5096521378</v>
      </c>
      <c r="AQ32" s="100" t="s">
        <v>589</v>
      </c>
      <c r="AR32" s="100" t="s">
        <v>589</v>
      </c>
      <c r="AS32" s="98" t="s">
        <v>589</v>
      </c>
      <c r="AT32" s="98" t="s">
        <v>589</v>
      </c>
      <c r="AU32" s="98" t="s">
        <v>589</v>
      </c>
      <c r="AV32" s="98">
        <v>263.5046113306983</v>
      </c>
      <c r="AW32" s="98">
        <v>606.060606060606</v>
      </c>
      <c r="AX32" s="98">
        <v>368.9064558629776</v>
      </c>
      <c r="AY32" s="98">
        <v>1001.3175230566535</v>
      </c>
      <c r="AZ32" s="98">
        <v>579.7101449275362</v>
      </c>
      <c r="BA32" s="100" t="s">
        <v>589</v>
      </c>
      <c r="BB32" s="100" t="s">
        <v>589</v>
      </c>
      <c r="BC32" s="100" t="s">
        <v>589</v>
      </c>
      <c r="BD32" s="158">
        <v>0.36883777619999997</v>
      </c>
      <c r="BE32" s="158">
        <v>0.6864981079</v>
      </c>
      <c r="BF32" s="162">
        <v>649</v>
      </c>
      <c r="BG32" s="162">
        <v>616</v>
      </c>
      <c r="BH32" s="162">
        <v>936</v>
      </c>
      <c r="BI32" s="162">
        <v>602</v>
      </c>
      <c r="BJ32" s="162">
        <v>245</v>
      </c>
      <c r="BK32" s="97"/>
      <c r="BL32" s="97"/>
      <c r="BM32" s="97"/>
      <c r="BN32" s="97"/>
    </row>
    <row r="33" spans="1:66" ht="12.75">
      <c r="A33" s="79" t="s">
        <v>543</v>
      </c>
      <c r="B33" s="79" t="s">
        <v>301</v>
      </c>
      <c r="C33" s="79" t="s">
        <v>269</v>
      </c>
      <c r="D33" s="99">
        <v>13470</v>
      </c>
      <c r="E33" s="99">
        <v>3373</v>
      </c>
      <c r="F33" s="99" t="s">
        <v>364</v>
      </c>
      <c r="G33" s="99">
        <v>88</v>
      </c>
      <c r="H33" s="99">
        <v>30</v>
      </c>
      <c r="I33" s="99">
        <v>299</v>
      </c>
      <c r="J33" s="99">
        <v>1540</v>
      </c>
      <c r="K33" s="99">
        <v>16</v>
      </c>
      <c r="L33" s="99">
        <v>2299</v>
      </c>
      <c r="M33" s="99">
        <v>1289</v>
      </c>
      <c r="N33" s="99">
        <v>550</v>
      </c>
      <c r="O33" s="99">
        <v>253</v>
      </c>
      <c r="P33" s="159">
        <v>253</v>
      </c>
      <c r="Q33" s="99">
        <v>31</v>
      </c>
      <c r="R33" s="99">
        <v>69</v>
      </c>
      <c r="S33" s="99">
        <v>61</v>
      </c>
      <c r="T33" s="99">
        <v>30</v>
      </c>
      <c r="U33" s="99" t="s">
        <v>589</v>
      </c>
      <c r="V33" s="99">
        <v>40</v>
      </c>
      <c r="W33" s="99">
        <v>75</v>
      </c>
      <c r="X33" s="99">
        <v>58</v>
      </c>
      <c r="Y33" s="99">
        <v>177</v>
      </c>
      <c r="Z33" s="99">
        <v>94</v>
      </c>
      <c r="AA33" s="99" t="s">
        <v>589</v>
      </c>
      <c r="AB33" s="99" t="s">
        <v>589</v>
      </c>
      <c r="AC33" s="99" t="s">
        <v>589</v>
      </c>
      <c r="AD33" s="98" t="s">
        <v>342</v>
      </c>
      <c r="AE33" s="100">
        <v>0.2504083147735709</v>
      </c>
      <c r="AF33" s="100">
        <v>0.08</v>
      </c>
      <c r="AG33" s="98">
        <v>653.3036377134373</v>
      </c>
      <c r="AH33" s="98">
        <v>222.71714922048997</v>
      </c>
      <c r="AI33" s="100">
        <v>0.022000000000000002</v>
      </c>
      <c r="AJ33" s="100">
        <v>0.793814</v>
      </c>
      <c r="AK33" s="100">
        <v>0.551724</v>
      </c>
      <c r="AL33" s="100">
        <v>0.813517</v>
      </c>
      <c r="AM33" s="100">
        <v>0.653651</v>
      </c>
      <c r="AN33" s="100">
        <v>0.690088</v>
      </c>
      <c r="AO33" s="98">
        <v>1878.247958426132</v>
      </c>
      <c r="AP33" s="158">
        <v>0.8450177002</v>
      </c>
      <c r="AQ33" s="100">
        <v>0.1225296442687747</v>
      </c>
      <c r="AR33" s="100">
        <v>0.4492753623188406</v>
      </c>
      <c r="AS33" s="98">
        <v>452.8582034149963</v>
      </c>
      <c r="AT33" s="98">
        <v>222.71714922048997</v>
      </c>
      <c r="AU33" s="98" t="s">
        <v>589</v>
      </c>
      <c r="AV33" s="98">
        <v>296.9561989606533</v>
      </c>
      <c r="AW33" s="98">
        <v>556.7928730512249</v>
      </c>
      <c r="AX33" s="98">
        <v>430.5864884929473</v>
      </c>
      <c r="AY33" s="98">
        <v>1314.031180400891</v>
      </c>
      <c r="AZ33" s="98">
        <v>697.8470675575353</v>
      </c>
      <c r="BA33" s="100" t="s">
        <v>589</v>
      </c>
      <c r="BB33" s="100" t="s">
        <v>589</v>
      </c>
      <c r="BC33" s="100" t="s">
        <v>589</v>
      </c>
      <c r="BD33" s="158">
        <v>0.7440917206000001</v>
      </c>
      <c r="BE33" s="158">
        <v>0.9558145142</v>
      </c>
      <c r="BF33" s="162">
        <v>1940</v>
      </c>
      <c r="BG33" s="162">
        <v>29</v>
      </c>
      <c r="BH33" s="162">
        <v>2826</v>
      </c>
      <c r="BI33" s="162">
        <v>1972</v>
      </c>
      <c r="BJ33" s="162">
        <v>797</v>
      </c>
      <c r="BK33" s="97"/>
      <c r="BL33" s="97"/>
      <c r="BM33" s="97"/>
      <c r="BN33" s="97"/>
    </row>
    <row r="34" spans="1:66" ht="12.75">
      <c r="A34" s="79" t="s">
        <v>531</v>
      </c>
      <c r="B34" s="79" t="s">
        <v>288</v>
      </c>
      <c r="C34" s="79" t="s">
        <v>269</v>
      </c>
      <c r="D34" s="99">
        <v>7221</v>
      </c>
      <c r="E34" s="99">
        <v>1706</v>
      </c>
      <c r="F34" s="99" t="s">
        <v>362</v>
      </c>
      <c r="G34" s="99">
        <v>43</v>
      </c>
      <c r="H34" s="99">
        <v>20</v>
      </c>
      <c r="I34" s="99">
        <v>180</v>
      </c>
      <c r="J34" s="99">
        <v>732</v>
      </c>
      <c r="K34" s="99">
        <v>8</v>
      </c>
      <c r="L34" s="99">
        <v>1292</v>
      </c>
      <c r="M34" s="99">
        <v>581</v>
      </c>
      <c r="N34" s="99">
        <v>266</v>
      </c>
      <c r="O34" s="99">
        <v>143</v>
      </c>
      <c r="P34" s="159">
        <v>143</v>
      </c>
      <c r="Q34" s="99">
        <v>23</v>
      </c>
      <c r="R34" s="99">
        <v>37</v>
      </c>
      <c r="S34" s="99">
        <v>28</v>
      </c>
      <c r="T34" s="99">
        <v>17</v>
      </c>
      <c r="U34" s="99" t="s">
        <v>589</v>
      </c>
      <c r="V34" s="99">
        <v>28</v>
      </c>
      <c r="W34" s="99">
        <v>56</v>
      </c>
      <c r="X34" s="99">
        <v>41</v>
      </c>
      <c r="Y34" s="99">
        <v>70</v>
      </c>
      <c r="Z34" s="99">
        <v>37</v>
      </c>
      <c r="AA34" s="99" t="s">
        <v>589</v>
      </c>
      <c r="AB34" s="99" t="s">
        <v>589</v>
      </c>
      <c r="AC34" s="99" t="s">
        <v>589</v>
      </c>
      <c r="AD34" s="98" t="s">
        <v>342</v>
      </c>
      <c r="AE34" s="100">
        <v>0.23625536629275723</v>
      </c>
      <c r="AF34" s="100">
        <v>0.09</v>
      </c>
      <c r="AG34" s="98">
        <v>595.4853898352029</v>
      </c>
      <c r="AH34" s="98">
        <v>276.9699487605595</v>
      </c>
      <c r="AI34" s="100">
        <v>0.025</v>
      </c>
      <c r="AJ34" s="100">
        <v>0.727634</v>
      </c>
      <c r="AK34" s="100">
        <v>0.444444</v>
      </c>
      <c r="AL34" s="100">
        <v>0.775976</v>
      </c>
      <c r="AM34" s="100">
        <v>0.614815</v>
      </c>
      <c r="AN34" s="100">
        <v>0.665</v>
      </c>
      <c r="AO34" s="98">
        <v>1980.3351336380003</v>
      </c>
      <c r="AP34" s="158">
        <v>0.8812248993</v>
      </c>
      <c r="AQ34" s="100">
        <v>0.16083916083916083</v>
      </c>
      <c r="AR34" s="100">
        <v>0.6216216216216216</v>
      </c>
      <c r="AS34" s="98">
        <v>387.7579282647833</v>
      </c>
      <c r="AT34" s="98">
        <v>235.42445644647555</v>
      </c>
      <c r="AU34" s="98" t="s">
        <v>589</v>
      </c>
      <c r="AV34" s="98">
        <v>387.7579282647833</v>
      </c>
      <c r="AW34" s="98">
        <v>775.5158565295666</v>
      </c>
      <c r="AX34" s="98">
        <v>567.7883949591469</v>
      </c>
      <c r="AY34" s="98">
        <v>969.3948206619582</v>
      </c>
      <c r="AZ34" s="98">
        <v>512.394405207035</v>
      </c>
      <c r="BA34" s="100" t="s">
        <v>589</v>
      </c>
      <c r="BB34" s="100" t="s">
        <v>589</v>
      </c>
      <c r="BC34" s="100" t="s">
        <v>589</v>
      </c>
      <c r="BD34" s="158">
        <v>0.7427140808</v>
      </c>
      <c r="BE34" s="158">
        <v>1.038070297</v>
      </c>
      <c r="BF34" s="162">
        <v>1006</v>
      </c>
      <c r="BG34" s="162">
        <v>18</v>
      </c>
      <c r="BH34" s="162">
        <v>1665</v>
      </c>
      <c r="BI34" s="162">
        <v>945</v>
      </c>
      <c r="BJ34" s="162">
        <v>400</v>
      </c>
      <c r="BK34" s="97"/>
      <c r="BL34" s="97"/>
      <c r="BM34" s="97"/>
      <c r="BN34" s="97"/>
    </row>
    <row r="35" spans="1:66" ht="12.75">
      <c r="A35" s="79" t="s">
        <v>537</v>
      </c>
      <c r="B35" s="79" t="s">
        <v>295</v>
      </c>
      <c r="C35" s="79" t="s">
        <v>269</v>
      </c>
      <c r="D35" s="99">
        <v>17916</v>
      </c>
      <c r="E35" s="99">
        <v>4394</v>
      </c>
      <c r="F35" s="99" t="s">
        <v>362</v>
      </c>
      <c r="G35" s="99">
        <v>119</v>
      </c>
      <c r="H35" s="99">
        <v>61</v>
      </c>
      <c r="I35" s="99">
        <v>459</v>
      </c>
      <c r="J35" s="99">
        <v>2142</v>
      </c>
      <c r="K35" s="99">
        <v>26</v>
      </c>
      <c r="L35" s="99">
        <v>3283</v>
      </c>
      <c r="M35" s="99">
        <v>1668</v>
      </c>
      <c r="N35" s="99">
        <v>756</v>
      </c>
      <c r="O35" s="99">
        <v>345</v>
      </c>
      <c r="P35" s="159">
        <v>345</v>
      </c>
      <c r="Q35" s="99">
        <v>54</v>
      </c>
      <c r="R35" s="99">
        <v>121</v>
      </c>
      <c r="S35" s="99">
        <v>72</v>
      </c>
      <c r="T35" s="99">
        <v>44</v>
      </c>
      <c r="U35" s="99">
        <v>14</v>
      </c>
      <c r="V35" s="99">
        <v>89</v>
      </c>
      <c r="W35" s="99">
        <v>167</v>
      </c>
      <c r="X35" s="99">
        <v>127</v>
      </c>
      <c r="Y35" s="99">
        <v>286</v>
      </c>
      <c r="Z35" s="99">
        <v>108</v>
      </c>
      <c r="AA35" s="99" t="s">
        <v>589</v>
      </c>
      <c r="AB35" s="99" t="s">
        <v>589</v>
      </c>
      <c r="AC35" s="99" t="s">
        <v>589</v>
      </c>
      <c r="AD35" s="98" t="s">
        <v>342</v>
      </c>
      <c r="AE35" s="100">
        <v>0.24525563741906675</v>
      </c>
      <c r="AF35" s="100">
        <v>0.12</v>
      </c>
      <c r="AG35" s="98">
        <v>664.2107613306541</v>
      </c>
      <c r="AH35" s="98">
        <v>340.4777852199152</v>
      </c>
      <c r="AI35" s="100">
        <v>0.026000000000000002</v>
      </c>
      <c r="AJ35" s="100">
        <v>0.765547</v>
      </c>
      <c r="AK35" s="100">
        <v>0.52</v>
      </c>
      <c r="AL35" s="100">
        <v>0.814842</v>
      </c>
      <c r="AM35" s="100">
        <v>0.606325</v>
      </c>
      <c r="AN35" s="100">
        <v>0.657963</v>
      </c>
      <c r="AO35" s="98">
        <v>1925.653047555258</v>
      </c>
      <c r="AP35" s="158">
        <v>0.8420726013</v>
      </c>
      <c r="AQ35" s="100">
        <v>0.1565217391304348</v>
      </c>
      <c r="AR35" s="100">
        <v>0.4462809917355372</v>
      </c>
      <c r="AS35" s="98">
        <v>401.8754186202277</v>
      </c>
      <c r="AT35" s="98">
        <v>245.59053360125029</v>
      </c>
      <c r="AU35" s="98">
        <v>78.14244250948873</v>
      </c>
      <c r="AV35" s="98">
        <v>496.7626702388926</v>
      </c>
      <c r="AW35" s="98">
        <v>932.1277070774727</v>
      </c>
      <c r="AX35" s="98">
        <v>708.8635856217905</v>
      </c>
      <c r="AY35" s="98">
        <v>1596.3384684081268</v>
      </c>
      <c r="AZ35" s="98">
        <v>602.8131279303416</v>
      </c>
      <c r="BA35" s="100" t="s">
        <v>589</v>
      </c>
      <c r="BB35" s="100" t="s">
        <v>589</v>
      </c>
      <c r="BC35" s="100" t="s">
        <v>589</v>
      </c>
      <c r="BD35" s="158">
        <v>0.7555502319</v>
      </c>
      <c r="BE35" s="158">
        <v>0.9357871246</v>
      </c>
      <c r="BF35" s="162">
        <v>2798</v>
      </c>
      <c r="BG35" s="162">
        <v>50</v>
      </c>
      <c r="BH35" s="162">
        <v>4029</v>
      </c>
      <c r="BI35" s="162">
        <v>2751</v>
      </c>
      <c r="BJ35" s="162">
        <v>1149</v>
      </c>
      <c r="BK35" s="97"/>
      <c r="BL35" s="97"/>
      <c r="BM35" s="97"/>
      <c r="BN35" s="97"/>
    </row>
    <row r="36" spans="1:66" ht="12.75">
      <c r="A36" s="79" t="s">
        <v>527</v>
      </c>
      <c r="B36" s="79" t="s">
        <v>284</v>
      </c>
      <c r="C36" s="79" t="s">
        <v>269</v>
      </c>
      <c r="D36" s="99">
        <v>12194</v>
      </c>
      <c r="E36" s="99">
        <v>2136</v>
      </c>
      <c r="F36" s="99" t="s">
        <v>363</v>
      </c>
      <c r="G36" s="99">
        <v>45</v>
      </c>
      <c r="H36" s="99">
        <v>31</v>
      </c>
      <c r="I36" s="99">
        <v>155</v>
      </c>
      <c r="J36" s="99">
        <v>1317</v>
      </c>
      <c r="K36" s="99">
        <v>1276</v>
      </c>
      <c r="L36" s="99">
        <v>2236</v>
      </c>
      <c r="M36" s="99">
        <v>878</v>
      </c>
      <c r="N36" s="99">
        <v>373</v>
      </c>
      <c r="O36" s="99">
        <v>172</v>
      </c>
      <c r="P36" s="159">
        <v>172</v>
      </c>
      <c r="Q36" s="99">
        <v>31</v>
      </c>
      <c r="R36" s="99">
        <v>64</v>
      </c>
      <c r="S36" s="99">
        <v>29</v>
      </c>
      <c r="T36" s="99">
        <v>35</v>
      </c>
      <c r="U36" s="99">
        <v>11</v>
      </c>
      <c r="V36" s="99">
        <v>32</v>
      </c>
      <c r="W36" s="99">
        <v>89</v>
      </c>
      <c r="X36" s="99">
        <v>121</v>
      </c>
      <c r="Y36" s="99">
        <v>198</v>
      </c>
      <c r="Z36" s="99">
        <v>78</v>
      </c>
      <c r="AA36" s="99" t="s">
        <v>589</v>
      </c>
      <c r="AB36" s="99" t="s">
        <v>589</v>
      </c>
      <c r="AC36" s="99" t="s">
        <v>589</v>
      </c>
      <c r="AD36" s="98" t="s">
        <v>342</v>
      </c>
      <c r="AE36" s="100">
        <v>0.17516811546662292</v>
      </c>
      <c r="AF36" s="100">
        <v>0.14</v>
      </c>
      <c r="AG36" s="98">
        <v>369.03395112350336</v>
      </c>
      <c r="AH36" s="98">
        <v>254.22338855174675</v>
      </c>
      <c r="AI36" s="100">
        <v>0.013000000000000001</v>
      </c>
      <c r="AJ36" s="100">
        <v>0.755594</v>
      </c>
      <c r="AK36" s="100">
        <v>0.758621</v>
      </c>
      <c r="AL36" s="100">
        <v>0.787879</v>
      </c>
      <c r="AM36" s="100">
        <v>0.55888</v>
      </c>
      <c r="AN36" s="100">
        <v>0.60356</v>
      </c>
      <c r="AO36" s="98">
        <v>1410.529768738724</v>
      </c>
      <c r="AP36" s="158">
        <v>0.7232714081</v>
      </c>
      <c r="AQ36" s="100">
        <v>0.18023255813953487</v>
      </c>
      <c r="AR36" s="100">
        <v>0.484375</v>
      </c>
      <c r="AS36" s="98">
        <v>237.8218796129244</v>
      </c>
      <c r="AT36" s="98">
        <v>287.0264064293915</v>
      </c>
      <c r="AU36" s="98">
        <v>90.20829916352304</v>
      </c>
      <c r="AV36" s="98">
        <v>262.42414302115793</v>
      </c>
      <c r="AW36" s="98">
        <v>729.8671477775955</v>
      </c>
      <c r="AX36" s="98">
        <v>992.2912907987535</v>
      </c>
      <c r="AY36" s="98">
        <v>1623.7493849434147</v>
      </c>
      <c r="AZ36" s="98">
        <v>639.6588486140724</v>
      </c>
      <c r="BA36" s="100" t="s">
        <v>589</v>
      </c>
      <c r="BB36" s="100" t="s">
        <v>589</v>
      </c>
      <c r="BC36" s="100" t="s">
        <v>589</v>
      </c>
      <c r="BD36" s="158">
        <v>0.61921772</v>
      </c>
      <c r="BE36" s="158">
        <v>0.8398063659999999</v>
      </c>
      <c r="BF36" s="162">
        <v>1743</v>
      </c>
      <c r="BG36" s="162">
        <v>1682</v>
      </c>
      <c r="BH36" s="162">
        <v>2838</v>
      </c>
      <c r="BI36" s="162">
        <v>1571</v>
      </c>
      <c r="BJ36" s="162">
        <v>618</v>
      </c>
      <c r="BK36" s="97"/>
      <c r="BL36" s="97"/>
      <c r="BM36" s="97"/>
      <c r="BN36" s="97"/>
    </row>
    <row r="37" spans="1:66" ht="12.75">
      <c r="A37" s="79" t="s">
        <v>576</v>
      </c>
      <c r="B37" s="79" t="s">
        <v>335</v>
      </c>
      <c r="C37" s="79" t="s">
        <v>269</v>
      </c>
      <c r="D37" s="99">
        <v>2112</v>
      </c>
      <c r="E37" s="99">
        <v>488</v>
      </c>
      <c r="F37" s="99" t="s">
        <v>364</v>
      </c>
      <c r="G37" s="99">
        <v>18</v>
      </c>
      <c r="H37" s="99" t="s">
        <v>589</v>
      </c>
      <c r="I37" s="99">
        <v>49</v>
      </c>
      <c r="J37" s="99">
        <v>296</v>
      </c>
      <c r="K37" s="99" t="s">
        <v>589</v>
      </c>
      <c r="L37" s="99">
        <v>430</v>
      </c>
      <c r="M37" s="99">
        <v>212</v>
      </c>
      <c r="N37" s="99">
        <v>81</v>
      </c>
      <c r="O37" s="99">
        <v>31</v>
      </c>
      <c r="P37" s="159">
        <v>31</v>
      </c>
      <c r="Q37" s="99" t="s">
        <v>589</v>
      </c>
      <c r="R37" s="99">
        <v>12</v>
      </c>
      <c r="S37" s="99">
        <v>13</v>
      </c>
      <c r="T37" s="99" t="s">
        <v>589</v>
      </c>
      <c r="U37" s="99" t="s">
        <v>589</v>
      </c>
      <c r="V37" s="99">
        <v>6</v>
      </c>
      <c r="W37" s="99">
        <v>10</v>
      </c>
      <c r="X37" s="99">
        <v>12</v>
      </c>
      <c r="Y37" s="99">
        <v>33</v>
      </c>
      <c r="Z37" s="99">
        <v>21</v>
      </c>
      <c r="AA37" s="99" t="s">
        <v>589</v>
      </c>
      <c r="AB37" s="99" t="s">
        <v>589</v>
      </c>
      <c r="AC37" s="99" t="s">
        <v>589</v>
      </c>
      <c r="AD37" s="98" t="s">
        <v>342</v>
      </c>
      <c r="AE37" s="100">
        <v>0.23106060606060605</v>
      </c>
      <c r="AF37" s="100">
        <v>0.09</v>
      </c>
      <c r="AG37" s="98">
        <v>852.2727272727273</v>
      </c>
      <c r="AH37" s="98" t="s">
        <v>589</v>
      </c>
      <c r="AI37" s="100">
        <v>0.023</v>
      </c>
      <c r="AJ37" s="100">
        <v>0.815427</v>
      </c>
      <c r="AK37" s="100" t="s">
        <v>589</v>
      </c>
      <c r="AL37" s="100">
        <v>0.868687</v>
      </c>
      <c r="AM37" s="100">
        <v>0.664577</v>
      </c>
      <c r="AN37" s="100">
        <v>0.669421</v>
      </c>
      <c r="AO37" s="98">
        <v>1467.8030303030303</v>
      </c>
      <c r="AP37" s="158">
        <v>0.6398086929</v>
      </c>
      <c r="AQ37" s="100" t="s">
        <v>589</v>
      </c>
      <c r="AR37" s="100" t="s">
        <v>589</v>
      </c>
      <c r="AS37" s="98">
        <v>615.530303030303</v>
      </c>
      <c r="AT37" s="98" t="s">
        <v>589</v>
      </c>
      <c r="AU37" s="98" t="s">
        <v>589</v>
      </c>
      <c r="AV37" s="98">
        <v>284.09090909090907</v>
      </c>
      <c r="AW37" s="98">
        <v>473.4848484848485</v>
      </c>
      <c r="AX37" s="98">
        <v>568.1818181818181</v>
      </c>
      <c r="AY37" s="98">
        <v>1562.5</v>
      </c>
      <c r="AZ37" s="98">
        <v>994.3181818181819</v>
      </c>
      <c r="BA37" s="100" t="s">
        <v>589</v>
      </c>
      <c r="BB37" s="100" t="s">
        <v>589</v>
      </c>
      <c r="BC37" s="100" t="s">
        <v>589</v>
      </c>
      <c r="BD37" s="158">
        <v>0.43471897130000003</v>
      </c>
      <c r="BE37" s="158">
        <v>0.9081573486000001</v>
      </c>
      <c r="BF37" s="162">
        <v>363</v>
      </c>
      <c r="BG37" s="162" t="s">
        <v>589</v>
      </c>
      <c r="BH37" s="162">
        <v>495</v>
      </c>
      <c r="BI37" s="162">
        <v>319</v>
      </c>
      <c r="BJ37" s="162">
        <v>121</v>
      </c>
      <c r="BK37" s="97"/>
      <c r="BL37" s="97"/>
      <c r="BM37" s="97"/>
      <c r="BN37" s="97"/>
    </row>
    <row r="38" spans="1:66" ht="12.75">
      <c r="A38" s="79" t="s">
        <v>564</v>
      </c>
      <c r="B38" s="79" t="s">
        <v>323</v>
      </c>
      <c r="C38" s="79" t="s">
        <v>269</v>
      </c>
      <c r="D38" s="99">
        <v>4523</v>
      </c>
      <c r="E38" s="99">
        <v>1032</v>
      </c>
      <c r="F38" s="99" t="s">
        <v>364</v>
      </c>
      <c r="G38" s="99">
        <v>30</v>
      </c>
      <c r="H38" s="99">
        <v>14</v>
      </c>
      <c r="I38" s="99">
        <v>112</v>
      </c>
      <c r="J38" s="99">
        <v>536</v>
      </c>
      <c r="K38" s="99">
        <v>7</v>
      </c>
      <c r="L38" s="99">
        <v>916</v>
      </c>
      <c r="M38" s="99">
        <v>408</v>
      </c>
      <c r="N38" s="99">
        <v>198</v>
      </c>
      <c r="O38" s="99">
        <v>108</v>
      </c>
      <c r="P38" s="159">
        <v>108</v>
      </c>
      <c r="Q38" s="99">
        <v>7</v>
      </c>
      <c r="R38" s="99">
        <v>21</v>
      </c>
      <c r="S38" s="99">
        <v>27</v>
      </c>
      <c r="T38" s="99">
        <v>20</v>
      </c>
      <c r="U38" s="99" t="s">
        <v>589</v>
      </c>
      <c r="V38" s="99">
        <v>27</v>
      </c>
      <c r="W38" s="99">
        <v>27</v>
      </c>
      <c r="X38" s="99">
        <v>18</v>
      </c>
      <c r="Y38" s="99">
        <v>80</v>
      </c>
      <c r="Z38" s="99">
        <v>28</v>
      </c>
      <c r="AA38" s="99" t="s">
        <v>589</v>
      </c>
      <c r="AB38" s="99" t="s">
        <v>589</v>
      </c>
      <c r="AC38" s="99" t="s">
        <v>589</v>
      </c>
      <c r="AD38" s="98" t="s">
        <v>342</v>
      </c>
      <c r="AE38" s="100">
        <v>0.2281671456997568</v>
      </c>
      <c r="AF38" s="100">
        <v>0.07</v>
      </c>
      <c r="AG38" s="98">
        <v>663.2765863365023</v>
      </c>
      <c r="AH38" s="98">
        <v>309.5290736237011</v>
      </c>
      <c r="AI38" s="100">
        <v>0.025</v>
      </c>
      <c r="AJ38" s="100">
        <v>0.723347</v>
      </c>
      <c r="AK38" s="100">
        <v>0.538462</v>
      </c>
      <c r="AL38" s="100">
        <v>0.830462</v>
      </c>
      <c r="AM38" s="100">
        <v>0.570629</v>
      </c>
      <c r="AN38" s="100">
        <v>0.657807</v>
      </c>
      <c r="AO38" s="98">
        <v>2387.7957108114083</v>
      </c>
      <c r="AP38" s="158">
        <v>1.048787994</v>
      </c>
      <c r="AQ38" s="100">
        <v>0.06481481481481481</v>
      </c>
      <c r="AR38" s="100">
        <v>0.3333333333333333</v>
      </c>
      <c r="AS38" s="98">
        <v>596.9489277028521</v>
      </c>
      <c r="AT38" s="98">
        <v>442.18439089100156</v>
      </c>
      <c r="AU38" s="98" t="s">
        <v>589</v>
      </c>
      <c r="AV38" s="98">
        <v>596.9489277028521</v>
      </c>
      <c r="AW38" s="98">
        <v>596.9489277028521</v>
      </c>
      <c r="AX38" s="98">
        <v>397.9659518019014</v>
      </c>
      <c r="AY38" s="98">
        <v>1768.7375635640062</v>
      </c>
      <c r="AZ38" s="98">
        <v>619.0581472474022</v>
      </c>
      <c r="BA38" s="100" t="s">
        <v>589</v>
      </c>
      <c r="BB38" s="100" t="s">
        <v>589</v>
      </c>
      <c r="BC38" s="100" t="s">
        <v>589</v>
      </c>
      <c r="BD38" s="158">
        <v>0.8603411101999999</v>
      </c>
      <c r="BE38" s="158">
        <v>1.266243591</v>
      </c>
      <c r="BF38" s="162">
        <v>741</v>
      </c>
      <c r="BG38" s="162">
        <v>13</v>
      </c>
      <c r="BH38" s="162">
        <v>1103</v>
      </c>
      <c r="BI38" s="162">
        <v>715</v>
      </c>
      <c r="BJ38" s="162">
        <v>301</v>
      </c>
      <c r="BK38" s="97"/>
      <c r="BL38" s="97"/>
      <c r="BM38" s="97"/>
      <c r="BN38" s="97"/>
    </row>
    <row r="39" spans="1:66" ht="12.75">
      <c r="A39" s="79" t="s">
        <v>545</v>
      </c>
      <c r="B39" s="79" t="s">
        <v>303</v>
      </c>
      <c r="C39" s="79" t="s">
        <v>269</v>
      </c>
      <c r="D39" s="99">
        <v>4817</v>
      </c>
      <c r="E39" s="99">
        <v>1179</v>
      </c>
      <c r="F39" s="99" t="s">
        <v>362</v>
      </c>
      <c r="G39" s="99">
        <v>31</v>
      </c>
      <c r="H39" s="99">
        <v>15</v>
      </c>
      <c r="I39" s="99">
        <v>112</v>
      </c>
      <c r="J39" s="99">
        <v>613</v>
      </c>
      <c r="K39" s="99">
        <v>18</v>
      </c>
      <c r="L39" s="99">
        <v>934</v>
      </c>
      <c r="M39" s="99">
        <v>543</v>
      </c>
      <c r="N39" s="99">
        <v>232</v>
      </c>
      <c r="O39" s="99">
        <v>106</v>
      </c>
      <c r="P39" s="159">
        <v>106</v>
      </c>
      <c r="Q39" s="99">
        <v>16</v>
      </c>
      <c r="R39" s="99">
        <v>27</v>
      </c>
      <c r="S39" s="99">
        <v>15</v>
      </c>
      <c r="T39" s="99">
        <v>26</v>
      </c>
      <c r="U39" s="99" t="s">
        <v>589</v>
      </c>
      <c r="V39" s="99">
        <v>16</v>
      </c>
      <c r="W39" s="99">
        <v>41</v>
      </c>
      <c r="X39" s="99">
        <v>51</v>
      </c>
      <c r="Y39" s="99">
        <v>92</v>
      </c>
      <c r="Z39" s="99">
        <v>33</v>
      </c>
      <c r="AA39" s="99" t="s">
        <v>589</v>
      </c>
      <c r="AB39" s="99" t="s">
        <v>589</v>
      </c>
      <c r="AC39" s="99" t="s">
        <v>589</v>
      </c>
      <c r="AD39" s="98" t="s">
        <v>342</v>
      </c>
      <c r="AE39" s="100">
        <v>0.24475814822503633</v>
      </c>
      <c r="AF39" s="100">
        <v>0.1</v>
      </c>
      <c r="AG39" s="98">
        <v>643.5540793024704</v>
      </c>
      <c r="AH39" s="98">
        <v>311.3971351463567</v>
      </c>
      <c r="AI39" s="100">
        <v>0.023</v>
      </c>
      <c r="AJ39" s="100">
        <v>0.778907</v>
      </c>
      <c r="AK39" s="100">
        <v>0.818182</v>
      </c>
      <c r="AL39" s="100">
        <v>0.846782</v>
      </c>
      <c r="AM39" s="100">
        <v>0.65659</v>
      </c>
      <c r="AN39" s="100">
        <v>0.690476</v>
      </c>
      <c r="AO39" s="98">
        <v>2200.5397550342536</v>
      </c>
      <c r="AP39" s="158">
        <v>0.9547950745</v>
      </c>
      <c r="AQ39" s="100">
        <v>0.1509433962264151</v>
      </c>
      <c r="AR39" s="100">
        <v>0.5925925925925926</v>
      </c>
      <c r="AS39" s="98">
        <v>311.3971351463567</v>
      </c>
      <c r="AT39" s="98">
        <v>539.7550342536848</v>
      </c>
      <c r="AU39" s="98" t="s">
        <v>589</v>
      </c>
      <c r="AV39" s="98">
        <v>332.15694415611375</v>
      </c>
      <c r="AW39" s="98">
        <v>851.1521694000415</v>
      </c>
      <c r="AX39" s="98">
        <v>1058.7502594976127</v>
      </c>
      <c r="AY39" s="98">
        <v>1909.902428897654</v>
      </c>
      <c r="AZ39" s="98">
        <v>685.0736973219846</v>
      </c>
      <c r="BA39" s="100" t="s">
        <v>589</v>
      </c>
      <c r="BB39" s="100" t="s">
        <v>589</v>
      </c>
      <c r="BC39" s="100" t="s">
        <v>589</v>
      </c>
      <c r="BD39" s="158">
        <v>0.7817079925999999</v>
      </c>
      <c r="BE39" s="158">
        <v>1.1547971339999998</v>
      </c>
      <c r="BF39" s="162">
        <v>787</v>
      </c>
      <c r="BG39" s="162">
        <v>22</v>
      </c>
      <c r="BH39" s="162">
        <v>1103</v>
      </c>
      <c r="BI39" s="162">
        <v>827</v>
      </c>
      <c r="BJ39" s="162">
        <v>336</v>
      </c>
      <c r="BK39" s="97"/>
      <c r="BL39" s="97"/>
      <c r="BM39" s="97"/>
      <c r="BN39" s="97"/>
    </row>
    <row r="40" spans="1:66" ht="12.75">
      <c r="A40" s="79" t="s">
        <v>554</v>
      </c>
      <c r="B40" s="79" t="s">
        <v>313</v>
      </c>
      <c r="C40" s="79" t="s">
        <v>269</v>
      </c>
      <c r="D40" s="99">
        <v>9418</v>
      </c>
      <c r="E40" s="99">
        <v>1994</v>
      </c>
      <c r="F40" s="99" t="s">
        <v>362</v>
      </c>
      <c r="G40" s="99">
        <v>47</v>
      </c>
      <c r="H40" s="99">
        <v>37</v>
      </c>
      <c r="I40" s="99">
        <v>175</v>
      </c>
      <c r="J40" s="99">
        <v>854</v>
      </c>
      <c r="K40" s="99">
        <v>31</v>
      </c>
      <c r="L40" s="99">
        <v>1769</v>
      </c>
      <c r="M40" s="99">
        <v>648</v>
      </c>
      <c r="N40" s="99">
        <v>288</v>
      </c>
      <c r="O40" s="99">
        <v>196</v>
      </c>
      <c r="P40" s="159">
        <v>196</v>
      </c>
      <c r="Q40" s="99">
        <v>31</v>
      </c>
      <c r="R40" s="99">
        <v>55</v>
      </c>
      <c r="S40" s="99">
        <v>32</v>
      </c>
      <c r="T40" s="99">
        <v>40</v>
      </c>
      <c r="U40" s="99">
        <v>7</v>
      </c>
      <c r="V40" s="99">
        <v>32</v>
      </c>
      <c r="W40" s="99">
        <v>53</v>
      </c>
      <c r="X40" s="99">
        <v>60</v>
      </c>
      <c r="Y40" s="99">
        <v>138</v>
      </c>
      <c r="Z40" s="99">
        <v>72</v>
      </c>
      <c r="AA40" s="99" t="s">
        <v>589</v>
      </c>
      <c r="AB40" s="99" t="s">
        <v>589</v>
      </c>
      <c r="AC40" s="99" t="s">
        <v>589</v>
      </c>
      <c r="AD40" s="98" t="s">
        <v>342</v>
      </c>
      <c r="AE40" s="100">
        <v>0.21172223401996176</v>
      </c>
      <c r="AF40" s="100">
        <v>0.11</v>
      </c>
      <c r="AG40" s="98">
        <v>499.04438309619877</v>
      </c>
      <c r="AH40" s="98">
        <v>392.8647271182841</v>
      </c>
      <c r="AI40" s="100">
        <v>0.019</v>
      </c>
      <c r="AJ40" s="100">
        <v>0.726809</v>
      </c>
      <c r="AK40" s="100">
        <v>0.516667</v>
      </c>
      <c r="AL40" s="100">
        <v>0.799729</v>
      </c>
      <c r="AM40" s="100">
        <v>0.6</v>
      </c>
      <c r="AN40" s="100">
        <v>0.619355</v>
      </c>
      <c r="AO40" s="98">
        <v>2081.1212571671267</v>
      </c>
      <c r="AP40" s="158">
        <v>0.9933878326</v>
      </c>
      <c r="AQ40" s="100">
        <v>0.15816326530612246</v>
      </c>
      <c r="AR40" s="100">
        <v>0.5636363636363636</v>
      </c>
      <c r="AS40" s="98">
        <v>339.7748991293268</v>
      </c>
      <c r="AT40" s="98">
        <v>424.71862391165854</v>
      </c>
      <c r="AU40" s="98">
        <v>74.32575918454025</v>
      </c>
      <c r="AV40" s="98">
        <v>339.7748991293268</v>
      </c>
      <c r="AW40" s="98">
        <v>562.7521766829475</v>
      </c>
      <c r="AX40" s="98">
        <v>637.0779358674878</v>
      </c>
      <c r="AY40" s="98">
        <v>1465.279252495222</v>
      </c>
      <c r="AZ40" s="98">
        <v>764.4935230409853</v>
      </c>
      <c r="BA40" s="100" t="s">
        <v>589</v>
      </c>
      <c r="BB40" s="100" t="s">
        <v>589</v>
      </c>
      <c r="BC40" s="100" t="s">
        <v>589</v>
      </c>
      <c r="BD40" s="158">
        <v>0.8591769409</v>
      </c>
      <c r="BE40" s="158">
        <v>1.142618866</v>
      </c>
      <c r="BF40" s="162">
        <v>1175</v>
      </c>
      <c r="BG40" s="162">
        <v>60</v>
      </c>
      <c r="BH40" s="162">
        <v>2212</v>
      </c>
      <c r="BI40" s="162">
        <v>1080</v>
      </c>
      <c r="BJ40" s="162">
        <v>465</v>
      </c>
      <c r="BK40" s="97"/>
      <c r="BL40" s="97"/>
      <c r="BM40" s="97"/>
      <c r="BN40" s="97"/>
    </row>
    <row r="41" spans="1:66" ht="12.75">
      <c r="A41" s="79" t="s">
        <v>571</v>
      </c>
      <c r="B41" s="79" t="s">
        <v>330</v>
      </c>
      <c r="C41" s="79" t="s">
        <v>269</v>
      </c>
      <c r="D41" s="99">
        <v>8447</v>
      </c>
      <c r="E41" s="99">
        <v>2089</v>
      </c>
      <c r="F41" s="99" t="s">
        <v>362</v>
      </c>
      <c r="G41" s="99">
        <v>59</v>
      </c>
      <c r="H41" s="99">
        <v>19</v>
      </c>
      <c r="I41" s="99">
        <v>137</v>
      </c>
      <c r="J41" s="99">
        <v>963</v>
      </c>
      <c r="K41" s="99">
        <v>27</v>
      </c>
      <c r="L41" s="99">
        <v>1568</v>
      </c>
      <c r="M41" s="99">
        <v>744</v>
      </c>
      <c r="N41" s="99">
        <v>305</v>
      </c>
      <c r="O41" s="99">
        <v>194</v>
      </c>
      <c r="P41" s="159">
        <v>194</v>
      </c>
      <c r="Q41" s="99">
        <v>25</v>
      </c>
      <c r="R41" s="99">
        <v>59</v>
      </c>
      <c r="S41" s="99">
        <v>40</v>
      </c>
      <c r="T41" s="99">
        <v>36</v>
      </c>
      <c r="U41" s="99">
        <v>6</v>
      </c>
      <c r="V41" s="99">
        <v>20</v>
      </c>
      <c r="W41" s="99">
        <v>56</v>
      </c>
      <c r="X41" s="99">
        <v>74</v>
      </c>
      <c r="Y41" s="99">
        <v>92</v>
      </c>
      <c r="Z41" s="99">
        <v>63</v>
      </c>
      <c r="AA41" s="99" t="s">
        <v>589</v>
      </c>
      <c r="AB41" s="99" t="s">
        <v>589</v>
      </c>
      <c r="AC41" s="99" t="s">
        <v>589</v>
      </c>
      <c r="AD41" s="98" t="s">
        <v>342</v>
      </c>
      <c r="AE41" s="100">
        <v>0.24730673611933232</v>
      </c>
      <c r="AF41" s="100">
        <v>0.09</v>
      </c>
      <c r="AG41" s="98">
        <v>698.4728305907423</v>
      </c>
      <c r="AH41" s="98">
        <v>224.93192849532377</v>
      </c>
      <c r="AI41" s="100">
        <v>0.016</v>
      </c>
      <c r="AJ41" s="100">
        <v>0.739064</v>
      </c>
      <c r="AK41" s="100">
        <v>0.627907</v>
      </c>
      <c r="AL41" s="100">
        <v>0.807415</v>
      </c>
      <c r="AM41" s="100">
        <v>0.59759</v>
      </c>
      <c r="AN41" s="100">
        <v>0.655914</v>
      </c>
      <c r="AO41" s="98">
        <v>2296.67337516278</v>
      </c>
      <c r="AP41" s="158">
        <v>1.006729965</v>
      </c>
      <c r="AQ41" s="100">
        <v>0.12886597938144329</v>
      </c>
      <c r="AR41" s="100">
        <v>0.423728813559322</v>
      </c>
      <c r="AS41" s="98">
        <v>473.5409020954185</v>
      </c>
      <c r="AT41" s="98">
        <v>426.18681188587664</v>
      </c>
      <c r="AU41" s="98">
        <v>71.03113531431278</v>
      </c>
      <c r="AV41" s="98">
        <v>236.77045104770926</v>
      </c>
      <c r="AW41" s="98">
        <v>662.9572629335859</v>
      </c>
      <c r="AX41" s="98">
        <v>876.0506688765242</v>
      </c>
      <c r="AY41" s="98">
        <v>1089.1440748194625</v>
      </c>
      <c r="AZ41" s="98">
        <v>745.8269208002841</v>
      </c>
      <c r="BA41" s="100" t="s">
        <v>589</v>
      </c>
      <c r="BB41" s="100" t="s">
        <v>589</v>
      </c>
      <c r="BC41" s="100" t="s">
        <v>589</v>
      </c>
      <c r="BD41" s="158">
        <v>0.8700429535</v>
      </c>
      <c r="BE41" s="158">
        <v>1.1587976070000001</v>
      </c>
      <c r="BF41" s="162">
        <v>1303</v>
      </c>
      <c r="BG41" s="162">
        <v>43</v>
      </c>
      <c r="BH41" s="162">
        <v>1942</v>
      </c>
      <c r="BI41" s="162">
        <v>1245</v>
      </c>
      <c r="BJ41" s="162">
        <v>465</v>
      </c>
      <c r="BK41" s="97"/>
      <c r="BL41" s="97"/>
      <c r="BM41" s="97"/>
      <c r="BN41" s="97"/>
    </row>
    <row r="42" spans="1:66" ht="12.75">
      <c r="A42" s="79" t="s">
        <v>539</v>
      </c>
      <c r="B42" s="79" t="s">
        <v>297</v>
      </c>
      <c r="C42" s="79" t="s">
        <v>269</v>
      </c>
      <c r="D42" s="99">
        <v>5182</v>
      </c>
      <c r="E42" s="99">
        <v>1547</v>
      </c>
      <c r="F42" s="99" t="s">
        <v>362</v>
      </c>
      <c r="G42" s="99">
        <v>37</v>
      </c>
      <c r="H42" s="99">
        <v>22</v>
      </c>
      <c r="I42" s="99">
        <v>129</v>
      </c>
      <c r="J42" s="99">
        <v>672</v>
      </c>
      <c r="K42" s="99">
        <v>631</v>
      </c>
      <c r="L42" s="99">
        <v>875</v>
      </c>
      <c r="M42" s="99">
        <v>501</v>
      </c>
      <c r="N42" s="99">
        <v>215</v>
      </c>
      <c r="O42" s="99">
        <v>138</v>
      </c>
      <c r="P42" s="159">
        <v>138</v>
      </c>
      <c r="Q42" s="99">
        <v>17</v>
      </c>
      <c r="R42" s="99">
        <v>42</v>
      </c>
      <c r="S42" s="99">
        <v>23</v>
      </c>
      <c r="T42" s="99">
        <v>38</v>
      </c>
      <c r="U42" s="99" t="s">
        <v>589</v>
      </c>
      <c r="V42" s="99">
        <v>15</v>
      </c>
      <c r="W42" s="99">
        <v>35</v>
      </c>
      <c r="X42" s="99">
        <v>59</v>
      </c>
      <c r="Y42" s="99">
        <v>44</v>
      </c>
      <c r="Z42" s="99">
        <v>48</v>
      </c>
      <c r="AA42" s="99" t="s">
        <v>589</v>
      </c>
      <c r="AB42" s="99" t="s">
        <v>589</v>
      </c>
      <c r="AC42" s="99" t="s">
        <v>589</v>
      </c>
      <c r="AD42" s="98" t="s">
        <v>342</v>
      </c>
      <c r="AE42" s="100">
        <v>0.29853338479351604</v>
      </c>
      <c r="AF42" s="100">
        <v>0.09</v>
      </c>
      <c r="AG42" s="98">
        <v>714.0100347356233</v>
      </c>
      <c r="AH42" s="98">
        <v>424.54650714010035</v>
      </c>
      <c r="AI42" s="100">
        <v>0.025</v>
      </c>
      <c r="AJ42" s="100">
        <v>0.809639</v>
      </c>
      <c r="AK42" s="100">
        <v>0.804847</v>
      </c>
      <c r="AL42" s="100">
        <v>0.787579</v>
      </c>
      <c r="AM42" s="100">
        <v>0.589412</v>
      </c>
      <c r="AN42" s="100">
        <v>0.667702</v>
      </c>
      <c r="AO42" s="98">
        <v>2663.0644538788115</v>
      </c>
      <c r="AP42" s="158">
        <v>1.055168457</v>
      </c>
      <c r="AQ42" s="100">
        <v>0.12318840579710146</v>
      </c>
      <c r="AR42" s="100">
        <v>0.40476190476190477</v>
      </c>
      <c r="AS42" s="98">
        <v>443.8440756464685</v>
      </c>
      <c r="AT42" s="98">
        <v>733.3076032419915</v>
      </c>
      <c r="AU42" s="98" t="s">
        <v>589</v>
      </c>
      <c r="AV42" s="98">
        <v>289.463527595523</v>
      </c>
      <c r="AW42" s="98">
        <v>675.414897722887</v>
      </c>
      <c r="AX42" s="98">
        <v>1138.5565418757237</v>
      </c>
      <c r="AY42" s="98">
        <v>849.0930142802007</v>
      </c>
      <c r="AZ42" s="98">
        <v>926.2832883056735</v>
      </c>
      <c r="BA42" s="100" t="s">
        <v>589</v>
      </c>
      <c r="BB42" s="100" t="s">
        <v>589</v>
      </c>
      <c r="BC42" s="100" t="s">
        <v>589</v>
      </c>
      <c r="BD42" s="158">
        <v>0.8864707946999999</v>
      </c>
      <c r="BE42" s="158">
        <v>1.246625977</v>
      </c>
      <c r="BF42" s="162">
        <v>830</v>
      </c>
      <c r="BG42" s="162">
        <v>784</v>
      </c>
      <c r="BH42" s="162">
        <v>1111</v>
      </c>
      <c r="BI42" s="162">
        <v>850</v>
      </c>
      <c r="BJ42" s="162">
        <v>322</v>
      </c>
      <c r="BK42" s="97"/>
      <c r="BL42" s="97"/>
      <c r="BM42" s="97"/>
      <c r="BN42" s="97"/>
    </row>
    <row r="43" spans="1:66" ht="12.75">
      <c r="A43" s="79" t="s">
        <v>546</v>
      </c>
      <c r="B43" s="79" t="s">
        <v>304</v>
      </c>
      <c r="C43" s="79" t="s">
        <v>269</v>
      </c>
      <c r="D43" s="99">
        <v>6615</v>
      </c>
      <c r="E43" s="99">
        <v>1948</v>
      </c>
      <c r="F43" s="99" t="s">
        <v>363</v>
      </c>
      <c r="G43" s="99">
        <v>53</v>
      </c>
      <c r="H43" s="99">
        <v>27</v>
      </c>
      <c r="I43" s="99">
        <v>183</v>
      </c>
      <c r="J43" s="99">
        <v>687</v>
      </c>
      <c r="K43" s="99">
        <v>19</v>
      </c>
      <c r="L43" s="99">
        <v>1097</v>
      </c>
      <c r="M43" s="99">
        <v>558</v>
      </c>
      <c r="N43" s="99">
        <v>244</v>
      </c>
      <c r="O43" s="99">
        <v>111</v>
      </c>
      <c r="P43" s="159">
        <v>111</v>
      </c>
      <c r="Q43" s="99">
        <v>17</v>
      </c>
      <c r="R43" s="99">
        <v>35</v>
      </c>
      <c r="S43" s="99">
        <v>23</v>
      </c>
      <c r="T43" s="99">
        <v>10</v>
      </c>
      <c r="U43" s="99">
        <v>6</v>
      </c>
      <c r="V43" s="99">
        <v>18</v>
      </c>
      <c r="W43" s="99">
        <v>32</v>
      </c>
      <c r="X43" s="99">
        <v>50</v>
      </c>
      <c r="Y43" s="99">
        <v>86</v>
      </c>
      <c r="Z43" s="99">
        <v>63</v>
      </c>
      <c r="AA43" s="99" t="s">
        <v>589</v>
      </c>
      <c r="AB43" s="99" t="s">
        <v>589</v>
      </c>
      <c r="AC43" s="99" t="s">
        <v>589</v>
      </c>
      <c r="AD43" s="98" t="s">
        <v>342</v>
      </c>
      <c r="AE43" s="100">
        <v>0.29448223733938017</v>
      </c>
      <c r="AF43" s="100">
        <v>0.12</v>
      </c>
      <c r="AG43" s="98">
        <v>801.209372637944</v>
      </c>
      <c r="AH43" s="98">
        <v>408.16326530612247</v>
      </c>
      <c r="AI43" s="100">
        <v>0.027999999999999997</v>
      </c>
      <c r="AJ43" s="100">
        <v>0.693239</v>
      </c>
      <c r="AK43" s="100">
        <v>0.678571</v>
      </c>
      <c r="AL43" s="100">
        <v>0.794928</v>
      </c>
      <c r="AM43" s="100">
        <v>0.575258</v>
      </c>
      <c r="AN43" s="100">
        <v>0.613065</v>
      </c>
      <c r="AO43" s="98">
        <v>1678.0045351473923</v>
      </c>
      <c r="AP43" s="158">
        <v>0.6759661865</v>
      </c>
      <c r="AQ43" s="100">
        <v>0.15315315315315314</v>
      </c>
      <c r="AR43" s="100">
        <v>0.4857142857142857</v>
      </c>
      <c r="AS43" s="98">
        <v>347.6946334089191</v>
      </c>
      <c r="AT43" s="98">
        <v>151.17157974300832</v>
      </c>
      <c r="AU43" s="98">
        <v>90.70294784580499</v>
      </c>
      <c r="AV43" s="98">
        <v>272.10884353741494</v>
      </c>
      <c r="AW43" s="98">
        <v>483.7490551776266</v>
      </c>
      <c r="AX43" s="98">
        <v>755.8578987150415</v>
      </c>
      <c r="AY43" s="98">
        <v>1300.0755857898714</v>
      </c>
      <c r="AZ43" s="98">
        <v>952.3809523809524</v>
      </c>
      <c r="BA43" s="100" t="s">
        <v>589</v>
      </c>
      <c r="BB43" s="100" t="s">
        <v>589</v>
      </c>
      <c r="BC43" s="100" t="s">
        <v>589</v>
      </c>
      <c r="BD43" s="158">
        <v>0.5560785675000001</v>
      </c>
      <c r="BE43" s="158">
        <v>0.8140376281999999</v>
      </c>
      <c r="BF43" s="162">
        <v>991</v>
      </c>
      <c r="BG43" s="162">
        <v>28</v>
      </c>
      <c r="BH43" s="162">
        <v>1380</v>
      </c>
      <c r="BI43" s="162">
        <v>970</v>
      </c>
      <c r="BJ43" s="162">
        <v>398</v>
      </c>
      <c r="BK43" s="97"/>
      <c r="BL43" s="97"/>
      <c r="BM43" s="97"/>
      <c r="BN43" s="97"/>
    </row>
    <row r="44" spans="1:66" ht="12.75">
      <c r="A44" s="79" t="s">
        <v>556</v>
      </c>
      <c r="B44" s="79" t="s">
        <v>315</v>
      </c>
      <c r="C44" s="79" t="s">
        <v>269</v>
      </c>
      <c r="D44" s="99">
        <v>14068</v>
      </c>
      <c r="E44" s="99">
        <v>3006</v>
      </c>
      <c r="F44" s="99" t="s">
        <v>363</v>
      </c>
      <c r="G44" s="99">
        <v>91</v>
      </c>
      <c r="H44" s="99">
        <v>35</v>
      </c>
      <c r="I44" s="99">
        <v>376</v>
      </c>
      <c r="J44" s="99">
        <v>1354</v>
      </c>
      <c r="K44" s="99">
        <v>22</v>
      </c>
      <c r="L44" s="99">
        <v>2473</v>
      </c>
      <c r="M44" s="99">
        <v>1073</v>
      </c>
      <c r="N44" s="99">
        <v>477</v>
      </c>
      <c r="O44" s="99">
        <v>399</v>
      </c>
      <c r="P44" s="159">
        <v>399</v>
      </c>
      <c r="Q44" s="99">
        <v>41</v>
      </c>
      <c r="R44" s="99">
        <v>69</v>
      </c>
      <c r="S44" s="99">
        <v>70</v>
      </c>
      <c r="T44" s="99">
        <v>91</v>
      </c>
      <c r="U44" s="99">
        <v>18</v>
      </c>
      <c r="V44" s="99">
        <v>56</v>
      </c>
      <c r="W44" s="99">
        <v>114</v>
      </c>
      <c r="X44" s="99">
        <v>95</v>
      </c>
      <c r="Y44" s="99">
        <v>248</v>
      </c>
      <c r="Z44" s="99">
        <v>97</v>
      </c>
      <c r="AA44" s="99" t="s">
        <v>589</v>
      </c>
      <c r="AB44" s="99" t="s">
        <v>589</v>
      </c>
      <c r="AC44" s="99" t="s">
        <v>589</v>
      </c>
      <c r="AD44" s="98" t="s">
        <v>342</v>
      </c>
      <c r="AE44" s="100">
        <v>0.21367642877452375</v>
      </c>
      <c r="AF44" s="100">
        <v>0.15</v>
      </c>
      <c r="AG44" s="98">
        <v>646.8581177139607</v>
      </c>
      <c r="AH44" s="98">
        <v>248.79158373613876</v>
      </c>
      <c r="AI44" s="100">
        <v>0.027000000000000003</v>
      </c>
      <c r="AJ44" s="100">
        <v>0.685917</v>
      </c>
      <c r="AK44" s="100">
        <v>0.564103</v>
      </c>
      <c r="AL44" s="100">
        <v>0.768968</v>
      </c>
      <c r="AM44" s="100">
        <v>0.580942</v>
      </c>
      <c r="AN44" s="100">
        <v>0.617076</v>
      </c>
      <c r="AO44" s="98">
        <v>2836.2240545919817</v>
      </c>
      <c r="AP44" s="158">
        <v>1.3580070499999999</v>
      </c>
      <c r="AQ44" s="100">
        <v>0.10275689223057644</v>
      </c>
      <c r="AR44" s="100">
        <v>0.5942028985507246</v>
      </c>
      <c r="AS44" s="98">
        <v>497.5831674722775</v>
      </c>
      <c r="AT44" s="98">
        <v>646.8581177139607</v>
      </c>
      <c r="AU44" s="98">
        <v>127.94995735001422</v>
      </c>
      <c r="AV44" s="98">
        <v>398.066533977822</v>
      </c>
      <c r="AW44" s="98">
        <v>810.3497298834234</v>
      </c>
      <c r="AX44" s="98">
        <v>675.2914415695195</v>
      </c>
      <c r="AY44" s="98">
        <v>1762.8660790446404</v>
      </c>
      <c r="AZ44" s="98">
        <v>689.5081034972989</v>
      </c>
      <c r="BA44" s="100" t="s">
        <v>589</v>
      </c>
      <c r="BB44" s="100" t="s">
        <v>589</v>
      </c>
      <c r="BC44" s="100" t="s">
        <v>589</v>
      </c>
      <c r="BD44" s="158">
        <v>1.228007584</v>
      </c>
      <c r="BE44" s="158">
        <v>1.498022461</v>
      </c>
      <c r="BF44" s="162">
        <v>1974</v>
      </c>
      <c r="BG44" s="162">
        <v>39</v>
      </c>
      <c r="BH44" s="162">
        <v>3216</v>
      </c>
      <c r="BI44" s="162">
        <v>1847</v>
      </c>
      <c r="BJ44" s="162">
        <v>773</v>
      </c>
      <c r="BK44" s="97"/>
      <c r="BL44" s="97"/>
      <c r="BM44" s="97"/>
      <c r="BN44" s="97"/>
    </row>
    <row r="45" spans="1:66" ht="12.75">
      <c r="A45" s="79" t="s">
        <v>526</v>
      </c>
      <c r="B45" s="79" t="s">
        <v>283</v>
      </c>
      <c r="C45" s="79" t="s">
        <v>269</v>
      </c>
      <c r="D45" s="99">
        <v>9050</v>
      </c>
      <c r="E45" s="99">
        <v>2441</v>
      </c>
      <c r="F45" s="99" t="s">
        <v>362</v>
      </c>
      <c r="G45" s="99">
        <v>63</v>
      </c>
      <c r="H45" s="99">
        <v>32</v>
      </c>
      <c r="I45" s="99">
        <v>158</v>
      </c>
      <c r="J45" s="99">
        <v>1117</v>
      </c>
      <c r="K45" s="99">
        <v>484</v>
      </c>
      <c r="L45" s="99">
        <v>1608</v>
      </c>
      <c r="M45" s="99">
        <v>915</v>
      </c>
      <c r="N45" s="99">
        <v>412</v>
      </c>
      <c r="O45" s="99">
        <v>180</v>
      </c>
      <c r="P45" s="159">
        <v>180</v>
      </c>
      <c r="Q45" s="99">
        <v>24</v>
      </c>
      <c r="R45" s="99">
        <v>53</v>
      </c>
      <c r="S45" s="99">
        <v>45</v>
      </c>
      <c r="T45" s="99">
        <v>27</v>
      </c>
      <c r="U45" s="99">
        <v>9</v>
      </c>
      <c r="V45" s="99">
        <v>46</v>
      </c>
      <c r="W45" s="99">
        <v>77</v>
      </c>
      <c r="X45" s="99">
        <v>38</v>
      </c>
      <c r="Y45" s="99">
        <v>143</v>
      </c>
      <c r="Z45" s="99">
        <v>72</v>
      </c>
      <c r="AA45" s="99" t="s">
        <v>589</v>
      </c>
      <c r="AB45" s="99" t="s">
        <v>589</v>
      </c>
      <c r="AC45" s="99" t="s">
        <v>589</v>
      </c>
      <c r="AD45" s="98" t="s">
        <v>342</v>
      </c>
      <c r="AE45" s="100">
        <v>0.26972375690607736</v>
      </c>
      <c r="AF45" s="100">
        <v>0.12</v>
      </c>
      <c r="AG45" s="98">
        <v>696.1325966850828</v>
      </c>
      <c r="AH45" s="98">
        <v>353.5911602209945</v>
      </c>
      <c r="AI45" s="100">
        <v>0.017</v>
      </c>
      <c r="AJ45" s="100">
        <v>0.7417</v>
      </c>
      <c r="AK45" s="100">
        <v>0.788274</v>
      </c>
      <c r="AL45" s="100">
        <v>0.762808</v>
      </c>
      <c r="AM45" s="100">
        <v>0.617826</v>
      </c>
      <c r="AN45" s="100">
        <v>0.673203</v>
      </c>
      <c r="AO45" s="98">
        <v>1988.9502762430939</v>
      </c>
      <c r="AP45" s="158">
        <v>0.8187059021</v>
      </c>
      <c r="AQ45" s="100">
        <v>0.13333333333333333</v>
      </c>
      <c r="AR45" s="100">
        <v>0.4528301886792453</v>
      </c>
      <c r="AS45" s="98">
        <v>497.23756906077347</v>
      </c>
      <c r="AT45" s="98">
        <v>298.3425414364641</v>
      </c>
      <c r="AU45" s="98">
        <v>99.4475138121547</v>
      </c>
      <c r="AV45" s="98">
        <v>508.28729281767954</v>
      </c>
      <c r="AW45" s="98">
        <v>850.828729281768</v>
      </c>
      <c r="AX45" s="98">
        <v>419.88950276243094</v>
      </c>
      <c r="AY45" s="98">
        <v>1580.110497237569</v>
      </c>
      <c r="AZ45" s="98">
        <v>795.5801104972376</v>
      </c>
      <c r="BA45" s="100" t="s">
        <v>589</v>
      </c>
      <c r="BB45" s="100" t="s">
        <v>589</v>
      </c>
      <c r="BC45" s="100" t="s">
        <v>589</v>
      </c>
      <c r="BD45" s="158">
        <v>0.7034680176000001</v>
      </c>
      <c r="BE45" s="158">
        <v>0.9474365996999999</v>
      </c>
      <c r="BF45" s="162">
        <v>1506</v>
      </c>
      <c r="BG45" s="162">
        <v>614</v>
      </c>
      <c r="BH45" s="162">
        <v>2108</v>
      </c>
      <c r="BI45" s="162">
        <v>1481</v>
      </c>
      <c r="BJ45" s="162">
        <v>612</v>
      </c>
      <c r="BK45" s="97"/>
      <c r="BL45" s="97"/>
      <c r="BM45" s="97"/>
      <c r="BN45" s="97"/>
    </row>
    <row r="46" spans="1:66" ht="12.75">
      <c r="A46" s="79" t="s">
        <v>530</v>
      </c>
      <c r="B46" s="79" t="s">
        <v>287</v>
      </c>
      <c r="C46" s="79" t="s">
        <v>269</v>
      </c>
      <c r="D46" s="99">
        <v>9007</v>
      </c>
      <c r="E46" s="99">
        <v>2507</v>
      </c>
      <c r="F46" s="99" t="s">
        <v>362</v>
      </c>
      <c r="G46" s="99">
        <v>52</v>
      </c>
      <c r="H46" s="99">
        <v>26</v>
      </c>
      <c r="I46" s="99">
        <v>170</v>
      </c>
      <c r="J46" s="99">
        <v>1093</v>
      </c>
      <c r="K46" s="99">
        <v>27</v>
      </c>
      <c r="L46" s="99">
        <v>1511</v>
      </c>
      <c r="M46" s="99">
        <v>894</v>
      </c>
      <c r="N46" s="99">
        <v>411</v>
      </c>
      <c r="O46" s="99">
        <v>104</v>
      </c>
      <c r="P46" s="159">
        <v>104</v>
      </c>
      <c r="Q46" s="99">
        <v>24</v>
      </c>
      <c r="R46" s="99">
        <v>59</v>
      </c>
      <c r="S46" s="99">
        <v>22</v>
      </c>
      <c r="T46" s="99">
        <v>14</v>
      </c>
      <c r="U46" s="99">
        <v>9</v>
      </c>
      <c r="V46" s="99">
        <v>14</v>
      </c>
      <c r="W46" s="99">
        <v>59</v>
      </c>
      <c r="X46" s="99">
        <v>79</v>
      </c>
      <c r="Y46" s="99">
        <v>174</v>
      </c>
      <c r="Z46" s="99">
        <v>60</v>
      </c>
      <c r="AA46" s="99" t="s">
        <v>589</v>
      </c>
      <c r="AB46" s="99" t="s">
        <v>589</v>
      </c>
      <c r="AC46" s="99" t="s">
        <v>589</v>
      </c>
      <c r="AD46" s="98" t="s">
        <v>342</v>
      </c>
      <c r="AE46" s="100">
        <v>0.2783390696125236</v>
      </c>
      <c r="AF46" s="100">
        <v>0.12</v>
      </c>
      <c r="AG46" s="98">
        <v>577.3287443099812</v>
      </c>
      <c r="AH46" s="98">
        <v>288.6643721549906</v>
      </c>
      <c r="AI46" s="100">
        <v>0.019</v>
      </c>
      <c r="AJ46" s="100">
        <v>0.758501</v>
      </c>
      <c r="AK46" s="100">
        <v>0.490909</v>
      </c>
      <c r="AL46" s="100">
        <v>0.758915</v>
      </c>
      <c r="AM46" s="100">
        <v>0.597993</v>
      </c>
      <c r="AN46" s="100">
        <v>0.642188</v>
      </c>
      <c r="AO46" s="98">
        <v>1154.6574886199624</v>
      </c>
      <c r="AP46" s="158">
        <v>0.47180328369999996</v>
      </c>
      <c r="AQ46" s="100">
        <v>0.23076923076923078</v>
      </c>
      <c r="AR46" s="100">
        <v>0.4067796610169492</v>
      </c>
      <c r="AS46" s="98">
        <v>244.25446874653048</v>
      </c>
      <c r="AT46" s="98">
        <v>155.43466192961031</v>
      </c>
      <c r="AU46" s="98">
        <v>99.9222826690352</v>
      </c>
      <c r="AV46" s="98">
        <v>155.43466192961031</v>
      </c>
      <c r="AW46" s="98">
        <v>655.0460752747863</v>
      </c>
      <c r="AX46" s="98">
        <v>877.0955923170867</v>
      </c>
      <c r="AY46" s="98">
        <v>1931.8307982680137</v>
      </c>
      <c r="AZ46" s="98">
        <v>666.1485511269013</v>
      </c>
      <c r="BA46" s="100" t="s">
        <v>589</v>
      </c>
      <c r="BB46" s="100" t="s">
        <v>589</v>
      </c>
      <c r="BC46" s="100" t="s">
        <v>589</v>
      </c>
      <c r="BD46" s="158">
        <v>0.3854974747</v>
      </c>
      <c r="BE46" s="158">
        <v>0.5716686249</v>
      </c>
      <c r="BF46" s="162">
        <v>1441</v>
      </c>
      <c r="BG46" s="162">
        <v>55</v>
      </c>
      <c r="BH46" s="162">
        <v>1991</v>
      </c>
      <c r="BI46" s="162">
        <v>1495</v>
      </c>
      <c r="BJ46" s="162">
        <v>640</v>
      </c>
      <c r="BK46" s="97"/>
      <c r="BL46" s="97"/>
      <c r="BM46" s="97"/>
      <c r="BN46" s="97"/>
    </row>
    <row r="47" spans="1:66" ht="12.75">
      <c r="A47" s="79" t="s">
        <v>552</v>
      </c>
      <c r="B47" s="79" t="s">
        <v>311</v>
      </c>
      <c r="C47" s="79" t="s">
        <v>269</v>
      </c>
      <c r="D47" s="99">
        <v>9397</v>
      </c>
      <c r="E47" s="99">
        <v>1872</v>
      </c>
      <c r="F47" s="99" t="s">
        <v>364</v>
      </c>
      <c r="G47" s="99">
        <v>57</v>
      </c>
      <c r="H47" s="99">
        <v>26</v>
      </c>
      <c r="I47" s="99">
        <v>195</v>
      </c>
      <c r="J47" s="99">
        <v>995</v>
      </c>
      <c r="K47" s="99">
        <v>790</v>
      </c>
      <c r="L47" s="99">
        <v>1890</v>
      </c>
      <c r="M47" s="99">
        <v>719</v>
      </c>
      <c r="N47" s="99">
        <v>305</v>
      </c>
      <c r="O47" s="99">
        <v>161</v>
      </c>
      <c r="P47" s="159">
        <v>161</v>
      </c>
      <c r="Q47" s="99">
        <v>29</v>
      </c>
      <c r="R47" s="99">
        <v>60</v>
      </c>
      <c r="S47" s="99">
        <v>51</v>
      </c>
      <c r="T47" s="99">
        <v>21</v>
      </c>
      <c r="U47" s="99" t="s">
        <v>589</v>
      </c>
      <c r="V47" s="99">
        <v>31</v>
      </c>
      <c r="W47" s="99">
        <v>59</v>
      </c>
      <c r="X47" s="99">
        <v>46</v>
      </c>
      <c r="Y47" s="99">
        <v>135</v>
      </c>
      <c r="Z47" s="99">
        <v>53</v>
      </c>
      <c r="AA47" s="99" t="s">
        <v>589</v>
      </c>
      <c r="AB47" s="99" t="s">
        <v>589</v>
      </c>
      <c r="AC47" s="99" t="s">
        <v>589</v>
      </c>
      <c r="AD47" s="98" t="s">
        <v>342</v>
      </c>
      <c r="AE47" s="100">
        <v>0.19921251463232947</v>
      </c>
      <c r="AF47" s="100">
        <v>0.07</v>
      </c>
      <c r="AG47" s="98">
        <v>606.5765669894647</v>
      </c>
      <c r="AH47" s="98">
        <v>276.6840481004576</v>
      </c>
      <c r="AI47" s="100">
        <v>0.021</v>
      </c>
      <c r="AJ47" s="100">
        <v>0.777344</v>
      </c>
      <c r="AK47" s="100">
        <v>0.764023</v>
      </c>
      <c r="AL47" s="100">
        <v>0.829675</v>
      </c>
      <c r="AM47" s="100">
        <v>0.610357</v>
      </c>
      <c r="AN47" s="100">
        <v>0.660173</v>
      </c>
      <c r="AO47" s="98">
        <v>1713.312759391295</v>
      </c>
      <c r="AP47" s="158">
        <v>0.8287567902</v>
      </c>
      <c r="AQ47" s="100">
        <v>0.18012422360248448</v>
      </c>
      <c r="AR47" s="100">
        <v>0.48333333333333334</v>
      </c>
      <c r="AS47" s="98">
        <v>542.7264020432053</v>
      </c>
      <c r="AT47" s="98">
        <v>223.47557731190807</v>
      </c>
      <c r="AU47" s="98" t="s">
        <v>589</v>
      </c>
      <c r="AV47" s="98">
        <v>329.89251888900714</v>
      </c>
      <c r="AW47" s="98">
        <v>627.8599553048846</v>
      </c>
      <c r="AX47" s="98">
        <v>489.51793125465576</v>
      </c>
      <c r="AY47" s="98">
        <v>1436.6287112908376</v>
      </c>
      <c r="AZ47" s="98">
        <v>564.0097903586251</v>
      </c>
      <c r="BA47" s="100" t="s">
        <v>589</v>
      </c>
      <c r="BB47" s="100" t="s">
        <v>589</v>
      </c>
      <c r="BC47" s="100" t="s">
        <v>589</v>
      </c>
      <c r="BD47" s="158">
        <v>0.7056844329999999</v>
      </c>
      <c r="BE47" s="158">
        <v>0.9671205902</v>
      </c>
      <c r="BF47" s="162">
        <v>1280</v>
      </c>
      <c r="BG47" s="162">
        <v>1034</v>
      </c>
      <c r="BH47" s="162">
        <v>2278</v>
      </c>
      <c r="BI47" s="162">
        <v>1178</v>
      </c>
      <c r="BJ47" s="162">
        <v>462</v>
      </c>
      <c r="BK47" s="97"/>
      <c r="BL47" s="97"/>
      <c r="BM47" s="97"/>
      <c r="BN47" s="97"/>
    </row>
    <row r="48" spans="1:66" ht="12.75">
      <c r="A48" s="79" t="s">
        <v>569</v>
      </c>
      <c r="B48" s="79" t="s">
        <v>328</v>
      </c>
      <c r="C48" s="79" t="s">
        <v>269</v>
      </c>
      <c r="D48" s="99">
        <v>4473</v>
      </c>
      <c r="E48" s="99">
        <v>864</v>
      </c>
      <c r="F48" s="99" t="s">
        <v>362</v>
      </c>
      <c r="G48" s="99">
        <v>28</v>
      </c>
      <c r="H48" s="99">
        <v>9</v>
      </c>
      <c r="I48" s="99">
        <v>114</v>
      </c>
      <c r="J48" s="99">
        <v>450</v>
      </c>
      <c r="K48" s="99">
        <v>413</v>
      </c>
      <c r="L48" s="99">
        <v>807</v>
      </c>
      <c r="M48" s="99">
        <v>341</v>
      </c>
      <c r="N48" s="99">
        <v>148</v>
      </c>
      <c r="O48" s="99">
        <v>69</v>
      </c>
      <c r="P48" s="159">
        <v>69</v>
      </c>
      <c r="Q48" s="99">
        <v>15</v>
      </c>
      <c r="R48" s="99">
        <v>31</v>
      </c>
      <c r="S48" s="99">
        <v>18</v>
      </c>
      <c r="T48" s="99">
        <v>12</v>
      </c>
      <c r="U48" s="99" t="s">
        <v>589</v>
      </c>
      <c r="V48" s="99">
        <v>10</v>
      </c>
      <c r="W48" s="99">
        <v>28</v>
      </c>
      <c r="X48" s="99">
        <v>33</v>
      </c>
      <c r="Y48" s="99">
        <v>51</v>
      </c>
      <c r="Z48" s="99">
        <v>21</v>
      </c>
      <c r="AA48" s="99" t="s">
        <v>589</v>
      </c>
      <c r="AB48" s="99" t="s">
        <v>589</v>
      </c>
      <c r="AC48" s="99" t="s">
        <v>589</v>
      </c>
      <c r="AD48" s="98" t="s">
        <v>342</v>
      </c>
      <c r="AE48" s="100">
        <v>0.193158953722334</v>
      </c>
      <c r="AF48" s="100">
        <v>0.11</v>
      </c>
      <c r="AG48" s="98">
        <v>625.9780907668231</v>
      </c>
      <c r="AH48" s="98">
        <v>201.2072434607646</v>
      </c>
      <c r="AI48" s="100">
        <v>0.025</v>
      </c>
      <c r="AJ48" s="100">
        <v>0.745033</v>
      </c>
      <c r="AK48" s="100">
        <v>0.730973</v>
      </c>
      <c r="AL48" s="100">
        <v>0.764205</v>
      </c>
      <c r="AM48" s="100">
        <v>0.594077</v>
      </c>
      <c r="AN48" s="100">
        <v>0.609053</v>
      </c>
      <c r="AO48" s="98">
        <v>1542.5888665325285</v>
      </c>
      <c r="AP48" s="158">
        <v>0.7522903442000001</v>
      </c>
      <c r="AQ48" s="100">
        <v>0.21739130434782608</v>
      </c>
      <c r="AR48" s="100">
        <v>0.4838709677419355</v>
      </c>
      <c r="AS48" s="98">
        <v>402.4144869215292</v>
      </c>
      <c r="AT48" s="98">
        <v>268.2763246143528</v>
      </c>
      <c r="AU48" s="98" t="s">
        <v>589</v>
      </c>
      <c r="AV48" s="98">
        <v>223.56360384529398</v>
      </c>
      <c r="AW48" s="98">
        <v>625.9780907668231</v>
      </c>
      <c r="AX48" s="98">
        <v>737.7598926894701</v>
      </c>
      <c r="AY48" s="98">
        <v>1140.1743796109993</v>
      </c>
      <c r="AZ48" s="98">
        <v>469.4835680751174</v>
      </c>
      <c r="BA48" s="100" t="s">
        <v>589</v>
      </c>
      <c r="BB48" s="100" t="s">
        <v>589</v>
      </c>
      <c r="BC48" s="100" t="s">
        <v>589</v>
      </c>
      <c r="BD48" s="158">
        <v>0.5853268051</v>
      </c>
      <c r="BE48" s="158">
        <v>0.9520716095</v>
      </c>
      <c r="BF48" s="162">
        <v>604</v>
      </c>
      <c r="BG48" s="162">
        <v>565</v>
      </c>
      <c r="BH48" s="162">
        <v>1056</v>
      </c>
      <c r="BI48" s="162">
        <v>574</v>
      </c>
      <c r="BJ48" s="162">
        <v>243</v>
      </c>
      <c r="BK48" s="97"/>
      <c r="BL48" s="97"/>
      <c r="BM48" s="97"/>
      <c r="BN48" s="97"/>
    </row>
    <row r="49" spans="1:66" ht="12.75">
      <c r="A49" s="79" t="s">
        <v>566</v>
      </c>
      <c r="B49" s="79" t="s">
        <v>325</v>
      </c>
      <c r="C49" s="79" t="s">
        <v>269</v>
      </c>
      <c r="D49" s="99">
        <v>3138</v>
      </c>
      <c r="E49" s="99">
        <v>615</v>
      </c>
      <c r="F49" s="99" t="s">
        <v>363</v>
      </c>
      <c r="G49" s="99">
        <v>28</v>
      </c>
      <c r="H49" s="99">
        <v>12</v>
      </c>
      <c r="I49" s="99">
        <v>76</v>
      </c>
      <c r="J49" s="99">
        <v>304</v>
      </c>
      <c r="K49" s="99">
        <v>277</v>
      </c>
      <c r="L49" s="99">
        <v>575</v>
      </c>
      <c r="M49" s="99">
        <v>219</v>
      </c>
      <c r="N49" s="99">
        <v>100</v>
      </c>
      <c r="O49" s="99">
        <v>62</v>
      </c>
      <c r="P49" s="159">
        <v>62</v>
      </c>
      <c r="Q49" s="99">
        <v>6</v>
      </c>
      <c r="R49" s="99">
        <v>15</v>
      </c>
      <c r="S49" s="99">
        <v>26</v>
      </c>
      <c r="T49" s="99" t="s">
        <v>589</v>
      </c>
      <c r="U49" s="99" t="s">
        <v>589</v>
      </c>
      <c r="V49" s="99">
        <v>15</v>
      </c>
      <c r="W49" s="99">
        <v>27</v>
      </c>
      <c r="X49" s="99">
        <v>22</v>
      </c>
      <c r="Y49" s="99">
        <v>62</v>
      </c>
      <c r="Z49" s="99">
        <v>26</v>
      </c>
      <c r="AA49" s="99" t="s">
        <v>589</v>
      </c>
      <c r="AB49" s="99" t="s">
        <v>589</v>
      </c>
      <c r="AC49" s="99" t="s">
        <v>589</v>
      </c>
      <c r="AD49" s="98" t="s">
        <v>342</v>
      </c>
      <c r="AE49" s="100">
        <v>0.1959847036328872</v>
      </c>
      <c r="AF49" s="100">
        <v>0.14</v>
      </c>
      <c r="AG49" s="98">
        <v>892.2880815806246</v>
      </c>
      <c r="AH49" s="98">
        <v>382.4091778202677</v>
      </c>
      <c r="AI49" s="100">
        <v>0.024</v>
      </c>
      <c r="AJ49" s="100">
        <v>0.692483</v>
      </c>
      <c r="AK49" s="100">
        <v>0.654846</v>
      </c>
      <c r="AL49" s="100">
        <v>0.801953</v>
      </c>
      <c r="AM49" s="100">
        <v>0.55443</v>
      </c>
      <c r="AN49" s="100">
        <v>0.666667</v>
      </c>
      <c r="AO49" s="98">
        <v>1975.780752071383</v>
      </c>
      <c r="AP49" s="158">
        <v>0.9796481323</v>
      </c>
      <c r="AQ49" s="100">
        <v>0.0967741935483871</v>
      </c>
      <c r="AR49" s="100">
        <v>0.4</v>
      </c>
      <c r="AS49" s="98">
        <v>828.55321861058</v>
      </c>
      <c r="AT49" s="98" t="s">
        <v>589</v>
      </c>
      <c r="AU49" s="98" t="s">
        <v>589</v>
      </c>
      <c r="AV49" s="98">
        <v>478.0114722753346</v>
      </c>
      <c r="AW49" s="98">
        <v>860.4206500956022</v>
      </c>
      <c r="AX49" s="98">
        <v>701.0834926704907</v>
      </c>
      <c r="AY49" s="98">
        <v>1975.780752071383</v>
      </c>
      <c r="AZ49" s="98">
        <v>828.55321861058</v>
      </c>
      <c r="BA49" s="100" t="s">
        <v>589</v>
      </c>
      <c r="BB49" s="100" t="s">
        <v>589</v>
      </c>
      <c r="BC49" s="100" t="s">
        <v>589</v>
      </c>
      <c r="BD49" s="158">
        <v>0.7510906219</v>
      </c>
      <c r="BE49" s="158">
        <v>1.255864716</v>
      </c>
      <c r="BF49" s="162">
        <v>439</v>
      </c>
      <c r="BG49" s="162">
        <v>423</v>
      </c>
      <c r="BH49" s="162">
        <v>717</v>
      </c>
      <c r="BI49" s="162">
        <v>395</v>
      </c>
      <c r="BJ49" s="162">
        <v>150</v>
      </c>
      <c r="BK49" s="97"/>
      <c r="BL49" s="97"/>
      <c r="BM49" s="97"/>
      <c r="BN49" s="97"/>
    </row>
    <row r="50" spans="1:66" ht="12.75">
      <c r="A50" s="79" t="s">
        <v>565</v>
      </c>
      <c r="B50" s="79" t="s">
        <v>324</v>
      </c>
      <c r="C50" s="79" t="s">
        <v>269</v>
      </c>
      <c r="D50" s="99">
        <v>4580</v>
      </c>
      <c r="E50" s="99">
        <v>1251</v>
      </c>
      <c r="F50" s="99" t="s">
        <v>362</v>
      </c>
      <c r="G50" s="99">
        <v>32</v>
      </c>
      <c r="H50" s="99">
        <v>11</v>
      </c>
      <c r="I50" s="99">
        <v>111</v>
      </c>
      <c r="J50" s="99">
        <v>582</v>
      </c>
      <c r="K50" s="99">
        <v>18</v>
      </c>
      <c r="L50" s="99">
        <v>878</v>
      </c>
      <c r="M50" s="99">
        <v>532</v>
      </c>
      <c r="N50" s="99">
        <v>234</v>
      </c>
      <c r="O50" s="99">
        <v>149</v>
      </c>
      <c r="P50" s="159">
        <v>149</v>
      </c>
      <c r="Q50" s="99">
        <v>21</v>
      </c>
      <c r="R50" s="99">
        <v>35</v>
      </c>
      <c r="S50" s="99">
        <v>36</v>
      </c>
      <c r="T50" s="99">
        <v>19</v>
      </c>
      <c r="U50" s="99" t="s">
        <v>589</v>
      </c>
      <c r="V50" s="99">
        <v>22</v>
      </c>
      <c r="W50" s="99">
        <v>41</v>
      </c>
      <c r="X50" s="99">
        <v>21</v>
      </c>
      <c r="Y50" s="99">
        <v>73</v>
      </c>
      <c r="Z50" s="99">
        <v>31</v>
      </c>
      <c r="AA50" s="99" t="s">
        <v>589</v>
      </c>
      <c r="AB50" s="99" t="s">
        <v>589</v>
      </c>
      <c r="AC50" s="99" t="s">
        <v>589</v>
      </c>
      <c r="AD50" s="98" t="s">
        <v>342</v>
      </c>
      <c r="AE50" s="100">
        <v>0.27314410480349344</v>
      </c>
      <c r="AF50" s="100">
        <v>0.1</v>
      </c>
      <c r="AG50" s="98">
        <v>698.6899563318777</v>
      </c>
      <c r="AH50" s="98">
        <v>240.17467248908298</v>
      </c>
      <c r="AI50" s="100">
        <v>0.024</v>
      </c>
      <c r="AJ50" s="100">
        <v>0.731156</v>
      </c>
      <c r="AK50" s="100">
        <v>0.62069</v>
      </c>
      <c r="AL50" s="100">
        <v>0.812211</v>
      </c>
      <c r="AM50" s="100">
        <v>0.625147</v>
      </c>
      <c r="AN50" s="100">
        <v>0.680233</v>
      </c>
      <c r="AO50" s="98">
        <v>3253.2751091703058</v>
      </c>
      <c r="AP50" s="158">
        <v>1.325165558</v>
      </c>
      <c r="AQ50" s="100">
        <v>0.14093959731543623</v>
      </c>
      <c r="AR50" s="100">
        <v>0.6</v>
      </c>
      <c r="AS50" s="98">
        <v>786.0262008733624</v>
      </c>
      <c r="AT50" s="98">
        <v>414.8471615720524</v>
      </c>
      <c r="AU50" s="98" t="s">
        <v>589</v>
      </c>
      <c r="AV50" s="98">
        <v>480.34934497816596</v>
      </c>
      <c r="AW50" s="98">
        <v>895.1965065502184</v>
      </c>
      <c r="AX50" s="98">
        <v>458.51528384279476</v>
      </c>
      <c r="AY50" s="98">
        <v>1593.886462882096</v>
      </c>
      <c r="AZ50" s="98">
        <v>676.8558951965066</v>
      </c>
      <c r="BA50" s="100" t="s">
        <v>589</v>
      </c>
      <c r="BB50" s="100" t="s">
        <v>589</v>
      </c>
      <c r="BC50" s="100" t="s">
        <v>589</v>
      </c>
      <c r="BD50" s="158">
        <v>1.120933151</v>
      </c>
      <c r="BE50" s="158">
        <v>1.555844269</v>
      </c>
      <c r="BF50" s="162">
        <v>796</v>
      </c>
      <c r="BG50" s="162">
        <v>29</v>
      </c>
      <c r="BH50" s="162">
        <v>1081</v>
      </c>
      <c r="BI50" s="162">
        <v>851</v>
      </c>
      <c r="BJ50" s="162">
        <v>344</v>
      </c>
      <c r="BK50" s="97"/>
      <c r="BL50" s="97"/>
      <c r="BM50" s="97"/>
      <c r="BN50" s="97"/>
    </row>
    <row r="51" spans="1:66" ht="12.75">
      <c r="A51" s="79" t="s">
        <v>572</v>
      </c>
      <c r="B51" s="79" t="s">
        <v>331</v>
      </c>
      <c r="C51" s="79" t="s">
        <v>269</v>
      </c>
      <c r="D51" s="99">
        <v>4830</v>
      </c>
      <c r="E51" s="99">
        <v>1014</v>
      </c>
      <c r="F51" s="99" t="s">
        <v>362</v>
      </c>
      <c r="G51" s="99">
        <v>22</v>
      </c>
      <c r="H51" s="99">
        <v>11</v>
      </c>
      <c r="I51" s="99">
        <v>148</v>
      </c>
      <c r="J51" s="99">
        <v>392</v>
      </c>
      <c r="K51" s="99">
        <v>6</v>
      </c>
      <c r="L51" s="99">
        <v>778</v>
      </c>
      <c r="M51" s="99">
        <v>309</v>
      </c>
      <c r="N51" s="99">
        <v>149</v>
      </c>
      <c r="O51" s="99">
        <v>94</v>
      </c>
      <c r="P51" s="159">
        <v>94</v>
      </c>
      <c r="Q51" s="99">
        <v>16</v>
      </c>
      <c r="R51" s="99">
        <v>35</v>
      </c>
      <c r="S51" s="99">
        <v>24</v>
      </c>
      <c r="T51" s="99">
        <v>20</v>
      </c>
      <c r="U51" s="99" t="s">
        <v>589</v>
      </c>
      <c r="V51" s="99">
        <v>8</v>
      </c>
      <c r="W51" s="99">
        <v>39</v>
      </c>
      <c r="X51" s="99">
        <v>34</v>
      </c>
      <c r="Y51" s="99">
        <v>73</v>
      </c>
      <c r="Z51" s="99">
        <v>45</v>
      </c>
      <c r="AA51" s="99" t="s">
        <v>589</v>
      </c>
      <c r="AB51" s="99" t="s">
        <v>589</v>
      </c>
      <c r="AC51" s="99" t="s">
        <v>589</v>
      </c>
      <c r="AD51" s="98" t="s">
        <v>342</v>
      </c>
      <c r="AE51" s="100">
        <v>0.20993788819875778</v>
      </c>
      <c r="AF51" s="100">
        <v>0.11</v>
      </c>
      <c r="AG51" s="98">
        <v>455.4865424430642</v>
      </c>
      <c r="AH51" s="98">
        <v>227.7432712215321</v>
      </c>
      <c r="AI51" s="100">
        <v>0.031</v>
      </c>
      <c r="AJ51" s="100">
        <v>0.677029</v>
      </c>
      <c r="AK51" s="100">
        <v>0.666667</v>
      </c>
      <c r="AL51" s="100">
        <v>0.775673</v>
      </c>
      <c r="AM51" s="100">
        <v>0.55877</v>
      </c>
      <c r="AN51" s="100">
        <v>0.650655</v>
      </c>
      <c r="AO51" s="98">
        <v>1946.1697722567287</v>
      </c>
      <c r="AP51" s="158">
        <v>0.9465348816</v>
      </c>
      <c r="AQ51" s="100">
        <v>0.1702127659574468</v>
      </c>
      <c r="AR51" s="100">
        <v>0.45714285714285713</v>
      </c>
      <c r="AS51" s="98">
        <v>496.8944099378882</v>
      </c>
      <c r="AT51" s="98">
        <v>414.0786749482402</v>
      </c>
      <c r="AU51" s="98" t="s">
        <v>589</v>
      </c>
      <c r="AV51" s="98">
        <v>165.63146997929607</v>
      </c>
      <c r="AW51" s="98">
        <v>807.4534161490683</v>
      </c>
      <c r="AX51" s="98">
        <v>703.9337474120083</v>
      </c>
      <c r="AY51" s="98">
        <v>1511.3871635610767</v>
      </c>
      <c r="AZ51" s="98">
        <v>931.6770186335403</v>
      </c>
      <c r="BA51" s="100" t="s">
        <v>589</v>
      </c>
      <c r="BB51" s="100" t="s">
        <v>589</v>
      </c>
      <c r="BC51" s="100" t="s">
        <v>589</v>
      </c>
      <c r="BD51" s="158">
        <v>0.7648965454000001</v>
      </c>
      <c r="BE51" s="158">
        <v>1.158318939</v>
      </c>
      <c r="BF51" s="162">
        <v>579</v>
      </c>
      <c r="BG51" s="162">
        <v>9</v>
      </c>
      <c r="BH51" s="162">
        <v>1003</v>
      </c>
      <c r="BI51" s="162">
        <v>553</v>
      </c>
      <c r="BJ51" s="162">
        <v>229</v>
      </c>
      <c r="BK51" s="97"/>
      <c r="BL51" s="97"/>
      <c r="BM51" s="97"/>
      <c r="BN51" s="97"/>
    </row>
    <row r="52" spans="1:66" ht="12.75">
      <c r="A52" s="79" t="s">
        <v>579</v>
      </c>
      <c r="B52" s="79" t="s">
        <v>338</v>
      </c>
      <c r="C52" s="79" t="s">
        <v>269</v>
      </c>
      <c r="D52" s="99">
        <v>3068</v>
      </c>
      <c r="E52" s="99">
        <v>744</v>
      </c>
      <c r="F52" s="99" t="s">
        <v>364</v>
      </c>
      <c r="G52" s="99">
        <v>10</v>
      </c>
      <c r="H52" s="99">
        <v>10</v>
      </c>
      <c r="I52" s="99">
        <v>75</v>
      </c>
      <c r="J52" s="99">
        <v>495</v>
      </c>
      <c r="K52" s="99">
        <v>452</v>
      </c>
      <c r="L52" s="99">
        <v>635</v>
      </c>
      <c r="M52" s="99">
        <v>347</v>
      </c>
      <c r="N52" s="99">
        <v>145</v>
      </c>
      <c r="O52" s="99">
        <v>55</v>
      </c>
      <c r="P52" s="159">
        <v>55</v>
      </c>
      <c r="Q52" s="99" t="s">
        <v>589</v>
      </c>
      <c r="R52" s="99">
        <v>14</v>
      </c>
      <c r="S52" s="99">
        <v>11</v>
      </c>
      <c r="T52" s="99">
        <v>11</v>
      </c>
      <c r="U52" s="99" t="s">
        <v>589</v>
      </c>
      <c r="V52" s="99">
        <v>9</v>
      </c>
      <c r="W52" s="99">
        <v>17</v>
      </c>
      <c r="X52" s="99" t="s">
        <v>589</v>
      </c>
      <c r="Y52" s="99">
        <v>50</v>
      </c>
      <c r="Z52" s="99">
        <v>18</v>
      </c>
      <c r="AA52" s="99" t="s">
        <v>589</v>
      </c>
      <c r="AB52" s="99" t="s">
        <v>589</v>
      </c>
      <c r="AC52" s="99" t="s">
        <v>589</v>
      </c>
      <c r="AD52" s="98" t="s">
        <v>342</v>
      </c>
      <c r="AE52" s="100">
        <v>0.242503259452412</v>
      </c>
      <c r="AF52" s="100">
        <v>0.08</v>
      </c>
      <c r="AG52" s="98">
        <v>325.94524119947846</v>
      </c>
      <c r="AH52" s="98">
        <v>325.94524119947846</v>
      </c>
      <c r="AI52" s="100">
        <v>0.024</v>
      </c>
      <c r="AJ52" s="100">
        <v>0.853448</v>
      </c>
      <c r="AK52" s="100">
        <v>0.808587</v>
      </c>
      <c r="AL52" s="100">
        <v>0.835526</v>
      </c>
      <c r="AM52" s="100">
        <v>0.676413</v>
      </c>
      <c r="AN52" s="100">
        <v>0.714286</v>
      </c>
      <c r="AO52" s="98">
        <v>1792.6988265971318</v>
      </c>
      <c r="AP52" s="158">
        <v>0.7562371063000001</v>
      </c>
      <c r="AQ52" s="100" t="s">
        <v>589</v>
      </c>
      <c r="AR52" s="100" t="s">
        <v>589</v>
      </c>
      <c r="AS52" s="98">
        <v>358.53976531942635</v>
      </c>
      <c r="AT52" s="98">
        <v>358.53976531942635</v>
      </c>
      <c r="AU52" s="98" t="s">
        <v>589</v>
      </c>
      <c r="AV52" s="98">
        <v>293.3507170795306</v>
      </c>
      <c r="AW52" s="98">
        <v>554.1069100391135</v>
      </c>
      <c r="AX52" s="98" t="s">
        <v>589</v>
      </c>
      <c r="AY52" s="98">
        <v>1629.7262059973925</v>
      </c>
      <c r="AZ52" s="98">
        <v>586.7014341590613</v>
      </c>
      <c r="BA52" s="100" t="s">
        <v>589</v>
      </c>
      <c r="BB52" s="100" t="s">
        <v>589</v>
      </c>
      <c r="BC52" s="100" t="s">
        <v>589</v>
      </c>
      <c r="BD52" s="158">
        <v>0.5697013092000001</v>
      </c>
      <c r="BE52" s="158">
        <v>0.9843466187</v>
      </c>
      <c r="BF52" s="162">
        <v>580</v>
      </c>
      <c r="BG52" s="162">
        <v>559</v>
      </c>
      <c r="BH52" s="162">
        <v>760</v>
      </c>
      <c r="BI52" s="162">
        <v>513</v>
      </c>
      <c r="BJ52" s="162">
        <v>203</v>
      </c>
      <c r="BK52" s="97"/>
      <c r="BL52" s="97"/>
      <c r="BM52" s="97"/>
      <c r="BN52" s="97"/>
    </row>
    <row r="53" spans="1:66" ht="12.75">
      <c r="A53" s="79" t="s">
        <v>550</v>
      </c>
      <c r="B53" s="79" t="s">
        <v>309</v>
      </c>
      <c r="C53" s="79" t="s">
        <v>269</v>
      </c>
      <c r="D53" s="99">
        <v>7525</v>
      </c>
      <c r="E53" s="99">
        <v>1856</v>
      </c>
      <c r="F53" s="99" t="s">
        <v>362</v>
      </c>
      <c r="G53" s="99">
        <v>44</v>
      </c>
      <c r="H53" s="99">
        <v>25</v>
      </c>
      <c r="I53" s="99">
        <v>158</v>
      </c>
      <c r="J53" s="99">
        <v>851</v>
      </c>
      <c r="K53" s="99">
        <v>805</v>
      </c>
      <c r="L53" s="99">
        <v>1445</v>
      </c>
      <c r="M53" s="99">
        <v>616</v>
      </c>
      <c r="N53" s="99">
        <v>303</v>
      </c>
      <c r="O53" s="99">
        <v>147</v>
      </c>
      <c r="P53" s="159">
        <v>147</v>
      </c>
      <c r="Q53" s="99">
        <v>25</v>
      </c>
      <c r="R53" s="99">
        <v>44</v>
      </c>
      <c r="S53" s="99">
        <v>31</v>
      </c>
      <c r="T53" s="99">
        <v>19</v>
      </c>
      <c r="U53" s="99" t="s">
        <v>589</v>
      </c>
      <c r="V53" s="99">
        <v>36</v>
      </c>
      <c r="W53" s="99">
        <v>53</v>
      </c>
      <c r="X53" s="99">
        <v>46</v>
      </c>
      <c r="Y53" s="99">
        <v>142</v>
      </c>
      <c r="Z53" s="99">
        <v>62</v>
      </c>
      <c r="AA53" s="99" t="s">
        <v>589</v>
      </c>
      <c r="AB53" s="99" t="s">
        <v>589</v>
      </c>
      <c r="AC53" s="99" t="s">
        <v>589</v>
      </c>
      <c r="AD53" s="98" t="s">
        <v>342</v>
      </c>
      <c r="AE53" s="100">
        <v>0.24664451827242526</v>
      </c>
      <c r="AF53" s="100">
        <v>0.12</v>
      </c>
      <c r="AG53" s="98">
        <v>584.7176079734219</v>
      </c>
      <c r="AH53" s="98">
        <v>332.22591362126246</v>
      </c>
      <c r="AI53" s="100">
        <v>0.021</v>
      </c>
      <c r="AJ53" s="100">
        <v>0.792365</v>
      </c>
      <c r="AK53" s="100">
        <v>0.791544</v>
      </c>
      <c r="AL53" s="100">
        <v>0.859096</v>
      </c>
      <c r="AM53" s="100">
        <v>0.617234</v>
      </c>
      <c r="AN53" s="100">
        <v>0.679372</v>
      </c>
      <c r="AO53" s="98">
        <v>1953.4883720930231</v>
      </c>
      <c r="AP53" s="158">
        <v>0.8693110656999999</v>
      </c>
      <c r="AQ53" s="100">
        <v>0.17006802721088435</v>
      </c>
      <c r="AR53" s="100">
        <v>0.5681818181818182</v>
      </c>
      <c r="AS53" s="98">
        <v>411.96013289036546</v>
      </c>
      <c r="AT53" s="98">
        <v>252.49169435215947</v>
      </c>
      <c r="AU53" s="98" t="s">
        <v>589</v>
      </c>
      <c r="AV53" s="98">
        <v>478.40531561461796</v>
      </c>
      <c r="AW53" s="98">
        <v>704.3189368770765</v>
      </c>
      <c r="AX53" s="98">
        <v>611.295681063123</v>
      </c>
      <c r="AY53" s="98">
        <v>1887.0431893687708</v>
      </c>
      <c r="AZ53" s="98">
        <v>823.9202657807309</v>
      </c>
      <c r="BA53" s="100" t="s">
        <v>589</v>
      </c>
      <c r="BB53" s="100" t="s">
        <v>589</v>
      </c>
      <c r="BC53" s="100" t="s">
        <v>589</v>
      </c>
      <c r="BD53" s="158">
        <v>0.7344646453999999</v>
      </c>
      <c r="BE53" s="158">
        <v>1.021745453</v>
      </c>
      <c r="BF53" s="162">
        <v>1074</v>
      </c>
      <c r="BG53" s="162">
        <v>1017</v>
      </c>
      <c r="BH53" s="162">
        <v>1682</v>
      </c>
      <c r="BI53" s="162">
        <v>998</v>
      </c>
      <c r="BJ53" s="162">
        <v>446</v>
      </c>
      <c r="BK53" s="97"/>
      <c r="BL53" s="97"/>
      <c r="BM53" s="97"/>
      <c r="BN53" s="97"/>
    </row>
    <row r="54" spans="1:66" ht="12.75">
      <c r="A54" s="79" t="s">
        <v>577</v>
      </c>
      <c r="B54" s="79" t="s">
        <v>336</v>
      </c>
      <c r="C54" s="79" t="s">
        <v>269</v>
      </c>
      <c r="D54" s="99">
        <v>4714</v>
      </c>
      <c r="E54" s="99">
        <v>875</v>
      </c>
      <c r="F54" s="99" t="s">
        <v>362</v>
      </c>
      <c r="G54" s="99">
        <v>27</v>
      </c>
      <c r="H54" s="99">
        <v>8</v>
      </c>
      <c r="I54" s="99">
        <v>100</v>
      </c>
      <c r="J54" s="99">
        <v>489</v>
      </c>
      <c r="K54" s="99">
        <v>462</v>
      </c>
      <c r="L54" s="99">
        <v>981</v>
      </c>
      <c r="M54" s="99">
        <v>363</v>
      </c>
      <c r="N54" s="99">
        <v>149</v>
      </c>
      <c r="O54" s="99">
        <v>67</v>
      </c>
      <c r="P54" s="159">
        <v>67</v>
      </c>
      <c r="Q54" s="99">
        <v>8</v>
      </c>
      <c r="R54" s="99">
        <v>18</v>
      </c>
      <c r="S54" s="99">
        <v>22</v>
      </c>
      <c r="T54" s="99" t="s">
        <v>589</v>
      </c>
      <c r="U54" s="99" t="s">
        <v>589</v>
      </c>
      <c r="V54" s="99">
        <v>18</v>
      </c>
      <c r="W54" s="99">
        <v>22</v>
      </c>
      <c r="X54" s="99">
        <v>19</v>
      </c>
      <c r="Y54" s="99">
        <v>66</v>
      </c>
      <c r="Z54" s="99">
        <v>28</v>
      </c>
      <c r="AA54" s="99" t="s">
        <v>589</v>
      </c>
      <c r="AB54" s="99" t="s">
        <v>589</v>
      </c>
      <c r="AC54" s="99" t="s">
        <v>589</v>
      </c>
      <c r="AD54" s="98" t="s">
        <v>342</v>
      </c>
      <c r="AE54" s="100">
        <v>0.18561731014000848</v>
      </c>
      <c r="AF54" s="100">
        <v>0.1</v>
      </c>
      <c r="AG54" s="98">
        <v>572.7619855748833</v>
      </c>
      <c r="AH54" s="98">
        <v>169.70725498515063</v>
      </c>
      <c r="AI54" s="100">
        <v>0.021</v>
      </c>
      <c r="AJ54" s="100">
        <v>0.75814</v>
      </c>
      <c r="AK54" s="100">
        <v>0.768719</v>
      </c>
      <c r="AL54" s="100">
        <v>0.826453</v>
      </c>
      <c r="AM54" s="100">
        <v>0.625862</v>
      </c>
      <c r="AN54" s="100">
        <v>0.665179</v>
      </c>
      <c r="AO54" s="98">
        <v>1421.2982605006364</v>
      </c>
      <c r="AP54" s="158">
        <v>0.7170779419</v>
      </c>
      <c r="AQ54" s="100">
        <v>0.11940298507462686</v>
      </c>
      <c r="AR54" s="100">
        <v>0.4444444444444444</v>
      </c>
      <c r="AS54" s="98">
        <v>466.6949512091642</v>
      </c>
      <c r="AT54" s="98" t="s">
        <v>589</v>
      </c>
      <c r="AU54" s="98" t="s">
        <v>589</v>
      </c>
      <c r="AV54" s="98">
        <v>381.8413237165889</v>
      </c>
      <c r="AW54" s="98">
        <v>466.6949512091642</v>
      </c>
      <c r="AX54" s="98">
        <v>403.0547305897327</v>
      </c>
      <c r="AY54" s="98">
        <v>1400.0848536274925</v>
      </c>
      <c r="AZ54" s="98">
        <v>593.9753924480272</v>
      </c>
      <c r="BA54" s="100" t="s">
        <v>589</v>
      </c>
      <c r="BB54" s="100" t="s">
        <v>589</v>
      </c>
      <c r="BC54" s="100" t="s">
        <v>589</v>
      </c>
      <c r="BD54" s="158">
        <v>0.5557255173</v>
      </c>
      <c r="BE54" s="158">
        <v>0.9106636047000001</v>
      </c>
      <c r="BF54" s="162">
        <v>645</v>
      </c>
      <c r="BG54" s="162">
        <v>601</v>
      </c>
      <c r="BH54" s="162">
        <v>1187</v>
      </c>
      <c r="BI54" s="162">
        <v>580</v>
      </c>
      <c r="BJ54" s="162">
        <v>224</v>
      </c>
      <c r="BK54" s="97"/>
      <c r="BL54" s="97"/>
      <c r="BM54" s="97"/>
      <c r="BN54" s="97"/>
    </row>
    <row r="55" spans="1:66" ht="12.75">
      <c r="A55" s="79" t="s">
        <v>540</v>
      </c>
      <c r="B55" s="79" t="s">
        <v>298</v>
      </c>
      <c r="C55" s="79" t="s">
        <v>269</v>
      </c>
      <c r="D55" s="99">
        <v>8081</v>
      </c>
      <c r="E55" s="99">
        <v>2015</v>
      </c>
      <c r="F55" s="99" t="s">
        <v>364</v>
      </c>
      <c r="G55" s="99">
        <v>59</v>
      </c>
      <c r="H55" s="99">
        <v>22</v>
      </c>
      <c r="I55" s="99">
        <v>218</v>
      </c>
      <c r="J55" s="99">
        <v>910</v>
      </c>
      <c r="K55" s="99">
        <v>16</v>
      </c>
      <c r="L55" s="99">
        <v>1531</v>
      </c>
      <c r="M55" s="99">
        <v>676</v>
      </c>
      <c r="N55" s="99">
        <v>311</v>
      </c>
      <c r="O55" s="99">
        <v>236</v>
      </c>
      <c r="P55" s="159">
        <v>236</v>
      </c>
      <c r="Q55" s="99">
        <v>31</v>
      </c>
      <c r="R55" s="99">
        <v>46</v>
      </c>
      <c r="S55" s="99">
        <v>44</v>
      </c>
      <c r="T55" s="99">
        <v>34</v>
      </c>
      <c r="U55" s="99" t="s">
        <v>589</v>
      </c>
      <c r="V55" s="99">
        <v>35</v>
      </c>
      <c r="W55" s="99">
        <v>52</v>
      </c>
      <c r="X55" s="99">
        <v>32</v>
      </c>
      <c r="Y55" s="99">
        <v>166</v>
      </c>
      <c r="Z55" s="99">
        <v>52</v>
      </c>
      <c r="AA55" s="99" t="s">
        <v>589</v>
      </c>
      <c r="AB55" s="99" t="s">
        <v>589</v>
      </c>
      <c r="AC55" s="99" t="s">
        <v>589</v>
      </c>
      <c r="AD55" s="98" t="s">
        <v>342</v>
      </c>
      <c r="AE55" s="100">
        <v>0.24935032792971168</v>
      </c>
      <c r="AF55" s="100">
        <v>0.06</v>
      </c>
      <c r="AG55" s="98">
        <v>730.1076599430763</v>
      </c>
      <c r="AH55" s="98">
        <v>272.24353421606236</v>
      </c>
      <c r="AI55" s="100">
        <v>0.027000000000000003</v>
      </c>
      <c r="AJ55" s="100">
        <v>0.835629</v>
      </c>
      <c r="AK55" s="100">
        <v>0.888889</v>
      </c>
      <c r="AL55" s="100">
        <v>0.864483</v>
      </c>
      <c r="AM55" s="100">
        <v>0.648752</v>
      </c>
      <c r="AN55" s="100">
        <v>0.724942</v>
      </c>
      <c r="AO55" s="98">
        <v>2920.4306397723053</v>
      </c>
      <c r="AP55" s="158">
        <v>1.2836424260000001</v>
      </c>
      <c r="AQ55" s="100">
        <v>0.13135593220338984</v>
      </c>
      <c r="AR55" s="100">
        <v>0.6739130434782609</v>
      </c>
      <c r="AS55" s="98">
        <v>544.4870684321247</v>
      </c>
      <c r="AT55" s="98">
        <v>420.74000742482366</v>
      </c>
      <c r="AU55" s="98" t="s">
        <v>589</v>
      </c>
      <c r="AV55" s="98">
        <v>433.1147135255538</v>
      </c>
      <c r="AW55" s="98">
        <v>643.4847172379656</v>
      </c>
      <c r="AX55" s="98">
        <v>395.99059522336347</v>
      </c>
      <c r="AY55" s="98">
        <v>2054.201212721198</v>
      </c>
      <c r="AZ55" s="98">
        <v>643.4847172379656</v>
      </c>
      <c r="BA55" s="100" t="s">
        <v>589</v>
      </c>
      <c r="BB55" s="100" t="s">
        <v>589</v>
      </c>
      <c r="BC55" s="100" t="s">
        <v>589</v>
      </c>
      <c r="BD55" s="158">
        <v>1.1250827030000001</v>
      </c>
      <c r="BE55" s="158">
        <v>1.4582882689999999</v>
      </c>
      <c r="BF55" s="162">
        <v>1089</v>
      </c>
      <c r="BG55" s="162">
        <v>18</v>
      </c>
      <c r="BH55" s="162">
        <v>1771</v>
      </c>
      <c r="BI55" s="162">
        <v>1042</v>
      </c>
      <c r="BJ55" s="162">
        <v>429</v>
      </c>
      <c r="BK55" s="97"/>
      <c r="BL55" s="97"/>
      <c r="BM55" s="97"/>
      <c r="BN55" s="97"/>
    </row>
    <row r="56" spans="1:66" ht="12.75">
      <c r="A56" s="79" t="s">
        <v>535</v>
      </c>
      <c r="B56" s="79" t="s">
        <v>293</v>
      </c>
      <c r="C56" s="79" t="s">
        <v>269</v>
      </c>
      <c r="D56" s="99">
        <v>6056</v>
      </c>
      <c r="E56" s="99">
        <v>1293</v>
      </c>
      <c r="F56" s="99" t="s">
        <v>362</v>
      </c>
      <c r="G56" s="99">
        <v>38</v>
      </c>
      <c r="H56" s="99">
        <v>20</v>
      </c>
      <c r="I56" s="99">
        <v>118</v>
      </c>
      <c r="J56" s="99">
        <v>694</v>
      </c>
      <c r="K56" s="99">
        <v>647</v>
      </c>
      <c r="L56" s="99">
        <v>1130</v>
      </c>
      <c r="M56" s="99">
        <v>532</v>
      </c>
      <c r="N56" s="99">
        <v>227</v>
      </c>
      <c r="O56" s="99">
        <v>89</v>
      </c>
      <c r="P56" s="159">
        <v>89</v>
      </c>
      <c r="Q56" s="99">
        <v>14</v>
      </c>
      <c r="R56" s="99">
        <v>36</v>
      </c>
      <c r="S56" s="99">
        <v>18</v>
      </c>
      <c r="T56" s="99">
        <v>13</v>
      </c>
      <c r="U56" s="99" t="s">
        <v>589</v>
      </c>
      <c r="V56" s="99">
        <v>12</v>
      </c>
      <c r="W56" s="99">
        <v>55</v>
      </c>
      <c r="X56" s="99">
        <v>47</v>
      </c>
      <c r="Y56" s="99">
        <v>94</v>
      </c>
      <c r="Z56" s="99">
        <v>34</v>
      </c>
      <c r="AA56" s="99" t="s">
        <v>589</v>
      </c>
      <c r="AB56" s="99" t="s">
        <v>589</v>
      </c>
      <c r="AC56" s="99" t="s">
        <v>589</v>
      </c>
      <c r="AD56" s="98" t="s">
        <v>342</v>
      </c>
      <c r="AE56" s="100">
        <v>0.21350726552179655</v>
      </c>
      <c r="AF56" s="100">
        <v>0.09</v>
      </c>
      <c r="AG56" s="98">
        <v>627.4768824306473</v>
      </c>
      <c r="AH56" s="98">
        <v>330.25099075297226</v>
      </c>
      <c r="AI56" s="100">
        <v>0.019</v>
      </c>
      <c r="AJ56" s="100">
        <v>0.77369</v>
      </c>
      <c r="AK56" s="100">
        <v>0.755841</v>
      </c>
      <c r="AL56" s="100">
        <v>0.788555</v>
      </c>
      <c r="AM56" s="100">
        <v>0.610792</v>
      </c>
      <c r="AN56" s="100">
        <v>0.654179</v>
      </c>
      <c r="AO56" s="98">
        <v>1469.6169088507265</v>
      </c>
      <c r="AP56" s="158">
        <v>0.6922363281</v>
      </c>
      <c r="AQ56" s="100">
        <v>0.15730337078651685</v>
      </c>
      <c r="AR56" s="100">
        <v>0.3888888888888889</v>
      </c>
      <c r="AS56" s="98">
        <v>297.225891677675</v>
      </c>
      <c r="AT56" s="98">
        <v>214.66314398943197</v>
      </c>
      <c r="AU56" s="98" t="s">
        <v>589</v>
      </c>
      <c r="AV56" s="98">
        <v>198.15059445178335</v>
      </c>
      <c r="AW56" s="98">
        <v>908.1902245706738</v>
      </c>
      <c r="AX56" s="98">
        <v>776.0898282694848</v>
      </c>
      <c r="AY56" s="98">
        <v>1552.1796565389695</v>
      </c>
      <c r="AZ56" s="98">
        <v>561.4266842800529</v>
      </c>
      <c r="BA56" s="100" t="s">
        <v>589</v>
      </c>
      <c r="BB56" s="100" t="s">
        <v>589</v>
      </c>
      <c r="BC56" s="100" t="s">
        <v>589</v>
      </c>
      <c r="BD56" s="158">
        <v>0.5559225845</v>
      </c>
      <c r="BE56" s="158">
        <v>0.851856308</v>
      </c>
      <c r="BF56" s="162">
        <v>897</v>
      </c>
      <c r="BG56" s="162">
        <v>856</v>
      </c>
      <c r="BH56" s="162">
        <v>1433</v>
      </c>
      <c r="BI56" s="162">
        <v>871</v>
      </c>
      <c r="BJ56" s="162">
        <v>347</v>
      </c>
      <c r="BK56" s="97"/>
      <c r="BL56" s="97"/>
      <c r="BM56" s="97"/>
      <c r="BN56" s="97"/>
    </row>
    <row r="57" spans="1:66" ht="12.75">
      <c r="A57" s="79" t="s">
        <v>578</v>
      </c>
      <c r="B57" s="79" t="s">
        <v>337</v>
      </c>
      <c r="C57" s="79" t="s">
        <v>269</v>
      </c>
      <c r="D57" s="99">
        <v>1963</v>
      </c>
      <c r="E57" s="99">
        <v>811</v>
      </c>
      <c r="F57" s="99" t="s">
        <v>362</v>
      </c>
      <c r="G57" s="99" t="s">
        <v>589</v>
      </c>
      <c r="H57" s="99">
        <v>6</v>
      </c>
      <c r="I57" s="99">
        <v>42</v>
      </c>
      <c r="J57" s="99">
        <v>241</v>
      </c>
      <c r="K57" s="99" t="s">
        <v>589</v>
      </c>
      <c r="L57" s="99">
        <v>241</v>
      </c>
      <c r="M57" s="99">
        <v>234</v>
      </c>
      <c r="N57" s="99">
        <v>111</v>
      </c>
      <c r="O57" s="99">
        <v>28</v>
      </c>
      <c r="P57" s="159">
        <v>28</v>
      </c>
      <c r="Q57" s="99" t="s">
        <v>589</v>
      </c>
      <c r="R57" s="99">
        <v>19</v>
      </c>
      <c r="S57" s="99">
        <v>15</v>
      </c>
      <c r="T57" s="99" t="s">
        <v>589</v>
      </c>
      <c r="U57" s="99" t="s">
        <v>589</v>
      </c>
      <c r="V57" s="99" t="s">
        <v>589</v>
      </c>
      <c r="W57" s="99">
        <v>20</v>
      </c>
      <c r="X57" s="99">
        <v>25</v>
      </c>
      <c r="Y57" s="99">
        <v>58</v>
      </c>
      <c r="Z57" s="99">
        <v>30</v>
      </c>
      <c r="AA57" s="99" t="s">
        <v>589</v>
      </c>
      <c r="AB57" s="99" t="s">
        <v>589</v>
      </c>
      <c r="AC57" s="99" t="s">
        <v>589</v>
      </c>
      <c r="AD57" s="98" t="s">
        <v>342</v>
      </c>
      <c r="AE57" s="100">
        <v>0.413143148242486</v>
      </c>
      <c r="AF57" s="100">
        <v>0.1</v>
      </c>
      <c r="AG57" s="98" t="s">
        <v>589</v>
      </c>
      <c r="AH57" s="98">
        <v>305.65461029037186</v>
      </c>
      <c r="AI57" s="100">
        <v>0.021</v>
      </c>
      <c r="AJ57" s="100">
        <v>0.734756</v>
      </c>
      <c r="AK57" s="100" t="s">
        <v>589</v>
      </c>
      <c r="AL57" s="100">
        <v>0.688571</v>
      </c>
      <c r="AM57" s="100">
        <v>0.604651</v>
      </c>
      <c r="AN57" s="100">
        <v>0.660714</v>
      </c>
      <c r="AO57" s="98">
        <v>1426.3881813550688</v>
      </c>
      <c r="AP57" s="158">
        <v>0.4746795273</v>
      </c>
      <c r="AQ57" s="100" t="s">
        <v>589</v>
      </c>
      <c r="AR57" s="100" t="s">
        <v>589</v>
      </c>
      <c r="AS57" s="98">
        <v>764.1365257259297</v>
      </c>
      <c r="AT57" s="98" t="s">
        <v>589</v>
      </c>
      <c r="AU57" s="98" t="s">
        <v>589</v>
      </c>
      <c r="AV57" s="98" t="s">
        <v>589</v>
      </c>
      <c r="AW57" s="98">
        <v>1018.8487009679062</v>
      </c>
      <c r="AX57" s="98">
        <v>1273.5608762098827</v>
      </c>
      <c r="AY57" s="98">
        <v>2954.661232806928</v>
      </c>
      <c r="AZ57" s="98">
        <v>1528.2730514518594</v>
      </c>
      <c r="BA57" s="100" t="s">
        <v>589</v>
      </c>
      <c r="BB57" s="100" t="s">
        <v>589</v>
      </c>
      <c r="BC57" s="100" t="s">
        <v>589</v>
      </c>
      <c r="BD57" s="158">
        <v>0.3154210854</v>
      </c>
      <c r="BE57" s="158">
        <v>0.6860440826</v>
      </c>
      <c r="BF57" s="162">
        <v>328</v>
      </c>
      <c r="BG57" s="162" t="s">
        <v>589</v>
      </c>
      <c r="BH57" s="162">
        <v>350</v>
      </c>
      <c r="BI57" s="162">
        <v>387</v>
      </c>
      <c r="BJ57" s="162">
        <v>168</v>
      </c>
      <c r="BK57" s="97"/>
      <c r="BL57" s="97"/>
      <c r="BM57" s="97"/>
      <c r="BN57" s="97"/>
    </row>
    <row r="58" spans="1:66" ht="12.75">
      <c r="A58" s="79" t="s">
        <v>560</v>
      </c>
      <c r="B58" s="79" t="s">
        <v>319</v>
      </c>
      <c r="C58" s="79" t="s">
        <v>269</v>
      </c>
      <c r="D58" s="99">
        <v>6356</v>
      </c>
      <c r="E58" s="99">
        <v>1379</v>
      </c>
      <c r="F58" s="99" t="s">
        <v>364</v>
      </c>
      <c r="G58" s="99">
        <v>43</v>
      </c>
      <c r="H58" s="99">
        <v>21</v>
      </c>
      <c r="I58" s="99">
        <v>165</v>
      </c>
      <c r="J58" s="99">
        <v>745</v>
      </c>
      <c r="K58" s="99">
        <v>635</v>
      </c>
      <c r="L58" s="99">
        <v>1288</v>
      </c>
      <c r="M58" s="99">
        <v>573</v>
      </c>
      <c r="N58" s="99">
        <v>253</v>
      </c>
      <c r="O58" s="99">
        <v>130</v>
      </c>
      <c r="P58" s="159">
        <v>130</v>
      </c>
      <c r="Q58" s="99">
        <v>17</v>
      </c>
      <c r="R58" s="99">
        <v>33</v>
      </c>
      <c r="S58" s="99">
        <v>20</v>
      </c>
      <c r="T58" s="99">
        <v>14</v>
      </c>
      <c r="U58" s="99" t="s">
        <v>589</v>
      </c>
      <c r="V58" s="99">
        <v>33</v>
      </c>
      <c r="W58" s="99">
        <v>43</v>
      </c>
      <c r="X58" s="99">
        <v>38</v>
      </c>
      <c r="Y58" s="99">
        <v>112</v>
      </c>
      <c r="Z58" s="99">
        <v>73</v>
      </c>
      <c r="AA58" s="99" t="s">
        <v>589</v>
      </c>
      <c r="AB58" s="99" t="s">
        <v>589</v>
      </c>
      <c r="AC58" s="99" t="s">
        <v>589</v>
      </c>
      <c r="AD58" s="98" t="s">
        <v>342</v>
      </c>
      <c r="AE58" s="100">
        <v>0.21696035242290748</v>
      </c>
      <c r="AF58" s="100">
        <v>0.07</v>
      </c>
      <c r="AG58" s="98">
        <v>676.5261170547515</v>
      </c>
      <c r="AH58" s="98">
        <v>330.3964757709251</v>
      </c>
      <c r="AI58" s="100">
        <v>0.026000000000000002</v>
      </c>
      <c r="AJ58" s="100">
        <v>0.778474</v>
      </c>
      <c r="AK58" s="100">
        <v>0.802781</v>
      </c>
      <c r="AL58" s="100">
        <v>0.857523</v>
      </c>
      <c r="AM58" s="100">
        <v>0.64527</v>
      </c>
      <c r="AN58" s="100">
        <v>0.741935</v>
      </c>
      <c r="AO58" s="98">
        <v>2045.3115166771554</v>
      </c>
      <c r="AP58" s="158">
        <v>0.9145659637</v>
      </c>
      <c r="AQ58" s="100">
        <v>0.13076923076923078</v>
      </c>
      <c r="AR58" s="100">
        <v>0.5151515151515151</v>
      </c>
      <c r="AS58" s="98">
        <v>314.6633102580239</v>
      </c>
      <c r="AT58" s="98">
        <v>220.26431718061673</v>
      </c>
      <c r="AU58" s="98" t="s">
        <v>589</v>
      </c>
      <c r="AV58" s="98">
        <v>519.1944619257395</v>
      </c>
      <c r="AW58" s="98">
        <v>676.5261170547515</v>
      </c>
      <c r="AX58" s="98">
        <v>597.8602894902455</v>
      </c>
      <c r="AY58" s="98">
        <v>1762.1145374449338</v>
      </c>
      <c r="AZ58" s="98">
        <v>1148.5210824417873</v>
      </c>
      <c r="BA58" s="100" t="s">
        <v>589</v>
      </c>
      <c r="BB58" s="100" t="s">
        <v>589</v>
      </c>
      <c r="BC58" s="100" t="s">
        <v>589</v>
      </c>
      <c r="BD58" s="158">
        <v>0.7641175079</v>
      </c>
      <c r="BE58" s="158">
        <v>1.085972824</v>
      </c>
      <c r="BF58" s="162">
        <v>957</v>
      </c>
      <c r="BG58" s="162">
        <v>791</v>
      </c>
      <c r="BH58" s="162">
        <v>1502</v>
      </c>
      <c r="BI58" s="162">
        <v>888</v>
      </c>
      <c r="BJ58" s="162">
        <v>341</v>
      </c>
      <c r="BK58" s="97"/>
      <c r="BL58" s="97"/>
      <c r="BM58" s="97"/>
      <c r="BN58" s="97"/>
    </row>
    <row r="59" spans="1:66" ht="12.75">
      <c r="A59" s="79" t="s">
        <v>529</v>
      </c>
      <c r="B59" s="79" t="s">
        <v>286</v>
      </c>
      <c r="C59" s="79" t="s">
        <v>269</v>
      </c>
      <c r="D59" s="99">
        <v>7823</v>
      </c>
      <c r="E59" s="99">
        <v>2091</v>
      </c>
      <c r="F59" s="99" t="s">
        <v>362</v>
      </c>
      <c r="G59" s="99">
        <v>62</v>
      </c>
      <c r="H59" s="99">
        <v>28</v>
      </c>
      <c r="I59" s="99">
        <v>247</v>
      </c>
      <c r="J59" s="99">
        <v>1038</v>
      </c>
      <c r="K59" s="99">
        <v>17</v>
      </c>
      <c r="L59" s="99">
        <v>1414</v>
      </c>
      <c r="M59" s="99">
        <v>815</v>
      </c>
      <c r="N59" s="99">
        <v>351</v>
      </c>
      <c r="O59" s="99">
        <v>179</v>
      </c>
      <c r="P59" s="159">
        <v>179</v>
      </c>
      <c r="Q59" s="99">
        <v>28</v>
      </c>
      <c r="R59" s="99">
        <v>56</v>
      </c>
      <c r="S59" s="99">
        <v>51</v>
      </c>
      <c r="T59" s="99">
        <v>12</v>
      </c>
      <c r="U59" s="99">
        <v>7</v>
      </c>
      <c r="V59" s="99">
        <v>32</v>
      </c>
      <c r="W59" s="99">
        <v>48</v>
      </c>
      <c r="X59" s="99">
        <v>50</v>
      </c>
      <c r="Y59" s="99">
        <v>125</v>
      </c>
      <c r="Z59" s="99">
        <v>83</v>
      </c>
      <c r="AA59" s="99" t="s">
        <v>589</v>
      </c>
      <c r="AB59" s="99" t="s">
        <v>589</v>
      </c>
      <c r="AC59" s="99" t="s">
        <v>589</v>
      </c>
      <c r="AD59" s="98" t="s">
        <v>342</v>
      </c>
      <c r="AE59" s="100">
        <v>0.2672887639013166</v>
      </c>
      <c r="AF59" s="100">
        <v>0.09</v>
      </c>
      <c r="AG59" s="98">
        <v>792.5348331842005</v>
      </c>
      <c r="AH59" s="98">
        <v>357.91895692189695</v>
      </c>
      <c r="AI59" s="100">
        <v>0.032</v>
      </c>
      <c r="AJ59" s="100">
        <v>0.807154</v>
      </c>
      <c r="AK59" s="100">
        <v>0.809524</v>
      </c>
      <c r="AL59" s="100">
        <v>0.801133</v>
      </c>
      <c r="AM59" s="100">
        <v>0.609118</v>
      </c>
      <c r="AN59" s="100">
        <v>0.69505</v>
      </c>
      <c r="AO59" s="98">
        <v>2288.1247603221273</v>
      </c>
      <c r="AP59" s="158">
        <v>0.9537548065</v>
      </c>
      <c r="AQ59" s="100">
        <v>0.1564245810055866</v>
      </c>
      <c r="AR59" s="100">
        <v>0.5</v>
      </c>
      <c r="AS59" s="98">
        <v>651.9238143934552</v>
      </c>
      <c r="AT59" s="98">
        <v>153.393838680813</v>
      </c>
      <c r="AU59" s="98">
        <v>89.47973923047424</v>
      </c>
      <c r="AV59" s="98">
        <v>409.050236482168</v>
      </c>
      <c r="AW59" s="98">
        <v>613.575354723252</v>
      </c>
      <c r="AX59" s="98">
        <v>639.1409945033874</v>
      </c>
      <c r="AY59" s="98">
        <v>1597.8524862584686</v>
      </c>
      <c r="AZ59" s="98">
        <v>1060.974050875623</v>
      </c>
      <c r="BA59" s="100" t="s">
        <v>589</v>
      </c>
      <c r="BB59" s="100" t="s">
        <v>589</v>
      </c>
      <c r="BC59" s="100" t="s">
        <v>589</v>
      </c>
      <c r="BD59" s="158">
        <v>0.8191479492</v>
      </c>
      <c r="BE59" s="158">
        <v>1.104169159</v>
      </c>
      <c r="BF59" s="162">
        <v>1286</v>
      </c>
      <c r="BG59" s="162">
        <v>21</v>
      </c>
      <c r="BH59" s="162">
        <v>1765</v>
      </c>
      <c r="BI59" s="162">
        <v>1338</v>
      </c>
      <c r="BJ59" s="162">
        <v>505</v>
      </c>
      <c r="BK59" s="97"/>
      <c r="BL59" s="97"/>
      <c r="BM59" s="97"/>
      <c r="BN59" s="97"/>
    </row>
    <row r="60" spans="1:66" ht="12.75">
      <c r="A60" s="79" t="s">
        <v>534</v>
      </c>
      <c r="B60" s="79" t="s">
        <v>292</v>
      </c>
      <c r="C60" s="79" t="s">
        <v>269</v>
      </c>
      <c r="D60" s="99">
        <v>5335</v>
      </c>
      <c r="E60" s="99">
        <v>1868</v>
      </c>
      <c r="F60" s="99" t="s">
        <v>362</v>
      </c>
      <c r="G60" s="99">
        <v>46</v>
      </c>
      <c r="H60" s="99">
        <v>31</v>
      </c>
      <c r="I60" s="99">
        <v>188</v>
      </c>
      <c r="J60" s="99">
        <v>669</v>
      </c>
      <c r="K60" s="99">
        <v>9</v>
      </c>
      <c r="L60" s="99">
        <v>915</v>
      </c>
      <c r="M60" s="99">
        <v>587</v>
      </c>
      <c r="N60" s="99">
        <v>251</v>
      </c>
      <c r="O60" s="99">
        <v>144</v>
      </c>
      <c r="P60" s="159">
        <v>144</v>
      </c>
      <c r="Q60" s="99">
        <v>19</v>
      </c>
      <c r="R60" s="99">
        <v>34</v>
      </c>
      <c r="S60" s="99">
        <v>27</v>
      </c>
      <c r="T60" s="99">
        <v>26</v>
      </c>
      <c r="U60" s="99" t="s">
        <v>589</v>
      </c>
      <c r="V60" s="99">
        <v>28</v>
      </c>
      <c r="W60" s="99">
        <v>42</v>
      </c>
      <c r="X60" s="99">
        <v>36</v>
      </c>
      <c r="Y60" s="99">
        <v>98</v>
      </c>
      <c r="Z60" s="99">
        <v>64</v>
      </c>
      <c r="AA60" s="99" t="s">
        <v>589</v>
      </c>
      <c r="AB60" s="99" t="s">
        <v>589</v>
      </c>
      <c r="AC60" s="99" t="s">
        <v>589</v>
      </c>
      <c r="AD60" s="98" t="s">
        <v>342</v>
      </c>
      <c r="AE60" s="100">
        <v>0.3501405810684161</v>
      </c>
      <c r="AF60" s="100">
        <v>0.1</v>
      </c>
      <c r="AG60" s="98">
        <v>862.2305529522024</v>
      </c>
      <c r="AH60" s="98">
        <v>581.0684161199625</v>
      </c>
      <c r="AI60" s="100">
        <v>0.035</v>
      </c>
      <c r="AJ60" s="100">
        <v>0.778813</v>
      </c>
      <c r="AK60" s="100">
        <v>0.473684</v>
      </c>
      <c r="AL60" s="100">
        <v>0.820628</v>
      </c>
      <c r="AM60" s="100">
        <v>0.644347</v>
      </c>
      <c r="AN60" s="100">
        <v>0.667553</v>
      </c>
      <c r="AO60" s="98">
        <v>2699.1565135895034</v>
      </c>
      <c r="AP60" s="158">
        <v>0.9898247528</v>
      </c>
      <c r="AQ60" s="100">
        <v>0.13194444444444445</v>
      </c>
      <c r="AR60" s="100">
        <v>0.5588235294117647</v>
      </c>
      <c r="AS60" s="98">
        <v>506.09184629803184</v>
      </c>
      <c r="AT60" s="98">
        <v>487.3477038425492</v>
      </c>
      <c r="AU60" s="98" t="s">
        <v>589</v>
      </c>
      <c r="AV60" s="98">
        <v>524.8359887535145</v>
      </c>
      <c r="AW60" s="98">
        <v>787.2539831302718</v>
      </c>
      <c r="AX60" s="98">
        <v>674.7891283973759</v>
      </c>
      <c r="AY60" s="98">
        <v>1836.925960637301</v>
      </c>
      <c r="AZ60" s="98">
        <v>1199.6251171508904</v>
      </c>
      <c r="BA60" s="100" t="s">
        <v>589</v>
      </c>
      <c r="BB60" s="100" t="s">
        <v>589</v>
      </c>
      <c r="BC60" s="100" t="s">
        <v>589</v>
      </c>
      <c r="BD60" s="158">
        <v>0.8347620392</v>
      </c>
      <c r="BE60" s="158">
        <v>1.165336609</v>
      </c>
      <c r="BF60" s="162">
        <v>859</v>
      </c>
      <c r="BG60" s="162">
        <v>19</v>
      </c>
      <c r="BH60" s="162">
        <v>1115</v>
      </c>
      <c r="BI60" s="162">
        <v>911</v>
      </c>
      <c r="BJ60" s="162">
        <v>376</v>
      </c>
      <c r="BK60" s="97"/>
      <c r="BL60" s="97"/>
      <c r="BM60" s="97"/>
      <c r="BN60" s="97"/>
    </row>
    <row r="61" spans="1:66" ht="12.75">
      <c r="A61" s="79" t="s">
        <v>547</v>
      </c>
      <c r="B61" s="79" t="s">
        <v>306</v>
      </c>
      <c r="C61" s="79" t="s">
        <v>269</v>
      </c>
      <c r="D61" s="99">
        <v>7841</v>
      </c>
      <c r="E61" s="99">
        <v>1715</v>
      </c>
      <c r="F61" s="99" t="s">
        <v>362</v>
      </c>
      <c r="G61" s="99">
        <v>54</v>
      </c>
      <c r="H61" s="99">
        <v>21</v>
      </c>
      <c r="I61" s="99">
        <v>168</v>
      </c>
      <c r="J61" s="99">
        <v>797</v>
      </c>
      <c r="K61" s="99">
        <v>18</v>
      </c>
      <c r="L61" s="99">
        <v>1430</v>
      </c>
      <c r="M61" s="99">
        <v>663</v>
      </c>
      <c r="N61" s="99">
        <v>287</v>
      </c>
      <c r="O61" s="99">
        <v>147</v>
      </c>
      <c r="P61" s="159">
        <v>147</v>
      </c>
      <c r="Q61" s="99">
        <v>22</v>
      </c>
      <c r="R61" s="99">
        <v>38</v>
      </c>
      <c r="S61" s="99">
        <v>48</v>
      </c>
      <c r="T61" s="99">
        <v>29</v>
      </c>
      <c r="U61" s="99" t="s">
        <v>589</v>
      </c>
      <c r="V61" s="99">
        <v>20</v>
      </c>
      <c r="W61" s="99">
        <v>59</v>
      </c>
      <c r="X61" s="99">
        <v>55</v>
      </c>
      <c r="Y61" s="99">
        <v>111</v>
      </c>
      <c r="Z61" s="99">
        <v>48</v>
      </c>
      <c r="AA61" s="99" t="s">
        <v>589</v>
      </c>
      <c r="AB61" s="99" t="s">
        <v>589</v>
      </c>
      <c r="AC61" s="99" t="s">
        <v>589</v>
      </c>
      <c r="AD61" s="98" t="s">
        <v>342</v>
      </c>
      <c r="AE61" s="100">
        <v>0.21872210177273307</v>
      </c>
      <c r="AF61" s="100">
        <v>0.12</v>
      </c>
      <c r="AG61" s="98">
        <v>688.6876673893636</v>
      </c>
      <c r="AH61" s="98">
        <v>267.8229817625303</v>
      </c>
      <c r="AI61" s="100">
        <v>0.021</v>
      </c>
      <c r="AJ61" s="100">
        <v>0.699123</v>
      </c>
      <c r="AK61" s="100">
        <v>0.5625</v>
      </c>
      <c r="AL61" s="100">
        <v>0.795328</v>
      </c>
      <c r="AM61" s="100">
        <v>0.617318</v>
      </c>
      <c r="AN61" s="100">
        <v>0.642058</v>
      </c>
      <c r="AO61" s="98">
        <v>1874.760872337712</v>
      </c>
      <c r="AP61" s="158">
        <v>0.8777555083999999</v>
      </c>
      <c r="AQ61" s="100">
        <v>0.14965986394557823</v>
      </c>
      <c r="AR61" s="100">
        <v>0.5789473684210527</v>
      </c>
      <c r="AS61" s="98">
        <v>612.1668154572121</v>
      </c>
      <c r="AT61" s="98">
        <v>369.8507843387323</v>
      </c>
      <c r="AU61" s="98" t="s">
        <v>589</v>
      </c>
      <c r="AV61" s="98">
        <v>255.06950644050505</v>
      </c>
      <c r="AW61" s="98">
        <v>752.4550439994898</v>
      </c>
      <c r="AX61" s="98">
        <v>701.4411427113888</v>
      </c>
      <c r="AY61" s="98">
        <v>1415.635760744803</v>
      </c>
      <c r="AZ61" s="98">
        <v>612.1668154572121</v>
      </c>
      <c r="BA61" s="100" t="s">
        <v>589</v>
      </c>
      <c r="BB61" s="100" t="s">
        <v>589</v>
      </c>
      <c r="BC61" s="100" t="s">
        <v>589</v>
      </c>
      <c r="BD61" s="158">
        <v>0.7415991974</v>
      </c>
      <c r="BE61" s="158">
        <v>1.0316706089999998</v>
      </c>
      <c r="BF61" s="162">
        <v>1140</v>
      </c>
      <c r="BG61" s="162">
        <v>32</v>
      </c>
      <c r="BH61" s="162">
        <v>1798</v>
      </c>
      <c r="BI61" s="162">
        <v>1074</v>
      </c>
      <c r="BJ61" s="162">
        <v>447</v>
      </c>
      <c r="BK61" s="97"/>
      <c r="BL61" s="97"/>
      <c r="BM61" s="97"/>
      <c r="BN61" s="97"/>
    </row>
    <row r="62" spans="1:66" ht="12.75">
      <c r="A62" s="79" t="s">
        <v>532</v>
      </c>
      <c r="B62" s="79" t="s">
        <v>289</v>
      </c>
      <c r="C62" s="79" t="s">
        <v>269</v>
      </c>
      <c r="D62" s="99">
        <v>4165</v>
      </c>
      <c r="E62" s="99">
        <v>925</v>
      </c>
      <c r="F62" s="99" t="s">
        <v>364</v>
      </c>
      <c r="G62" s="99">
        <v>24</v>
      </c>
      <c r="H62" s="99">
        <v>15</v>
      </c>
      <c r="I62" s="99">
        <v>97</v>
      </c>
      <c r="J62" s="99">
        <v>488</v>
      </c>
      <c r="K62" s="99">
        <v>452</v>
      </c>
      <c r="L62" s="99">
        <v>666</v>
      </c>
      <c r="M62" s="99">
        <v>383</v>
      </c>
      <c r="N62" s="99">
        <v>180</v>
      </c>
      <c r="O62" s="99">
        <v>94</v>
      </c>
      <c r="P62" s="159">
        <v>94</v>
      </c>
      <c r="Q62" s="99">
        <v>12</v>
      </c>
      <c r="R62" s="99">
        <v>22</v>
      </c>
      <c r="S62" s="99">
        <v>17</v>
      </c>
      <c r="T62" s="99">
        <v>20</v>
      </c>
      <c r="U62" s="99" t="s">
        <v>589</v>
      </c>
      <c r="V62" s="99">
        <v>12</v>
      </c>
      <c r="W62" s="99">
        <v>28</v>
      </c>
      <c r="X62" s="99">
        <v>46</v>
      </c>
      <c r="Y62" s="99">
        <v>47</v>
      </c>
      <c r="Z62" s="99">
        <v>37</v>
      </c>
      <c r="AA62" s="99" t="s">
        <v>589</v>
      </c>
      <c r="AB62" s="99" t="s">
        <v>589</v>
      </c>
      <c r="AC62" s="99" t="s">
        <v>589</v>
      </c>
      <c r="AD62" s="98" t="s">
        <v>342</v>
      </c>
      <c r="AE62" s="100">
        <v>0.22208883553421369</v>
      </c>
      <c r="AF62" s="100">
        <v>0.08</v>
      </c>
      <c r="AG62" s="98">
        <v>576.2304921968788</v>
      </c>
      <c r="AH62" s="98">
        <v>360.1440576230492</v>
      </c>
      <c r="AI62" s="100">
        <v>0.023</v>
      </c>
      <c r="AJ62" s="100">
        <v>0.796085</v>
      </c>
      <c r="AK62" s="100">
        <v>0.77265</v>
      </c>
      <c r="AL62" s="100">
        <v>0.854942</v>
      </c>
      <c r="AM62" s="100">
        <v>0.625817</v>
      </c>
      <c r="AN62" s="100">
        <v>0.684411</v>
      </c>
      <c r="AO62" s="98">
        <v>2256.9027611044417</v>
      </c>
      <c r="AP62" s="158">
        <v>1.103650131</v>
      </c>
      <c r="AQ62" s="100">
        <v>0.1276595744680851</v>
      </c>
      <c r="AR62" s="100">
        <v>0.5454545454545454</v>
      </c>
      <c r="AS62" s="98">
        <v>408.16326530612247</v>
      </c>
      <c r="AT62" s="98">
        <v>480.1920768307323</v>
      </c>
      <c r="AU62" s="98" t="s">
        <v>589</v>
      </c>
      <c r="AV62" s="98">
        <v>288.1152460984394</v>
      </c>
      <c r="AW62" s="98">
        <v>672.2689075630252</v>
      </c>
      <c r="AX62" s="98">
        <v>1104.4417767106843</v>
      </c>
      <c r="AY62" s="98">
        <v>1128.4513805522208</v>
      </c>
      <c r="AZ62" s="98">
        <v>888.3553421368547</v>
      </c>
      <c r="BA62" s="100" t="s">
        <v>589</v>
      </c>
      <c r="BB62" s="100" t="s">
        <v>589</v>
      </c>
      <c r="BC62" s="100" t="s">
        <v>589</v>
      </c>
      <c r="BD62" s="158">
        <v>0.8918616486000001</v>
      </c>
      <c r="BE62" s="158">
        <v>1.3505882260000002</v>
      </c>
      <c r="BF62" s="162">
        <v>613</v>
      </c>
      <c r="BG62" s="162">
        <v>585</v>
      </c>
      <c r="BH62" s="162">
        <v>779</v>
      </c>
      <c r="BI62" s="162">
        <v>612</v>
      </c>
      <c r="BJ62" s="162">
        <v>263</v>
      </c>
      <c r="BK62" s="97"/>
      <c r="BL62" s="97"/>
      <c r="BM62" s="97"/>
      <c r="BN62" s="97"/>
    </row>
    <row r="63" spans="1:66" ht="12.75">
      <c r="A63" s="79" t="s">
        <v>459</v>
      </c>
      <c r="B63" s="94" t="s">
        <v>269</v>
      </c>
      <c r="C63" s="94" t="s">
        <v>7</v>
      </c>
      <c r="D63" s="99">
        <v>401418</v>
      </c>
      <c r="E63" s="99">
        <v>100351</v>
      </c>
      <c r="F63" s="99">
        <v>39722.29</v>
      </c>
      <c r="G63" s="99">
        <v>2545</v>
      </c>
      <c r="H63" s="99">
        <v>1229</v>
      </c>
      <c r="I63" s="99">
        <v>9992</v>
      </c>
      <c r="J63" s="99">
        <v>46066</v>
      </c>
      <c r="K63" s="99">
        <v>15863</v>
      </c>
      <c r="L63" s="99">
        <v>72992</v>
      </c>
      <c r="M63" s="99">
        <v>36389</v>
      </c>
      <c r="N63" s="99">
        <v>16135</v>
      </c>
      <c r="O63" s="99">
        <v>8637</v>
      </c>
      <c r="P63" s="99">
        <v>8637</v>
      </c>
      <c r="Q63" s="99">
        <v>1153</v>
      </c>
      <c r="R63" s="99">
        <v>2442</v>
      </c>
      <c r="S63" s="99">
        <v>1781</v>
      </c>
      <c r="T63" s="99">
        <v>1482</v>
      </c>
      <c r="U63" s="99">
        <v>322</v>
      </c>
      <c r="V63" s="99">
        <v>1611</v>
      </c>
      <c r="W63" s="99">
        <v>2993</v>
      </c>
      <c r="X63" s="99">
        <v>2827</v>
      </c>
      <c r="Y63" s="99">
        <v>6425</v>
      </c>
      <c r="Z63" s="99">
        <v>3034</v>
      </c>
      <c r="AA63" s="99">
        <v>0</v>
      </c>
      <c r="AB63" s="99">
        <v>0</v>
      </c>
      <c r="AC63" s="99">
        <v>0</v>
      </c>
      <c r="AD63" s="98">
        <v>0</v>
      </c>
      <c r="AE63" s="101">
        <v>0.24999128090917697</v>
      </c>
      <c r="AF63" s="101">
        <v>0.09895492977395134</v>
      </c>
      <c r="AG63" s="98">
        <v>634.0024612747809</v>
      </c>
      <c r="AH63" s="98">
        <v>306.16464632876455</v>
      </c>
      <c r="AI63" s="101">
        <v>0.02489175871535407</v>
      </c>
      <c r="AJ63" s="101">
        <v>0.7605666358473121</v>
      </c>
      <c r="AK63" s="101">
        <v>0.7654779713361965</v>
      </c>
      <c r="AL63" s="101">
        <v>0.8053312149697692</v>
      </c>
      <c r="AM63" s="101">
        <v>0.6146998209398966</v>
      </c>
      <c r="AN63" s="101">
        <v>0.6644839799028087</v>
      </c>
      <c r="AO63" s="98">
        <v>2151.622498243726</v>
      </c>
      <c r="AP63" s="98">
        <v>0</v>
      </c>
      <c r="AQ63" s="101">
        <v>0.13349542665277295</v>
      </c>
      <c r="AR63" s="101">
        <v>0.47215397215397215</v>
      </c>
      <c r="AS63" s="98">
        <v>443.6771644520176</v>
      </c>
      <c r="AT63" s="98">
        <v>369.1912171352555</v>
      </c>
      <c r="AU63" s="98">
        <v>80.21563557189762</v>
      </c>
      <c r="AV63" s="98">
        <v>401.32729474014616</v>
      </c>
      <c r="AW63" s="98">
        <v>745.606823809595</v>
      </c>
      <c r="AX63" s="98">
        <v>704.2534216203559</v>
      </c>
      <c r="AY63" s="98">
        <v>1600.5759582280814</v>
      </c>
      <c r="AZ63" s="98">
        <v>755.8206159165758</v>
      </c>
      <c r="BA63" s="101">
        <v>0</v>
      </c>
      <c r="BB63" s="101">
        <v>0</v>
      </c>
      <c r="BC63" s="101">
        <v>0</v>
      </c>
      <c r="BD63" s="98">
        <v>0</v>
      </c>
      <c r="BE63" s="98">
        <v>0</v>
      </c>
      <c r="BF63" s="99">
        <v>60568</v>
      </c>
      <c r="BG63" s="99">
        <v>20723</v>
      </c>
      <c r="BH63" s="99">
        <v>90636</v>
      </c>
      <c r="BI63" s="99">
        <v>59198</v>
      </c>
      <c r="BJ63" s="99">
        <v>24282</v>
      </c>
      <c r="BK63" s="97"/>
      <c r="BL63" s="97"/>
      <c r="BM63" s="97"/>
      <c r="BN63" s="97"/>
    </row>
    <row r="64" spans="1:66" ht="12.75">
      <c r="A64" s="79" t="s">
        <v>24</v>
      </c>
      <c r="B64" s="94" t="s">
        <v>7</v>
      </c>
      <c r="C64" s="94" t="s">
        <v>7</v>
      </c>
      <c r="D64" s="99">
        <v>54615830</v>
      </c>
      <c r="E64" s="99">
        <v>8737890</v>
      </c>
      <c r="F64" s="99">
        <v>8198344.169999988</v>
      </c>
      <c r="G64" s="99">
        <v>243379</v>
      </c>
      <c r="H64" s="99">
        <v>127868</v>
      </c>
      <c r="I64" s="99">
        <v>870616</v>
      </c>
      <c r="J64" s="99">
        <v>4592627</v>
      </c>
      <c r="K64" s="99">
        <v>1679592</v>
      </c>
      <c r="L64" s="99">
        <v>10150944</v>
      </c>
      <c r="M64" s="99">
        <v>2959539</v>
      </c>
      <c r="N64" s="99">
        <v>1629320</v>
      </c>
      <c r="O64" s="99">
        <v>989730</v>
      </c>
      <c r="P64" s="99">
        <v>989730</v>
      </c>
      <c r="Q64" s="99">
        <v>108072</v>
      </c>
      <c r="R64" s="99">
        <v>238330</v>
      </c>
      <c r="S64" s="99">
        <v>206300</v>
      </c>
      <c r="T64" s="99">
        <v>154264</v>
      </c>
      <c r="U64" s="99">
        <v>38486</v>
      </c>
      <c r="V64" s="99">
        <v>176535</v>
      </c>
      <c r="W64" s="99">
        <v>307276</v>
      </c>
      <c r="X64" s="99">
        <v>221506</v>
      </c>
      <c r="Y64" s="99">
        <v>578574</v>
      </c>
      <c r="Z64" s="99">
        <v>318377</v>
      </c>
      <c r="AA64" s="99">
        <v>0</v>
      </c>
      <c r="AB64" s="99">
        <v>0</v>
      </c>
      <c r="AC64" s="99">
        <v>0</v>
      </c>
      <c r="AD64" s="98">
        <v>0</v>
      </c>
      <c r="AE64" s="101">
        <v>0.1599882305185145</v>
      </c>
      <c r="AF64" s="101">
        <v>0.15010930292554353</v>
      </c>
      <c r="AG64" s="98">
        <v>445.6198871279627</v>
      </c>
      <c r="AH64" s="98">
        <v>234.12259778895606</v>
      </c>
      <c r="AI64" s="101">
        <v>0.015940726342527432</v>
      </c>
      <c r="AJ64" s="101">
        <v>0.7248631360507991</v>
      </c>
      <c r="AK64" s="101">
        <v>0.7467412166569077</v>
      </c>
      <c r="AL64" s="101">
        <v>0.7559681673907895</v>
      </c>
      <c r="AM64" s="101">
        <v>0.5147293797466616</v>
      </c>
      <c r="AN64" s="101">
        <v>0.5752927626212945</v>
      </c>
      <c r="AO64" s="98">
        <v>1812.1669120472948</v>
      </c>
      <c r="AP64" s="98">
        <v>1</v>
      </c>
      <c r="AQ64" s="101">
        <v>0.10919341638628717</v>
      </c>
      <c r="AR64" s="101">
        <v>0.4534552930810221</v>
      </c>
      <c r="AS64" s="98">
        <v>377.7293140102421</v>
      </c>
      <c r="AT64" s="98">
        <v>282.45290788403287</v>
      </c>
      <c r="AU64" s="98">
        <v>70.46674929228394</v>
      </c>
      <c r="AV64" s="98">
        <v>323.23046266988894</v>
      </c>
      <c r="AW64" s="98">
        <v>562.6134400960308</v>
      </c>
      <c r="AX64" s="98">
        <v>405.57105879375996</v>
      </c>
      <c r="AY64" s="98">
        <v>1059.3522061277838</v>
      </c>
      <c r="AZ64" s="98">
        <v>582.9390489900089</v>
      </c>
      <c r="BA64" s="101">
        <v>0</v>
      </c>
      <c r="BB64" s="101">
        <v>0</v>
      </c>
      <c r="BC64" s="101">
        <v>0</v>
      </c>
      <c r="BD64" s="98">
        <v>0</v>
      </c>
      <c r="BE64" s="98">
        <v>0</v>
      </c>
      <c r="BF64" s="99">
        <v>6335854</v>
      </c>
      <c r="BG64" s="99">
        <v>2249229</v>
      </c>
      <c r="BH64" s="99">
        <v>13427740</v>
      </c>
      <c r="BI64" s="99">
        <v>5749699</v>
      </c>
      <c r="BJ64" s="99">
        <v>2832158</v>
      </c>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2"/>
      <c r="BB71" s="302"/>
      <c r="BC71" s="302"/>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347</v>
      </c>
      <c r="O4" s="75" t="s">
        <v>346</v>
      </c>
      <c r="P4" s="75" t="s">
        <v>472</v>
      </c>
      <c r="Q4" s="75" t="s">
        <v>473</v>
      </c>
      <c r="R4" s="75" t="s">
        <v>474</v>
      </c>
      <c r="S4" s="75" t="s">
        <v>475</v>
      </c>
      <c r="T4" s="39" t="s">
        <v>278</v>
      </c>
      <c r="U4" s="40" t="s">
        <v>279</v>
      </c>
      <c r="V4" s="41" t="s">
        <v>7</v>
      </c>
      <c r="W4" s="24" t="s">
        <v>2</v>
      </c>
      <c r="X4" s="24" t="s">
        <v>3</v>
      </c>
      <c r="Y4" s="75" t="s">
        <v>595</v>
      </c>
      <c r="Z4" s="75" t="s">
        <v>594</v>
      </c>
      <c r="AA4" s="26" t="s">
        <v>280</v>
      </c>
      <c r="AB4" s="24" t="s">
        <v>5</v>
      </c>
      <c r="AC4" s="75" t="s">
        <v>35</v>
      </c>
      <c r="AD4" s="24" t="s">
        <v>6</v>
      </c>
      <c r="AE4" s="24" t="s">
        <v>281</v>
      </c>
      <c r="AF4" s="24" t="s">
        <v>16</v>
      </c>
      <c r="AG4" s="24" t="s">
        <v>15</v>
      </c>
      <c r="AH4" s="24" t="s">
        <v>14</v>
      </c>
      <c r="AI4" s="25" t="s">
        <v>30</v>
      </c>
      <c r="AJ4" s="47" t="s">
        <v>10</v>
      </c>
      <c r="AK4" s="26" t="s">
        <v>21</v>
      </c>
      <c r="AL4" s="25" t="s">
        <v>22</v>
      </c>
      <c r="AQ4" s="102" t="s">
        <v>387</v>
      </c>
      <c r="AR4" s="102" t="s">
        <v>389</v>
      </c>
      <c r="AS4" s="102" t="s">
        <v>388</v>
      </c>
      <c r="AY4" s="102" t="s">
        <v>469</v>
      </c>
      <c r="AZ4" s="102" t="s">
        <v>470</v>
      </c>
      <c r="BA4" s="102" t="s">
        <v>471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410</v>
      </c>
      <c r="BA5" s="103" t="s">
        <v>342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395</v>
      </c>
      <c r="BA6" s="103" t="s">
        <v>342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3225</v>
      </c>
      <c r="E7" s="38">
        <f>IF(LEFT(VLOOKUP($B7,'Indicator chart'!$D$1:$J$36,5,FALSE),1)=" "," ",VLOOKUP($B7,'Indicator chart'!$D$1:$J$36,5,FALSE))</f>
        <v>0.22174092409240925</v>
      </c>
      <c r="F7" s="38">
        <f>IF(LEFT(VLOOKUP($B7,'Indicator chart'!$D$1:$J$36,6,FALSE),1)=" "," ",VLOOKUP($B7,'Indicator chart'!$D$1:$J$36,6,FALSE))</f>
        <v>0.21506341188342978</v>
      </c>
      <c r="G7" s="38">
        <f>IF(LEFT(VLOOKUP($B7,'Indicator chart'!$D$1:$J$36,7,FALSE),1)=" "," ",VLOOKUP($B7,'Indicator chart'!$D$1:$J$36,7,FALSE))</f>
        <v>0.22856539419320496</v>
      </c>
      <c r="H7" s="50">
        <f aca="true" t="shared" si="0" ref="H7:H31">IF(LEFT(F7,1)=" ",4,IF(AND(ABS(N7-E7)&gt;SQRT((E7-G7)^2+(N7-R7)^2),E7&lt;N7),1,IF(AND(ABS(N7-E7)&gt;SQRT((E7-F7)^2+(N7-S7)^2),E7&gt;N7),3,2)))</f>
        <v>1</v>
      </c>
      <c r="I7" s="38">
        <v>0.17516811192035675</v>
      </c>
      <c r="J7" s="38">
        <v>0.21499158442020416</v>
      </c>
      <c r="K7" s="38">
        <v>0.24312220513820648</v>
      </c>
      <c r="L7" s="38">
        <v>0.2782553434371948</v>
      </c>
      <c r="M7" s="38">
        <v>0.4543905258178711</v>
      </c>
      <c r="N7" s="80">
        <f>VLOOKUP('Hide - Control'!B$3,'All practice data'!A:CA,A7+29,FALSE)</f>
        <v>0.24999128090917697</v>
      </c>
      <c r="O7" s="80">
        <f>VLOOKUP('Hide - Control'!C$3,'All practice data'!A:CA,A7+29,FALSE)</f>
        <v>0.1599882305185145</v>
      </c>
      <c r="P7" s="38">
        <f>VLOOKUP('Hide - Control'!$B$4,'All practice data'!B:BC,A7+2,FALSE)</f>
        <v>100351</v>
      </c>
      <c r="Q7" s="38">
        <f>VLOOKUP('Hide - Control'!$B$4,'All practice data'!B:BC,3,FALSE)</f>
        <v>401418</v>
      </c>
      <c r="R7" s="38">
        <f>+((2*P7+1.96^2-1.96*SQRT(1.96^2+4*P7*(1-P7/Q7)))/(2*(Q7+1.96^2)))</f>
        <v>0.24865414531681818</v>
      </c>
      <c r="S7" s="38">
        <f>+((2*P7+1.96^2+1.96*SQRT(1.96^2+4*P7*(1-P7/Q7)))/(2*(Q7+1.96^2)))</f>
        <v>0.2513332016596699</v>
      </c>
      <c r="T7" s="53">
        <f>IF($C7=1,M7,I7)</f>
        <v>0.4543905258178711</v>
      </c>
      <c r="U7" s="51">
        <f aca="true" t="shared" si="1" ref="U7:U15">IF($C7=1,I7,M7)</f>
        <v>0.17516811192035675</v>
      </c>
      <c r="V7" s="7">
        <v>1</v>
      </c>
      <c r="W7" s="27">
        <f aca="true" t="shared" si="2" ref="W7:W31">IF((K7-I7)&gt;(M7-K7),I7,(K7-(M7-K7)))</f>
        <v>0.03185388445854187</v>
      </c>
      <c r="X7" s="27">
        <f aca="true" t="shared" si="3" ref="X7:X31">IF(W7=I7,K7+(K7-I7),M7)</f>
        <v>0.4543905258178711</v>
      </c>
      <c r="Y7" s="27">
        <f aca="true" t="shared" si="4" ref="Y7:Y31">IF(C7=1,W7,X7)</f>
        <v>0.03185388445854187</v>
      </c>
      <c r="Z7" s="27">
        <f aca="true" t="shared" si="5" ref="Z7:Z31">IF(C7=1,X7,W7)</f>
        <v>0.4543905258178711</v>
      </c>
      <c r="AA7" s="32">
        <f aca="true" t="shared" si="6" ref="AA7:AA31">IF(ISERROR(IF(C7=1,(I7-$Y7)/($Z7-$Y7),(U7-$Y7)/($Z7-$Y7))),"",IF(C7=1,(I7-$Y7)/($Z7-$Y7),(U7-$Y7)/($Z7-$Y7)))</f>
        <v>0.33917585703517505</v>
      </c>
      <c r="AB7" s="33">
        <f aca="true" t="shared" si="7" ref="AB7:AB31">IF(ISERROR(IF(C7=1,(J7-$Y7)/($Z7-$Y7),(L7-$Y7)/($Z7-$Y7))),"",IF(C7=1,(J7-$Y7)/($Z7-$Y7),(L7-$Y7)/($Z7-$Y7)))</f>
        <v>0.4334244229624579</v>
      </c>
      <c r="AC7" s="33">
        <v>0.5</v>
      </c>
      <c r="AD7" s="33">
        <f aca="true" t="shared" si="8" ref="AD7:AD31">IF(ISERROR(IF(C7=1,(L7-$Y7)/($Z7-$Y7),(J7-$Y7)/($Z7-$Y7))),"",IF(C7=1,(L7-$Y7)/($Z7-$Y7),(J7-$Y7)/($Z7-$Y7)))</f>
        <v>0.5831481458885143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0.449397806123956</v>
      </c>
      <c r="AI7" s="34">
        <f aca="true" t="shared" si="13" ref="AI7:AI31">IF(ISERROR((O7-$Y7)/($Z7-$Y7)),-999,(O7-$Y7)/($Z7-$Y7))</f>
        <v>0.3032502593094783</v>
      </c>
      <c r="AJ7" s="4">
        <v>2.7020512924389086</v>
      </c>
      <c r="AK7" s="32">
        <f aca="true" t="shared" si="14" ref="AK7:AK31">IF(H7=1,(E7-$Y7)/($Z7-$Y7),-999)</f>
        <v>0.449397806123956</v>
      </c>
      <c r="AL7" s="34">
        <f aca="true" t="shared" si="15" ref="AL7:AL31">IF(H7=3,(E7-$Y7)/($Z7-$Y7),-999)</f>
        <v>-999</v>
      </c>
      <c r="AQ7" s="103">
        <v>2</v>
      </c>
      <c r="AR7" s="103">
        <v>0.2422</v>
      </c>
      <c r="AS7" s="103">
        <v>7.2247</v>
      </c>
      <c r="AY7" s="103" t="s">
        <v>68</v>
      </c>
      <c r="AZ7" s="103" t="s">
        <v>394</v>
      </c>
      <c r="BA7" s="103" t="s">
        <v>342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0.07570096388857667</v>
      </c>
      <c r="G8" s="38">
        <f>IF(LEFT(VLOOKUP($B8,'Indicator chart'!$D$1:$J$36,7,FALSE),1)=" "," ",VLOOKUP($B8,'Indicator chart'!$D$1:$J$36,7,FALSE))</f>
        <v>0.08452085210919995</v>
      </c>
      <c r="H8" s="50">
        <f t="shared" si="0"/>
        <v>1</v>
      </c>
      <c r="I8" s="38">
        <v>0.05999999865889549</v>
      </c>
      <c r="J8" s="38">
        <v>0.07999999821186066</v>
      </c>
      <c r="K8" s="38">
        <v>0.09000000357627869</v>
      </c>
      <c r="L8" s="38">
        <v>0.10999999940395355</v>
      </c>
      <c r="M8" s="38">
        <v>0.15000000596046448</v>
      </c>
      <c r="N8" s="80">
        <f>VLOOKUP('Hide - Control'!B$3,'All practice data'!A:CA,A8+29,FALSE)</f>
        <v>0.09895492977395134</v>
      </c>
      <c r="O8" s="80">
        <f>VLOOKUP('Hide - Control'!C$3,'All practice data'!A:CA,A8+29,FALSE)</f>
        <v>0.15010930292554353</v>
      </c>
      <c r="P8" s="38">
        <f>VLOOKUP('Hide - Control'!$B$4,'All practice data'!B:BC,A8+2,FALSE)</f>
        <v>39722.29</v>
      </c>
      <c r="Q8" s="38">
        <f>VLOOKUP('Hide - Control'!$B$4,'All practice data'!B:BC,3,FALSE)</f>
        <v>401418</v>
      </c>
      <c r="R8" s="38">
        <f>+((2*P8+1.96^2-1.96*SQRT(1.96^2+4*P8*(1-P8/Q8)))/(2*(Q8+1.96^2)))</f>
        <v>0.09803502448125083</v>
      </c>
      <c r="S8" s="38">
        <f>+((2*P8+1.96^2+1.96*SQRT(1.96^2+4*P8*(1-P8/Q8)))/(2*(Q8+1.96^2)))</f>
        <v>0.09988251105526096</v>
      </c>
      <c r="T8" s="53">
        <f aca="true" t="shared" si="16" ref="T8:T15">IF($C8=1,M8,I8)</f>
        <v>0.15000000596046448</v>
      </c>
      <c r="U8" s="51">
        <f t="shared" si="1"/>
        <v>0.05999999865889549</v>
      </c>
      <c r="V8" s="7"/>
      <c r="W8" s="27">
        <f t="shared" si="2"/>
        <v>0.030000001192092896</v>
      </c>
      <c r="X8" s="27">
        <f t="shared" si="3"/>
        <v>0.15000000596046448</v>
      </c>
      <c r="Y8" s="27">
        <f t="shared" si="4"/>
        <v>0.030000001192092896</v>
      </c>
      <c r="Z8" s="27">
        <f t="shared" si="5"/>
        <v>0.15000000596046448</v>
      </c>
      <c r="AA8" s="32">
        <f t="shared" si="6"/>
        <v>0.24999996895591542</v>
      </c>
      <c r="AB8" s="33">
        <f t="shared" si="7"/>
        <v>0.4166666252745539</v>
      </c>
      <c r="AC8" s="33">
        <v>0.5</v>
      </c>
      <c r="AD8" s="33">
        <f t="shared" si="8"/>
        <v>0.6666666252745539</v>
      </c>
      <c r="AE8" s="33">
        <f t="shared" si="9"/>
        <v>1</v>
      </c>
      <c r="AF8" s="33">
        <f t="shared" si="10"/>
        <v>-999</v>
      </c>
      <c r="AG8" s="33">
        <f t="shared" si="11"/>
        <v>-999</v>
      </c>
      <c r="AH8" s="33">
        <f t="shared" si="12"/>
        <v>0.4166666401757145</v>
      </c>
      <c r="AI8" s="34">
        <f t="shared" si="13"/>
        <v>1.000910808006133</v>
      </c>
      <c r="AJ8" s="4">
        <v>3.778046717820832</v>
      </c>
      <c r="AK8" s="32">
        <f t="shared" si="14"/>
        <v>0.4166666401757145</v>
      </c>
      <c r="AL8" s="34">
        <f t="shared" si="15"/>
        <v>-999</v>
      </c>
      <c r="AQ8" s="103">
        <v>3</v>
      </c>
      <c r="AR8" s="103">
        <v>0.6187</v>
      </c>
      <c r="AS8" s="103">
        <v>8.7673</v>
      </c>
      <c r="AY8" s="103" t="s">
        <v>118</v>
      </c>
      <c r="AZ8" s="103" t="s">
        <v>119</v>
      </c>
      <c r="BA8" s="103" t="s">
        <v>342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86</v>
      </c>
      <c r="E9" s="38">
        <f>IF(LEFT(VLOOKUP($B9,'Indicator chart'!$D$1:$J$36,5,FALSE),1)=" "," ",VLOOKUP($B9,'Indicator chart'!$D$1:$J$36,5,FALSE))</f>
        <v>591.3091309130913</v>
      </c>
      <c r="F9" s="38">
        <f>IF(LEFT(VLOOKUP($B9,'Indicator chart'!$D$1:$J$36,6,FALSE),1)=" "," ",VLOOKUP($B9,'Indicator chart'!$D$1:$J$36,6,FALSE))</f>
        <v>472.9548205752497</v>
      </c>
      <c r="G9" s="38">
        <f>IF(LEFT(VLOOKUP($B9,'Indicator chart'!$D$1:$J$36,7,FALSE),1)=" "," ",VLOOKUP($B9,'Indicator chart'!$D$1:$J$36,7,FALSE))</f>
        <v>730.2728589338894</v>
      </c>
      <c r="H9" s="50">
        <f t="shared" si="0"/>
        <v>2</v>
      </c>
      <c r="I9" s="38">
        <v>92.60600280761719</v>
      </c>
      <c r="J9" s="38">
        <v>543.1328125</v>
      </c>
      <c r="K9" s="38">
        <v>646.8580932617188</v>
      </c>
      <c r="L9" s="38">
        <v>726.979248046875</v>
      </c>
      <c r="M9" s="38">
        <v>1056.729736328125</v>
      </c>
      <c r="N9" s="80">
        <f>VLOOKUP('Hide - Control'!B$3,'All practice data'!A:CA,A9+29,FALSE)</f>
        <v>634.0024612747809</v>
      </c>
      <c r="O9" s="80">
        <f>VLOOKUP('Hide - Control'!C$3,'All practice data'!A:CA,A9+29,FALSE)</f>
        <v>445.6198871279627</v>
      </c>
      <c r="P9" s="38">
        <f>VLOOKUP('Hide - Control'!$B$4,'All practice data'!B:BC,A9+2,FALSE)</f>
        <v>2545</v>
      </c>
      <c r="Q9" s="38">
        <f>VLOOKUP('Hide - Control'!$B$4,'All practice data'!B:BC,3,FALSE)</f>
        <v>401418</v>
      </c>
      <c r="R9" s="38">
        <f>100000*(P9*(1-1/(9*P9)-1.96/(3*SQRT(P9)))^3)/Q9</f>
        <v>609.606992706563</v>
      </c>
      <c r="S9" s="38">
        <f>100000*((P9+1)*(1-1/(9*(P9+1))+1.96/(3*SQRT(P9+1)))^3)/Q9</f>
        <v>659.1237921504295</v>
      </c>
      <c r="T9" s="53">
        <f t="shared" si="16"/>
        <v>1056.729736328125</v>
      </c>
      <c r="U9" s="51">
        <f t="shared" si="1"/>
        <v>92.60600280761719</v>
      </c>
      <c r="V9" s="7"/>
      <c r="W9" s="27">
        <f t="shared" si="2"/>
        <v>92.60600280761719</v>
      </c>
      <c r="X9" s="27">
        <f t="shared" si="3"/>
        <v>1201.1101837158203</v>
      </c>
      <c r="Y9" s="27">
        <f t="shared" si="4"/>
        <v>92.60600280761719</v>
      </c>
      <c r="Z9" s="27">
        <f t="shared" si="5"/>
        <v>1201.1101837158203</v>
      </c>
      <c r="AA9" s="32">
        <f t="shared" si="6"/>
        <v>0</v>
      </c>
      <c r="AB9" s="33">
        <f t="shared" si="7"/>
        <v>0.4064277045155246</v>
      </c>
      <c r="AC9" s="33">
        <v>0.5</v>
      </c>
      <c r="AD9" s="33">
        <f t="shared" si="8"/>
        <v>0.5722786220973137</v>
      </c>
      <c r="AE9" s="33">
        <f t="shared" si="9"/>
        <v>0.8697520046614495</v>
      </c>
      <c r="AF9" s="33">
        <f t="shared" si="10"/>
        <v>-999</v>
      </c>
      <c r="AG9" s="33">
        <f t="shared" si="11"/>
        <v>0.4498883600934045</v>
      </c>
      <c r="AH9" s="33">
        <f t="shared" si="12"/>
        <v>-999</v>
      </c>
      <c r="AI9" s="34">
        <f t="shared" si="13"/>
        <v>0.31845967782558965</v>
      </c>
      <c r="AJ9" s="4">
        <v>4.854042143202755</v>
      </c>
      <c r="AK9" s="32">
        <f t="shared" si="14"/>
        <v>-999</v>
      </c>
      <c r="AL9" s="34">
        <f t="shared" si="15"/>
        <v>-999</v>
      </c>
      <c r="AQ9" s="103">
        <v>4</v>
      </c>
      <c r="AR9" s="103">
        <v>1.0899</v>
      </c>
      <c r="AS9" s="103">
        <v>10.2416</v>
      </c>
      <c r="AY9" s="103" t="s">
        <v>90</v>
      </c>
      <c r="AZ9" s="103" t="s">
        <v>404</v>
      </c>
      <c r="BA9" s="103" t="s">
        <v>342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32</v>
      </c>
      <c r="E10" s="38">
        <f>IF(LEFT(VLOOKUP($B10,'Indicator chart'!$D$1:$J$36,5,FALSE),1)=" "," ",VLOOKUP($B10,'Indicator chart'!$D$1:$J$36,5,FALSE))</f>
        <v>220.02200220022002</v>
      </c>
      <c r="F10" s="38">
        <f>IF(LEFT(VLOOKUP($B10,'Indicator chart'!$D$1:$J$36,6,FALSE),1)=" "," ",VLOOKUP($B10,'Indicator chart'!$D$1:$J$36,6,FALSE))</f>
        <v>150.46782056047317</v>
      </c>
      <c r="G10" s="38">
        <f>IF(LEFT(VLOOKUP($B10,'Indicator chart'!$D$1:$J$36,7,FALSE),1)=" "," ",VLOOKUP($B10,'Indicator chart'!$D$1:$J$36,7,FALSE))</f>
        <v>310.61746966623355</v>
      </c>
      <c r="H10" s="50">
        <f t="shared" si="0"/>
        <v>2</v>
      </c>
      <c r="I10" s="38">
        <v>44.173431396484375</v>
      </c>
      <c r="J10" s="38">
        <v>244.48312377929688</v>
      </c>
      <c r="K10" s="38">
        <v>309.5290832519531</v>
      </c>
      <c r="L10" s="38">
        <v>360.7781677246094</v>
      </c>
      <c r="M10" s="38">
        <v>746.64013671875</v>
      </c>
      <c r="N10" s="80">
        <f>VLOOKUP('Hide - Control'!B$3,'All practice data'!A:CA,A10+29,FALSE)</f>
        <v>306.16464632876455</v>
      </c>
      <c r="O10" s="80">
        <f>VLOOKUP('Hide - Control'!C$3,'All practice data'!A:CA,A10+29,FALSE)</f>
        <v>234.12259778895606</v>
      </c>
      <c r="P10" s="38">
        <f>VLOOKUP('Hide - Control'!$B$4,'All practice data'!B:BC,A10+2,FALSE)</f>
        <v>1229</v>
      </c>
      <c r="Q10" s="38">
        <f>VLOOKUP('Hide - Control'!$B$4,'All practice data'!B:BC,3,FALSE)</f>
        <v>401418</v>
      </c>
      <c r="R10" s="38">
        <f>100000*(P10*(1-1/(9*P10)-1.96/(3*SQRT(P10)))^3)/Q10</f>
        <v>289.28440540118515</v>
      </c>
      <c r="S10" s="38">
        <f>100000*((P10+1)*(1-1/(9*(P10+1))+1.96/(3*SQRT(P10+1)))^3)/Q10</f>
        <v>323.7728514555478</v>
      </c>
      <c r="T10" s="53">
        <f t="shared" si="16"/>
        <v>746.64013671875</v>
      </c>
      <c r="U10" s="51">
        <f t="shared" si="1"/>
        <v>44.173431396484375</v>
      </c>
      <c r="V10" s="7"/>
      <c r="W10" s="27">
        <f t="shared" si="2"/>
        <v>-127.58197021484375</v>
      </c>
      <c r="X10" s="27">
        <f t="shared" si="3"/>
        <v>746.64013671875</v>
      </c>
      <c r="Y10" s="27">
        <f t="shared" si="4"/>
        <v>-127.58197021484375</v>
      </c>
      <c r="Z10" s="27">
        <f t="shared" si="5"/>
        <v>746.64013671875</v>
      </c>
      <c r="AA10" s="32">
        <f t="shared" si="6"/>
        <v>0.1964665503755955</v>
      </c>
      <c r="AB10" s="33">
        <f t="shared" si="7"/>
        <v>0.42559561356688824</v>
      </c>
      <c r="AC10" s="33">
        <v>0.5</v>
      </c>
      <c r="AD10" s="33">
        <f t="shared" si="8"/>
        <v>0.5586224988663541</v>
      </c>
      <c r="AE10" s="33">
        <f t="shared" si="9"/>
        <v>1</v>
      </c>
      <c r="AF10" s="33">
        <f t="shared" si="10"/>
        <v>-999</v>
      </c>
      <c r="AG10" s="33">
        <f t="shared" si="11"/>
        <v>0.39761517085665266</v>
      </c>
      <c r="AH10" s="33">
        <f t="shared" si="12"/>
        <v>-999</v>
      </c>
      <c r="AI10" s="34">
        <f t="shared" si="13"/>
        <v>0.41374447652954977</v>
      </c>
      <c r="AJ10" s="4">
        <v>5.930037568584676</v>
      </c>
      <c r="AK10" s="32">
        <f t="shared" si="14"/>
        <v>-999</v>
      </c>
      <c r="AL10" s="34">
        <f t="shared" si="15"/>
        <v>-999</v>
      </c>
      <c r="AY10" s="103" t="s">
        <v>96</v>
      </c>
      <c r="AZ10" s="103" t="s">
        <v>97</v>
      </c>
      <c r="BA10" s="103" t="s">
        <v>521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235</v>
      </c>
      <c r="E11" s="38">
        <f>IF(LEFT(VLOOKUP($B11,'Indicator chart'!$D$1:$J$36,5,FALSE),1)=" "," ",VLOOKUP($B11,'Indicator chart'!$D$1:$J$36,5,FALSE))</f>
        <v>0.016</v>
      </c>
      <c r="F11" s="38">
        <f>IF(LEFT(VLOOKUP($B11,'Indicator chart'!$D$1:$J$36,6,FALSE),1)=" "," ",VLOOKUP($B11,'Indicator chart'!$D$1:$J$36,6,FALSE))</f>
        <v>0.01423279618519743</v>
      </c>
      <c r="G11" s="38">
        <f>IF(LEFT(VLOOKUP($B11,'Indicator chart'!$D$1:$J$36,7,FALSE),1)=" "," ",VLOOKUP($B11,'Indicator chart'!$D$1:$J$36,7,FALSE))</f>
        <v>0.018338468544547768</v>
      </c>
      <c r="H11" s="50">
        <f t="shared" si="0"/>
        <v>1</v>
      </c>
      <c r="I11" s="38">
        <v>0.013000000268220901</v>
      </c>
      <c r="J11" s="38">
        <v>0.02199999988079071</v>
      </c>
      <c r="K11" s="38">
        <v>0.024000000208616257</v>
      </c>
      <c r="L11" s="38">
        <v>0.029500000178813934</v>
      </c>
      <c r="M11" s="38">
        <v>0.04100000113248825</v>
      </c>
      <c r="N11" s="80">
        <f>VLOOKUP('Hide - Control'!B$3,'All practice data'!A:CA,A11+29,FALSE)</f>
        <v>0.02489175871535407</v>
      </c>
      <c r="O11" s="80">
        <f>VLOOKUP('Hide - Control'!C$3,'All practice data'!A:CA,A11+29,FALSE)</f>
        <v>0.015940726342527432</v>
      </c>
      <c r="P11" s="38">
        <f>VLOOKUP('Hide - Control'!$B$4,'All practice data'!B:BC,A11+2,FALSE)</f>
        <v>9992</v>
      </c>
      <c r="Q11" s="38">
        <f>VLOOKUP('Hide - Control'!$B$4,'All practice data'!B:BC,3,FALSE)</f>
        <v>401418</v>
      </c>
      <c r="R11" s="80">
        <f aca="true" t="shared" si="17" ref="R11:R16">+((2*P11+1.96^2-1.96*SQRT(1.96^2+4*P11*(1-P11/Q11)))/(2*(Q11+1.96^2)))</f>
        <v>0.024414325399226583</v>
      </c>
      <c r="S11" s="80">
        <f aca="true" t="shared" si="18" ref="S11:S16">+((2*P11+1.96^2+1.96*SQRT(1.96^2+4*P11*(1-P11/Q11)))/(2*(Q11+1.96^2)))</f>
        <v>0.02537828558659278</v>
      </c>
      <c r="T11" s="53">
        <f t="shared" si="16"/>
        <v>0.04100000113248825</v>
      </c>
      <c r="U11" s="51">
        <f t="shared" si="1"/>
        <v>0.013000000268220901</v>
      </c>
      <c r="V11" s="7"/>
      <c r="W11" s="27">
        <f t="shared" si="2"/>
        <v>0.006999999284744263</v>
      </c>
      <c r="X11" s="27">
        <f t="shared" si="3"/>
        <v>0.04100000113248825</v>
      </c>
      <c r="Y11" s="27">
        <f t="shared" si="4"/>
        <v>0.006999999284744263</v>
      </c>
      <c r="Z11" s="27">
        <f t="shared" si="5"/>
        <v>0.04100000113248825</v>
      </c>
      <c r="AA11" s="32">
        <f t="shared" si="6"/>
        <v>0.17647060757070984</v>
      </c>
      <c r="AB11" s="33">
        <f t="shared" si="7"/>
        <v>0.44117646414309675</v>
      </c>
      <c r="AC11" s="33">
        <v>0.5</v>
      </c>
      <c r="AD11" s="33">
        <f t="shared" si="8"/>
        <v>0.6617646962146451</v>
      </c>
      <c r="AE11" s="33">
        <f t="shared" si="9"/>
        <v>1</v>
      </c>
      <c r="AF11" s="33">
        <f t="shared" si="10"/>
        <v>-999</v>
      </c>
      <c r="AG11" s="33">
        <f t="shared" si="11"/>
        <v>-999</v>
      </c>
      <c r="AH11" s="33">
        <f t="shared" si="12"/>
        <v>0.2647058890043242</v>
      </c>
      <c r="AI11" s="34">
        <f t="shared" si="13"/>
        <v>0.26296254623222665</v>
      </c>
      <c r="AJ11" s="4">
        <v>7.0060329939666</v>
      </c>
      <c r="AK11" s="32">
        <f t="shared" si="14"/>
        <v>0.2647058890043242</v>
      </c>
      <c r="AL11" s="34">
        <f t="shared" si="15"/>
        <v>-999</v>
      </c>
      <c r="AY11" s="103" t="s">
        <v>214</v>
      </c>
      <c r="AZ11" s="103" t="s">
        <v>215</v>
      </c>
      <c r="BA11" s="103" t="s">
        <v>521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1453</v>
      </c>
      <c r="E12" s="38">
        <f>IF(LEFT(VLOOKUP($B12,'Indicator chart'!$D$1:$J$36,5,FALSE),1)=" "," ",VLOOKUP($B12,'Indicator chart'!$D$1:$J$36,5,FALSE))</f>
        <v>0.686349</v>
      </c>
      <c r="F12" s="38">
        <f>IF(LEFT(VLOOKUP($B12,'Indicator chart'!$D$1:$J$36,6,FALSE),1)=" "," ",VLOOKUP($B12,'Indicator chart'!$D$1:$J$36,6,FALSE))</f>
        <v>0.6662613227942312</v>
      </c>
      <c r="G12" s="38">
        <f>IF(LEFT(VLOOKUP($B12,'Indicator chart'!$D$1:$J$36,7,FALSE),1)=" "," ",VLOOKUP($B12,'Indicator chart'!$D$1:$J$36,7,FALSE))</f>
        <v>0.7057608027619631</v>
      </c>
      <c r="H12" s="50">
        <f t="shared" si="0"/>
        <v>1</v>
      </c>
      <c r="I12" s="38">
        <v>0.677029013633728</v>
      </c>
      <c r="J12" s="38">
        <v>0.7298765182495117</v>
      </c>
      <c r="K12" s="38">
        <v>0.7585009932518005</v>
      </c>
      <c r="L12" s="38">
        <v>0.7930895090103149</v>
      </c>
      <c r="M12" s="38">
        <v>0.8534479737281799</v>
      </c>
      <c r="N12" s="80">
        <f>VLOOKUP('Hide - Control'!B$3,'All practice data'!A:CA,A12+29,FALSE)</f>
        <v>0.7605666358473121</v>
      </c>
      <c r="O12" s="80">
        <f>VLOOKUP('Hide - Control'!C$3,'All practice data'!A:CA,A12+29,FALSE)</f>
        <v>0.7248631360507991</v>
      </c>
      <c r="P12" s="38">
        <f>VLOOKUP('Hide - Control'!$B$4,'All practice data'!B:BC,A12+2,FALSE)</f>
        <v>46066</v>
      </c>
      <c r="Q12" s="38">
        <f>VLOOKUP('Hide - Control'!$B$4,'All practice data'!B:BJ,57,FALSE)</f>
        <v>60568</v>
      </c>
      <c r="R12" s="38">
        <f t="shared" si="17"/>
        <v>0.7571516139578701</v>
      </c>
      <c r="S12" s="38">
        <f t="shared" si="18"/>
        <v>0.7639486063134581</v>
      </c>
      <c r="T12" s="53">
        <f t="shared" si="16"/>
        <v>0.8534479737281799</v>
      </c>
      <c r="U12" s="51">
        <f t="shared" si="1"/>
        <v>0.677029013633728</v>
      </c>
      <c r="V12" s="7"/>
      <c r="W12" s="27">
        <f t="shared" si="2"/>
        <v>0.6635540127754211</v>
      </c>
      <c r="X12" s="27">
        <f t="shared" si="3"/>
        <v>0.8534479737281799</v>
      </c>
      <c r="Y12" s="27">
        <f t="shared" si="4"/>
        <v>0.6635540127754211</v>
      </c>
      <c r="Z12" s="27">
        <f t="shared" si="5"/>
        <v>0.8534479737281799</v>
      </c>
      <c r="AA12" s="32">
        <f t="shared" si="6"/>
        <v>0.07096066031114677</v>
      </c>
      <c r="AB12" s="33">
        <f t="shared" si="7"/>
        <v>0.34926074079096214</v>
      </c>
      <c r="AC12" s="33">
        <v>0.5</v>
      </c>
      <c r="AD12" s="33">
        <f t="shared" si="8"/>
        <v>0.6821464757750734</v>
      </c>
      <c r="AE12" s="33">
        <f t="shared" si="9"/>
        <v>1</v>
      </c>
      <c r="AF12" s="33">
        <f t="shared" si="10"/>
        <v>-999</v>
      </c>
      <c r="AG12" s="33">
        <f t="shared" si="11"/>
        <v>-999</v>
      </c>
      <c r="AH12" s="33">
        <f t="shared" si="12"/>
        <v>0.12004061166668543</v>
      </c>
      <c r="AI12" s="34">
        <f t="shared" si="13"/>
        <v>0.3228597843120996</v>
      </c>
      <c r="AJ12" s="4">
        <v>8.082028419348523</v>
      </c>
      <c r="AK12" s="32">
        <f t="shared" si="14"/>
        <v>0.12004061166668543</v>
      </c>
      <c r="AL12" s="34">
        <f t="shared" si="15"/>
        <v>-999</v>
      </c>
      <c r="AY12" s="103" t="s">
        <v>261</v>
      </c>
      <c r="AZ12" s="103" t="s">
        <v>457</v>
      </c>
      <c r="BA12" s="103" t="s">
        <v>342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v>
      </c>
      <c r="E13" s="38">
        <f>IF(LEFT(VLOOKUP($B13,'Indicator chart'!$D$1:$J$36,5,FALSE),1)=" "," ",VLOOKUP($B13,'Indicator chart'!$D$1:$J$36,5,FALSE))</f>
        <v>0.444444</v>
      </c>
      <c r="F13" s="38">
        <f>IF(LEFT(VLOOKUP($B13,'Indicator chart'!$D$1:$J$36,6,FALSE),1)=" "," ",VLOOKUP($B13,'Indicator chart'!$D$1:$J$36,6,FALSE))</f>
        <v>0.30938708549039107</v>
      </c>
      <c r="G13" s="38">
        <f>IF(LEFT(VLOOKUP($B13,'Indicator chart'!$D$1:$J$36,7,FALSE),1)=" "," ",VLOOKUP($B13,'Indicator chart'!$D$1:$J$36,7,FALSE))</f>
        <v>0.5882411658363468</v>
      </c>
      <c r="H13" s="50">
        <f t="shared" si="0"/>
        <v>1</v>
      </c>
      <c r="I13" s="38">
        <v>0.2857140004634857</v>
      </c>
      <c r="J13" s="38">
        <v>0.567766010761261</v>
      </c>
      <c r="K13" s="38">
        <v>0.7222219705581665</v>
      </c>
      <c r="L13" s="38">
        <v>0.7859154939651489</v>
      </c>
      <c r="M13" s="38">
        <v>0.8888890147209167</v>
      </c>
      <c r="N13" s="80">
        <f>VLOOKUP('Hide - Control'!B$3,'All practice data'!A:CA,A13+29,FALSE)</f>
        <v>0.7654779713361965</v>
      </c>
      <c r="O13" s="80">
        <f>VLOOKUP('Hide - Control'!C$3,'All practice data'!A:CA,A13+29,FALSE)</f>
        <v>0.7467412166569077</v>
      </c>
      <c r="P13" s="38">
        <f>VLOOKUP('Hide - Control'!$B$4,'All practice data'!B:BC,A13+2,FALSE)</f>
        <v>15863</v>
      </c>
      <c r="Q13" s="38">
        <f>VLOOKUP('Hide - Control'!$B$4,'All practice data'!B:BJ,58,FALSE)</f>
        <v>20723</v>
      </c>
      <c r="R13" s="38">
        <f t="shared" si="17"/>
        <v>0.7596602588289592</v>
      </c>
      <c r="S13" s="38">
        <f t="shared" si="18"/>
        <v>0.7711972742357988</v>
      </c>
      <c r="T13" s="53">
        <f t="shared" si="16"/>
        <v>0.8888890147209167</v>
      </c>
      <c r="U13" s="51">
        <f t="shared" si="1"/>
        <v>0.2857140004634857</v>
      </c>
      <c r="V13" s="7"/>
      <c r="W13" s="27">
        <f t="shared" si="2"/>
        <v>0.2857140004634857</v>
      </c>
      <c r="X13" s="27">
        <f t="shared" si="3"/>
        <v>1.1587299406528473</v>
      </c>
      <c r="Y13" s="27">
        <f t="shared" si="4"/>
        <v>0.2857140004634857</v>
      </c>
      <c r="Z13" s="27">
        <f t="shared" si="5"/>
        <v>1.1587299406528473</v>
      </c>
      <c r="AA13" s="32">
        <f t="shared" si="6"/>
        <v>0</v>
      </c>
      <c r="AB13" s="33">
        <f t="shared" si="7"/>
        <v>0.32307773239122844</v>
      </c>
      <c r="AC13" s="33">
        <v>0.5</v>
      </c>
      <c r="AD13" s="33">
        <f t="shared" si="8"/>
        <v>0.5729580302888478</v>
      </c>
      <c r="AE13" s="33">
        <f t="shared" si="9"/>
        <v>0.6909095086243205</v>
      </c>
      <c r="AF13" s="33">
        <f t="shared" si="10"/>
        <v>-999</v>
      </c>
      <c r="AG13" s="33">
        <f t="shared" si="11"/>
        <v>-999</v>
      </c>
      <c r="AH13" s="33">
        <f t="shared" si="12"/>
        <v>0.18181798547926278</v>
      </c>
      <c r="AI13" s="34">
        <f t="shared" si="13"/>
        <v>0.5280856797338922</v>
      </c>
      <c r="AJ13" s="4">
        <v>9.158023844730446</v>
      </c>
      <c r="AK13" s="32">
        <f t="shared" si="14"/>
        <v>0.18181798547926278</v>
      </c>
      <c r="AL13" s="34">
        <f t="shared" si="15"/>
        <v>-999</v>
      </c>
      <c r="AY13" s="103" t="s">
        <v>260</v>
      </c>
      <c r="AZ13" s="103" t="s">
        <v>456</v>
      </c>
      <c r="BA13" s="103" t="s">
        <v>342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2655</v>
      </c>
      <c r="E14" s="38">
        <f>IF(LEFT(VLOOKUP($B14,'Indicator chart'!$D$1:$J$36,5,FALSE),1)=" "," ",VLOOKUP($B14,'Indicator chart'!$D$1:$J$36,5,FALSE))</f>
        <v>0.777452</v>
      </c>
      <c r="F14" s="38">
        <f>IF(LEFT(VLOOKUP($B14,'Indicator chart'!$D$1:$J$36,6,FALSE),1)=" "," ",VLOOKUP($B14,'Indicator chart'!$D$1:$J$36,6,FALSE))</f>
        <v>0.7631938904879593</v>
      </c>
      <c r="G14" s="38">
        <f>IF(LEFT(VLOOKUP($B14,'Indicator chart'!$D$1:$J$36,7,FALSE),1)=" "," ",VLOOKUP($B14,'Indicator chart'!$D$1:$J$36,7,FALSE))</f>
        <v>0.7910874192983729</v>
      </c>
      <c r="H14" s="50">
        <f t="shared" si="0"/>
        <v>1</v>
      </c>
      <c r="I14" s="38">
        <v>0.6885709762573242</v>
      </c>
      <c r="J14" s="38">
        <v>0.787729024887085</v>
      </c>
      <c r="K14" s="38">
        <v>0.8019530177116394</v>
      </c>
      <c r="L14" s="38">
        <v>0.8219299912452698</v>
      </c>
      <c r="M14" s="38">
        <v>0.8686869740486145</v>
      </c>
      <c r="N14" s="80">
        <f>VLOOKUP('Hide - Control'!B$3,'All practice data'!A:CA,A14+29,FALSE)</f>
        <v>0.8053312149697692</v>
      </c>
      <c r="O14" s="80">
        <f>VLOOKUP('Hide - Control'!C$3,'All practice data'!A:CA,A14+29,FALSE)</f>
        <v>0.7559681673907895</v>
      </c>
      <c r="P14" s="38">
        <f>VLOOKUP('Hide - Control'!$B$4,'All practice data'!B:BC,A14+2,FALSE)</f>
        <v>72992</v>
      </c>
      <c r="Q14" s="38">
        <f>VLOOKUP('Hide - Control'!$B$4,'All practice data'!B:BJ,59,FALSE)</f>
        <v>90636</v>
      </c>
      <c r="R14" s="38">
        <f t="shared" si="17"/>
        <v>0.8027405442267438</v>
      </c>
      <c r="S14" s="38">
        <f t="shared" si="18"/>
        <v>0.8078960039289187</v>
      </c>
      <c r="T14" s="53">
        <f t="shared" si="16"/>
        <v>0.8686869740486145</v>
      </c>
      <c r="U14" s="51">
        <f t="shared" si="1"/>
        <v>0.6885709762573242</v>
      </c>
      <c r="V14" s="7"/>
      <c r="W14" s="27">
        <f t="shared" si="2"/>
        <v>0.6885709762573242</v>
      </c>
      <c r="X14" s="27">
        <f t="shared" si="3"/>
        <v>0.9153350591659546</v>
      </c>
      <c r="Y14" s="27">
        <f t="shared" si="4"/>
        <v>0.6885709762573242</v>
      </c>
      <c r="Z14" s="27">
        <f t="shared" si="5"/>
        <v>0.9153350591659546</v>
      </c>
      <c r="AA14" s="32">
        <f t="shared" si="6"/>
        <v>0</v>
      </c>
      <c r="AB14" s="33">
        <f t="shared" si="7"/>
        <v>0.43727404868483655</v>
      </c>
      <c r="AC14" s="33">
        <v>0.5</v>
      </c>
      <c r="AD14" s="33">
        <f t="shared" si="8"/>
        <v>0.5880958451505729</v>
      </c>
      <c r="AE14" s="33">
        <f t="shared" si="9"/>
        <v>0.7942880348642518</v>
      </c>
      <c r="AF14" s="33">
        <f t="shared" si="10"/>
        <v>-999</v>
      </c>
      <c r="AG14" s="33">
        <f t="shared" si="11"/>
        <v>-999</v>
      </c>
      <c r="AH14" s="33">
        <f t="shared" si="12"/>
        <v>0.3919537106698175</v>
      </c>
      <c r="AI14" s="34">
        <f t="shared" si="13"/>
        <v>0.2972128137268614</v>
      </c>
      <c r="AJ14" s="4">
        <v>10.234019270112368</v>
      </c>
      <c r="AK14" s="32">
        <f t="shared" si="14"/>
        <v>0.3919537106698175</v>
      </c>
      <c r="AL14" s="34">
        <f t="shared" si="15"/>
        <v>-999</v>
      </c>
      <c r="AY14" s="103" t="s">
        <v>53</v>
      </c>
      <c r="AZ14" s="103" t="s">
        <v>464</v>
      </c>
      <c r="BA14" s="103" t="s">
        <v>521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1292</v>
      </c>
      <c r="E15" s="38">
        <f>IF(LEFT(VLOOKUP($B15,'Indicator chart'!$D$1:$J$36,5,FALSE),1)=" "," ",VLOOKUP($B15,'Indicator chart'!$D$1:$J$36,5,FALSE))</f>
        <v>0.654509</v>
      </c>
      <c r="F15" s="38">
        <f>IF(LEFT(VLOOKUP($B15,'Indicator chart'!$D$1:$J$36,6,FALSE),1)=" "," ",VLOOKUP($B15,'Indicator chart'!$D$1:$J$36,6,FALSE))</f>
        <v>0.6332489963513651</v>
      </c>
      <c r="G15" s="38">
        <f>IF(LEFT(VLOOKUP($B15,'Indicator chart'!$D$1:$J$36,7,FALSE),1)=" "," ",VLOOKUP($B15,'Indicator chart'!$D$1:$J$36,7,FALSE))</f>
        <v>0.6751680174276959</v>
      </c>
      <c r="H15" s="50">
        <f t="shared" si="0"/>
        <v>3</v>
      </c>
      <c r="I15" s="38">
        <v>0.5544300079345703</v>
      </c>
      <c r="J15" s="38">
        <v>0.5989519953727722</v>
      </c>
      <c r="K15" s="38">
        <v>0.6110720038414001</v>
      </c>
      <c r="L15" s="38">
        <v>0.6357859969139099</v>
      </c>
      <c r="M15" s="38">
        <v>0.6844919919967651</v>
      </c>
      <c r="N15" s="80">
        <f>VLOOKUP('Hide - Control'!B$3,'All practice data'!A:CA,A15+29,FALSE)</f>
        <v>0.6146998209398966</v>
      </c>
      <c r="O15" s="80">
        <f>VLOOKUP('Hide - Control'!C$3,'All practice data'!A:CA,A15+29,FALSE)</f>
        <v>0.5147293797466616</v>
      </c>
      <c r="P15" s="38">
        <f>VLOOKUP('Hide - Control'!$B$4,'All practice data'!B:BC,A15+2,FALSE)</f>
        <v>36389</v>
      </c>
      <c r="Q15" s="38">
        <f>VLOOKUP('Hide - Control'!$B$4,'All practice data'!B:BJ,60,FALSE)</f>
        <v>59198</v>
      </c>
      <c r="R15" s="38">
        <f t="shared" si="17"/>
        <v>0.610772068226529</v>
      </c>
      <c r="S15" s="38">
        <f t="shared" si="18"/>
        <v>0.6186126879395698</v>
      </c>
      <c r="T15" s="53">
        <f t="shared" si="16"/>
        <v>0.6844919919967651</v>
      </c>
      <c r="U15" s="51">
        <f t="shared" si="1"/>
        <v>0.5544300079345703</v>
      </c>
      <c r="V15" s="7"/>
      <c r="W15" s="27">
        <f t="shared" si="2"/>
        <v>0.5376520156860352</v>
      </c>
      <c r="X15" s="27">
        <f t="shared" si="3"/>
        <v>0.6844919919967651</v>
      </c>
      <c r="Y15" s="27">
        <f t="shared" si="4"/>
        <v>0.5376520156860352</v>
      </c>
      <c r="Z15" s="27">
        <f t="shared" si="5"/>
        <v>0.6844919919967651</v>
      </c>
      <c r="AA15" s="32">
        <f t="shared" si="6"/>
        <v>0.11426038514900758</v>
      </c>
      <c r="AB15" s="33">
        <f t="shared" si="7"/>
        <v>0.4174611112509265</v>
      </c>
      <c r="AC15" s="33">
        <v>0.5</v>
      </c>
      <c r="AD15" s="33">
        <f t="shared" si="8"/>
        <v>0.668305618765643</v>
      </c>
      <c r="AE15" s="33">
        <f t="shared" si="9"/>
        <v>1</v>
      </c>
      <c r="AF15" s="33">
        <f t="shared" si="10"/>
        <v>-999</v>
      </c>
      <c r="AG15" s="33">
        <f t="shared" si="11"/>
        <v>-999</v>
      </c>
      <c r="AH15" s="33">
        <f t="shared" si="12"/>
        <v>0.7958117894726587</v>
      </c>
      <c r="AI15" s="34">
        <f t="shared" si="13"/>
        <v>-0.1561062356130235</v>
      </c>
      <c r="AJ15" s="4">
        <v>11.310014695494289</v>
      </c>
      <c r="AK15" s="32">
        <f t="shared" si="14"/>
        <v>-999</v>
      </c>
      <c r="AL15" s="34">
        <f t="shared" si="15"/>
        <v>0.7958117894726587</v>
      </c>
      <c r="AY15" s="103" t="s">
        <v>229</v>
      </c>
      <c r="AZ15" s="103" t="s">
        <v>230</v>
      </c>
      <c r="BA15" s="103" t="s">
        <v>342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562</v>
      </c>
      <c r="E16" s="38">
        <f>IF(LEFT(VLOOKUP($B16,'Indicator chart'!$D$1:$J$36,5,FALSE),1)=" "," ",VLOOKUP($B16,'Indicator chart'!$D$1:$J$36,5,FALSE))</f>
        <v>0.675481</v>
      </c>
      <c r="F16" s="38">
        <f>IF(LEFT(VLOOKUP($B16,'Indicator chart'!$D$1:$J$36,6,FALSE),1)=" "," ",VLOOKUP($B16,'Indicator chart'!$D$1:$J$36,6,FALSE))</f>
        <v>0.6429229856453228</v>
      </c>
      <c r="G16" s="38">
        <f>IF(LEFT(VLOOKUP($B16,'Indicator chart'!$D$1:$J$36,7,FALSE),1)=" "," ",VLOOKUP($B16,'Indicator chart'!$D$1:$J$36,7,FALSE))</f>
        <v>0.7064255033506783</v>
      </c>
      <c r="H16" s="50">
        <f t="shared" si="0"/>
        <v>2</v>
      </c>
      <c r="I16" s="38">
        <v>0.5670099854469299</v>
      </c>
      <c r="J16" s="38">
        <v>0.6486489772796631</v>
      </c>
      <c r="K16" s="38">
        <v>0.6651790142059326</v>
      </c>
      <c r="L16" s="38">
        <v>0.6902819871902466</v>
      </c>
      <c r="M16" s="38">
        <v>0.7419350147247314</v>
      </c>
      <c r="N16" s="80">
        <f>VLOOKUP('Hide - Control'!B$3,'All practice data'!A:CA,A16+29,FALSE)</f>
        <v>0.6644839799028087</v>
      </c>
      <c r="O16" s="80">
        <f>VLOOKUP('Hide - Control'!C$3,'All practice data'!A:CA,A16+29,FALSE)</f>
        <v>0.5752927626212945</v>
      </c>
      <c r="P16" s="38">
        <f>VLOOKUP('Hide - Control'!$B$4,'All practice data'!B:BC,A16+2,FALSE)</f>
        <v>16135</v>
      </c>
      <c r="Q16" s="38">
        <f>VLOOKUP('Hide - Control'!$B$4,'All practice data'!B:BJ,61,FALSE)</f>
        <v>24282</v>
      </c>
      <c r="R16" s="38">
        <f t="shared" si="17"/>
        <v>0.6585193822369355</v>
      </c>
      <c r="S16" s="38">
        <f t="shared" si="18"/>
        <v>0.6703965405285328</v>
      </c>
      <c r="T16" s="53">
        <f aca="true" t="shared" si="19" ref="T16:T31">IF($C16=1,M16,I16)</f>
        <v>0.7419350147247314</v>
      </c>
      <c r="U16" s="51">
        <f aca="true" t="shared" si="20" ref="U16:U31">IF($C16=1,I16,M16)</f>
        <v>0.5670099854469299</v>
      </c>
      <c r="V16" s="7"/>
      <c r="W16" s="27">
        <f t="shared" si="2"/>
        <v>0.5670099854469299</v>
      </c>
      <c r="X16" s="27">
        <f t="shared" si="3"/>
        <v>0.7633480429649353</v>
      </c>
      <c r="Y16" s="27">
        <f t="shared" si="4"/>
        <v>0.5670099854469299</v>
      </c>
      <c r="Z16" s="27">
        <f t="shared" si="5"/>
        <v>0.7633480429649353</v>
      </c>
      <c r="AA16" s="32">
        <f t="shared" si="6"/>
        <v>0</v>
      </c>
      <c r="AB16" s="33">
        <f t="shared" si="7"/>
        <v>0.4158082893595215</v>
      </c>
      <c r="AC16" s="33">
        <v>0.5</v>
      </c>
      <c r="AD16" s="33">
        <f t="shared" si="8"/>
        <v>0.6278558691149925</v>
      </c>
      <c r="AE16" s="33">
        <f t="shared" si="9"/>
        <v>0.8909379642902897</v>
      </c>
      <c r="AF16" s="33">
        <f t="shared" si="10"/>
        <v>-999</v>
      </c>
      <c r="AG16" s="33">
        <f t="shared" si="11"/>
        <v>0.5524706515094386</v>
      </c>
      <c r="AH16" s="33">
        <f t="shared" si="12"/>
        <v>-999</v>
      </c>
      <c r="AI16" s="34">
        <f t="shared" si="13"/>
        <v>0.04218630498371393</v>
      </c>
      <c r="AJ16" s="4">
        <v>12.386010120876215</v>
      </c>
      <c r="AK16" s="32">
        <f t="shared" si="14"/>
        <v>-999</v>
      </c>
      <c r="AL16" s="34">
        <f t="shared" si="15"/>
        <v>-999</v>
      </c>
      <c r="AY16" s="103" t="s">
        <v>341</v>
      </c>
      <c r="AZ16" s="103" t="s">
        <v>361</v>
      </c>
      <c r="BA16" s="103" t="s">
        <v>521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454</v>
      </c>
      <c r="E17" s="38">
        <f>IF(LEFT(VLOOKUP($B17,'Indicator chart'!$D$1:$J$36,5,FALSE),1)=" "," ",VLOOKUP($B17,'Indicator chart'!$D$1:$J$36,5,FALSE))</f>
        <v>3121.5621562156216</v>
      </c>
      <c r="F17" s="38">
        <f>IF(LEFT(VLOOKUP($B17,'Indicator chart'!$D$1:$J$36,6,FALSE),1)=" "," ",VLOOKUP($B17,'Indicator chart'!$D$1:$J$36,6,FALSE))</f>
        <v>2840.979501775804</v>
      </c>
      <c r="G17" s="38">
        <f>IF(LEFT(VLOOKUP($B17,'Indicator chart'!$D$1:$J$36,7,FALSE),1)=" "," ",VLOOKUP($B17,'Indicator chart'!$D$1:$J$36,7,FALSE))</f>
        <v>3422.3587361311043</v>
      </c>
      <c r="H17" s="50">
        <f t="shared" si="0"/>
        <v>3</v>
      </c>
      <c r="I17" s="38">
        <v>796.812744140625</v>
      </c>
      <c r="J17" s="38">
        <v>1647.93115234375</v>
      </c>
      <c r="K17" s="38">
        <v>1975.78076171875</v>
      </c>
      <c r="L17" s="38">
        <v>2497.57568359375</v>
      </c>
      <c r="M17" s="38">
        <v>4359.90966796875</v>
      </c>
      <c r="N17" s="80">
        <f>VLOOKUP('Hide - Control'!B$3,'All practice data'!A:CA,A17+29,FALSE)</f>
        <v>2151.622498243726</v>
      </c>
      <c r="O17" s="80">
        <f>VLOOKUP('Hide - Control'!C$3,'All practice data'!A:CA,A17+29,FALSE)</f>
        <v>1812.1669120472948</v>
      </c>
      <c r="P17" s="38">
        <f>VLOOKUP('Hide - Control'!$B$4,'All practice data'!B:BC,A17+2,FALSE)</f>
        <v>8637</v>
      </c>
      <c r="Q17" s="38">
        <f>VLOOKUP('Hide - Control'!$B$4,'All practice data'!B:BC,3,FALSE)</f>
        <v>401418</v>
      </c>
      <c r="R17" s="38">
        <f>100000*(P17*(1-1/(9*P17)-1.96/(3*SQRT(P17)))^3)/Q17</f>
        <v>2106.4813658659045</v>
      </c>
      <c r="S17" s="38">
        <f>100000*((P17+1)*(1-1/(9*(P17+1))+1.96/(3*SQRT(P17+1)))^3)/Q17</f>
        <v>2197.487295324017</v>
      </c>
      <c r="T17" s="53">
        <f t="shared" si="19"/>
        <v>4359.90966796875</v>
      </c>
      <c r="U17" s="51">
        <f t="shared" si="20"/>
        <v>796.812744140625</v>
      </c>
      <c r="V17" s="7"/>
      <c r="W17" s="27">
        <f t="shared" si="2"/>
        <v>-408.34814453125</v>
      </c>
      <c r="X17" s="27">
        <f t="shared" si="3"/>
        <v>4359.90966796875</v>
      </c>
      <c r="Y17" s="27">
        <f t="shared" si="4"/>
        <v>-408.34814453125</v>
      </c>
      <c r="Z17" s="27">
        <f t="shared" si="5"/>
        <v>4359.90966796875</v>
      </c>
      <c r="AA17" s="32">
        <f t="shared" si="6"/>
        <v>0.25274658713137166</v>
      </c>
      <c r="AB17" s="33">
        <f t="shared" si="7"/>
        <v>0.4312433131204564</v>
      </c>
      <c r="AC17" s="33">
        <v>0.5</v>
      </c>
      <c r="AD17" s="33">
        <f t="shared" si="8"/>
        <v>0.6094309373346201</v>
      </c>
      <c r="AE17" s="33">
        <f t="shared" si="9"/>
        <v>1</v>
      </c>
      <c r="AF17" s="33">
        <f t="shared" si="10"/>
        <v>-999</v>
      </c>
      <c r="AG17" s="33">
        <f t="shared" si="11"/>
        <v>-999</v>
      </c>
      <c r="AH17" s="33">
        <f t="shared" si="12"/>
        <v>0.7402935075140448</v>
      </c>
      <c r="AI17" s="34">
        <f t="shared" si="13"/>
        <v>0.4656868701095522</v>
      </c>
      <c r="AJ17" s="4">
        <v>13.462005546258133</v>
      </c>
      <c r="AK17" s="32">
        <f t="shared" si="14"/>
        <v>-999</v>
      </c>
      <c r="AL17" s="34">
        <f t="shared" si="15"/>
        <v>0.7402935075140448</v>
      </c>
      <c r="AY17" s="103" t="s">
        <v>103</v>
      </c>
      <c r="AZ17" s="103" t="s">
        <v>104</v>
      </c>
      <c r="BA17" s="103" t="s">
        <v>342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454</v>
      </c>
      <c r="E18" s="80">
        <f>IF(LEFT(VLOOKUP($B18,'Indicator chart'!$D$1:$J$36,5,FALSE),1)=" "," ",VLOOKUP($B18,'Indicator chart'!$D$1:$J$36,5,FALSE))</f>
        <v>1.4468624879999998</v>
      </c>
      <c r="F18" s="81">
        <f>IF(LEFT(VLOOKUP($B18,'Indicator chart'!$D$1:$J$36,6,FALSE),1)=" "," ",VLOOKUP($B18,'Indicator chart'!$D$1:$J$36,6,FALSE))</f>
        <v>1.3168130489999998</v>
      </c>
      <c r="G18" s="38">
        <f>IF(LEFT(VLOOKUP($B18,'Indicator chart'!$D$1:$J$36,7,FALSE),1)=" "," ",VLOOKUP($B18,'Indicator chart'!$D$1:$J$36,7,FALSE))</f>
        <v>1.5862808229999998</v>
      </c>
      <c r="H18" s="50">
        <f>IF(LEFT(F18,1)=" ",4,IF(AND(ABS(N18-E18)&gt;SQRT((E18-G18)^2+(N18-R18)^2),E18&lt;N18),1,IF(AND(ABS(N18-E18)&gt;SQRT((E18-F18)^2+(N18-S18)^2),E18&gt;N18),3,2)))</f>
        <v>3</v>
      </c>
      <c r="I18" s="38">
        <v>0.3828134834766388</v>
      </c>
      <c r="J18" s="38"/>
      <c r="K18" s="38">
        <v>1</v>
      </c>
      <c r="L18" s="38"/>
      <c r="M18" s="38">
        <v>1.8599727153778076</v>
      </c>
      <c r="N18" s="80">
        <v>1</v>
      </c>
      <c r="O18" s="80">
        <f>VLOOKUP('Hide - Control'!C$3,'All practice data'!A:CA,A18+29,FALSE)</f>
        <v>1</v>
      </c>
      <c r="P18" s="38">
        <f>VLOOKUP('Hide - Control'!$B$4,'All practice data'!B:BC,A18+2,FALSE)</f>
        <v>8637</v>
      </c>
      <c r="Q18" s="38">
        <f>VLOOKUP('Hide - Control'!$B$4,'All practice data'!B:BC,14,FALSE)</f>
        <v>8637</v>
      </c>
      <c r="R18" s="81">
        <v>1</v>
      </c>
      <c r="S18" s="38">
        <v>1</v>
      </c>
      <c r="T18" s="53">
        <f t="shared" si="19"/>
        <v>1.8599727153778076</v>
      </c>
      <c r="U18" s="51">
        <f t="shared" si="20"/>
        <v>0.3828134834766388</v>
      </c>
      <c r="V18" s="7"/>
      <c r="W18" s="27">
        <f>IF((K18-I18)&gt;(M18-K18),I18,(K18-(M18-K18)))</f>
        <v>0.14002728462219238</v>
      </c>
      <c r="X18" s="27">
        <f t="shared" si="3"/>
        <v>1.8599727153778076</v>
      </c>
      <c r="Y18" s="27">
        <f t="shared" si="4"/>
        <v>0.14002728462219238</v>
      </c>
      <c r="Z18" s="27">
        <f t="shared" si="5"/>
        <v>1.8599727153778076</v>
      </c>
      <c r="AA18" s="32" t="s">
        <v>342</v>
      </c>
      <c r="AB18" s="33" t="s">
        <v>342</v>
      </c>
      <c r="AC18" s="33">
        <v>0.5</v>
      </c>
      <c r="AD18" s="33" t="s">
        <v>342</v>
      </c>
      <c r="AE18" s="33" t="s">
        <v>342</v>
      </c>
      <c r="AF18" s="33">
        <f t="shared" si="10"/>
        <v>-999</v>
      </c>
      <c r="AG18" s="33">
        <f t="shared" si="11"/>
        <v>-999</v>
      </c>
      <c r="AH18" s="33">
        <f t="shared" si="12"/>
        <v>0.7598120149682202</v>
      </c>
      <c r="AI18" s="34">
        <v>0.5</v>
      </c>
      <c r="AJ18" s="4">
        <v>14.538000971640056</v>
      </c>
      <c r="AK18" s="32">
        <f t="shared" si="14"/>
        <v>-999</v>
      </c>
      <c r="AL18" s="34">
        <f t="shared" si="15"/>
        <v>0.7598120149682202</v>
      </c>
      <c r="AY18" s="103" t="s">
        <v>105</v>
      </c>
      <c r="AZ18" s="103" t="s">
        <v>106</v>
      </c>
      <c r="BA18" s="103" t="s">
        <v>342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39</v>
      </c>
      <c r="E19" s="38">
        <f>IF(LEFT(VLOOKUP($B19,'Indicator chart'!$D$1:$J$36,5,FALSE),1)=" "," ",VLOOKUP($B19,'Indicator chart'!$D$1:$J$36,5,FALSE))</f>
        <v>0.08590308370044053</v>
      </c>
      <c r="F19" s="38">
        <f>IF(LEFT(VLOOKUP($B19,'Indicator chart'!$D$1:$J$36,6,FALSE),1)=" "," ",VLOOKUP($B19,'Indicator chart'!$D$1:$J$36,6,FALSE))</f>
        <v>0.06347513217453836</v>
      </c>
      <c r="G19" s="38">
        <f>IF(LEFT(VLOOKUP($B19,'Indicator chart'!$D$1:$J$36,7,FALSE),1)=" "," ",VLOOKUP($B19,'Indicator chart'!$D$1:$J$36,7,FALSE))</f>
        <v>0.11528014039134471</v>
      </c>
      <c r="H19" s="50">
        <f t="shared" si="0"/>
        <v>1</v>
      </c>
      <c r="I19" s="38">
        <v>0.02070442959666252</v>
      </c>
      <c r="J19" s="38">
        <v>0.11363043636083603</v>
      </c>
      <c r="K19" s="38">
        <v>0.13698630034923553</v>
      </c>
      <c r="L19" s="38">
        <v>0.15773332118988037</v>
      </c>
      <c r="M19" s="38">
        <v>0.23076923191547394</v>
      </c>
      <c r="N19" s="80">
        <f>VLOOKUP('Hide - Control'!B$3,'All practice data'!A:CA,A19+29,FALSE)</f>
        <v>0.13349542665277295</v>
      </c>
      <c r="O19" s="80">
        <f>VLOOKUP('Hide - Control'!C$3,'All practice data'!A:CA,A19+29,FALSE)</f>
        <v>0.10919341638628717</v>
      </c>
      <c r="P19" s="38">
        <f>VLOOKUP('Hide - Control'!$B$4,'All practice data'!B:BC,A19+2,FALSE)</f>
        <v>1153</v>
      </c>
      <c r="Q19" s="38">
        <f>VLOOKUP('Hide - Control'!$B$4,'All practice data'!B:BC,15,FALSE)</f>
        <v>8637</v>
      </c>
      <c r="R19" s="38">
        <f>+((2*P19+1.96^2-1.96*SQRT(1.96^2+4*P19*(1-P19/Q19)))/(2*(Q19+1.96^2)))</f>
        <v>0.12648523876388215</v>
      </c>
      <c r="S19" s="38">
        <f>+((2*P19+1.96^2+1.96*SQRT(1.96^2+4*P19*(1-P19/Q19)))/(2*(Q19+1.96^2)))</f>
        <v>0.14083150038337872</v>
      </c>
      <c r="T19" s="53">
        <f t="shared" si="19"/>
        <v>0.23076923191547394</v>
      </c>
      <c r="U19" s="51">
        <f t="shared" si="20"/>
        <v>0.02070442959666252</v>
      </c>
      <c r="V19" s="7"/>
      <c r="W19" s="27">
        <f t="shared" si="2"/>
        <v>0.02070442959666252</v>
      </c>
      <c r="X19" s="27">
        <f t="shared" si="3"/>
        <v>0.25326817110180855</v>
      </c>
      <c r="Y19" s="27">
        <f t="shared" si="4"/>
        <v>0.02070442959666252</v>
      </c>
      <c r="Z19" s="27">
        <f t="shared" si="5"/>
        <v>0.25326817110180855</v>
      </c>
      <c r="AA19" s="32">
        <f t="shared" si="6"/>
        <v>0</v>
      </c>
      <c r="AB19" s="33">
        <f t="shared" si="7"/>
        <v>0.3995722040020469</v>
      </c>
      <c r="AC19" s="33">
        <v>0.5</v>
      </c>
      <c r="AD19" s="33">
        <f t="shared" si="8"/>
        <v>0.5892100406811943</v>
      </c>
      <c r="AE19" s="33">
        <f t="shared" si="9"/>
        <v>0.9032568918924244</v>
      </c>
      <c r="AF19" s="33">
        <f t="shared" si="10"/>
        <v>-999</v>
      </c>
      <c r="AG19" s="33">
        <f t="shared" si="11"/>
        <v>-999</v>
      </c>
      <c r="AH19" s="33">
        <f t="shared" si="12"/>
        <v>0.280347459504281</v>
      </c>
      <c r="AI19" s="34">
        <f t="shared" si="13"/>
        <v>0.38049347768885383</v>
      </c>
      <c r="AJ19" s="4">
        <v>15.61399639702198</v>
      </c>
      <c r="AK19" s="32">
        <f t="shared" si="14"/>
        <v>0.280347459504281</v>
      </c>
      <c r="AL19" s="34">
        <f t="shared" si="15"/>
        <v>-999</v>
      </c>
      <c r="AY19" s="103" t="s">
        <v>270</v>
      </c>
      <c r="AZ19" s="103" t="s">
        <v>460</v>
      </c>
      <c r="BA19" s="103" t="s">
        <v>342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69</v>
      </c>
      <c r="E20" s="38">
        <f>IF(LEFT(VLOOKUP($B20,'Indicator chart'!$D$1:$J$36,5,FALSE),1)=" "," ",VLOOKUP($B20,'Indicator chart'!$D$1:$J$36,5,FALSE))</f>
        <v>0.5652173913043478</v>
      </c>
      <c r="F20" s="38">
        <f>IF(LEFT(VLOOKUP($B20,'Indicator chart'!$D$1:$J$36,6,FALSE),1)=" "," ",VLOOKUP($B20,'Indicator chart'!$D$1:$J$36,6,FALSE))</f>
        <v>0.4478819321166956</v>
      </c>
      <c r="G20" s="38">
        <f>IF(LEFT(VLOOKUP($B20,'Indicator chart'!$D$1:$J$36,7,FALSE),1)=" "," ",VLOOKUP($B20,'Indicator chart'!$D$1:$J$36,7,FALSE))</f>
        <v>0.6756738382123472</v>
      </c>
      <c r="H20" s="50">
        <f t="shared" si="0"/>
        <v>2</v>
      </c>
      <c r="I20" s="38">
        <v>0.09238772839307785</v>
      </c>
      <c r="J20" s="38">
        <v>0.40508365631103516</v>
      </c>
      <c r="K20" s="38">
        <v>0.46000000834465027</v>
      </c>
      <c r="L20" s="38">
        <v>0.5202020406723022</v>
      </c>
      <c r="M20" s="38">
        <v>0.6739130616188049</v>
      </c>
      <c r="N20" s="80">
        <f>VLOOKUP('Hide - Control'!B$3,'All practice data'!A:CA,A20+29,FALSE)</f>
        <v>0.47215397215397215</v>
      </c>
      <c r="O20" s="80">
        <f>VLOOKUP('Hide - Control'!C$3,'All practice data'!A:CA,A20+29,FALSE)</f>
        <v>0.4534552930810221</v>
      </c>
      <c r="P20" s="38">
        <f>VLOOKUP('Hide - Control'!$B$4,'All practice data'!B:BC,A20+1,FALSE)</f>
        <v>1153</v>
      </c>
      <c r="Q20" s="38">
        <f>VLOOKUP('Hide - Control'!$B$4,'All practice data'!B:BC,A20+2,FALSE)</f>
        <v>2442</v>
      </c>
      <c r="R20" s="38">
        <f>+((2*P20+1.96^2-1.96*SQRT(1.96^2+4*P20*(1-P20/Q20)))/(2*(Q20+1.96^2)))</f>
        <v>0.4524126011317303</v>
      </c>
      <c r="S20" s="38">
        <f>+((2*P20+1.96^2+1.96*SQRT(1.96^2+4*P20*(1-P20/Q20)))/(2*(Q20+1.96^2)))</f>
        <v>0.4919828167890377</v>
      </c>
      <c r="T20" s="53">
        <f t="shared" si="19"/>
        <v>0.6739130616188049</v>
      </c>
      <c r="U20" s="51">
        <f t="shared" si="20"/>
        <v>0.09238772839307785</v>
      </c>
      <c r="V20" s="7"/>
      <c r="W20" s="27">
        <f t="shared" si="2"/>
        <v>0.09238772839307785</v>
      </c>
      <c r="X20" s="27">
        <f t="shared" si="3"/>
        <v>0.8276122882962227</v>
      </c>
      <c r="Y20" s="27">
        <f t="shared" si="4"/>
        <v>0.09238772839307785</v>
      </c>
      <c r="Z20" s="27">
        <f t="shared" si="5"/>
        <v>0.8276122882962227</v>
      </c>
      <c r="AA20" s="32">
        <f t="shared" si="6"/>
        <v>0</v>
      </c>
      <c r="AB20" s="33">
        <f t="shared" si="7"/>
        <v>0.42530669535733473</v>
      </c>
      <c r="AC20" s="33">
        <v>0.5</v>
      </c>
      <c r="AD20" s="33">
        <f t="shared" si="8"/>
        <v>0.5818825099308199</v>
      </c>
      <c r="AE20" s="33">
        <f t="shared" si="9"/>
        <v>0.7909492758271495</v>
      </c>
      <c r="AF20" s="33">
        <f t="shared" si="10"/>
        <v>-999</v>
      </c>
      <c r="AG20" s="33">
        <f t="shared" si="11"/>
        <v>0.6431091787433738</v>
      </c>
      <c r="AH20" s="33">
        <f t="shared" si="12"/>
        <v>-999</v>
      </c>
      <c r="AI20" s="34">
        <f t="shared" si="13"/>
        <v>0.4910983451579877</v>
      </c>
      <c r="AJ20" s="4">
        <v>16.689991822403904</v>
      </c>
      <c r="AK20" s="32">
        <f t="shared" si="14"/>
        <v>-999</v>
      </c>
      <c r="AL20" s="34">
        <f t="shared" si="15"/>
        <v>-999</v>
      </c>
      <c r="AY20" s="103" t="s">
        <v>211</v>
      </c>
      <c r="AZ20" s="103" t="s">
        <v>441</v>
      </c>
      <c r="BA20" s="103" t="s">
        <v>342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68</v>
      </c>
      <c r="E21" s="38">
        <f>IF(LEFT(VLOOKUP($B21,'Indicator chart'!$D$1:$J$36,5,FALSE),1)=" "," ",VLOOKUP($B21,'Indicator chart'!$D$1:$J$36,5,FALSE))</f>
        <v>467.5467546754675</v>
      </c>
      <c r="F21" s="38">
        <f>IF(LEFT(VLOOKUP($B21,'Indicator chart'!$D$1:$J$36,6,FALSE),1)=" "," ",VLOOKUP($B21,'Indicator chart'!$D$1:$J$36,6,FALSE))</f>
        <v>363.05029904980273</v>
      </c>
      <c r="G21" s="38">
        <f>IF(LEFT(VLOOKUP($B21,'Indicator chart'!$D$1:$J$36,7,FALSE),1)=" "," ",VLOOKUP($B21,'Indicator chart'!$D$1:$J$36,7,FALSE))</f>
        <v>592.73815250414</v>
      </c>
      <c r="H21" s="50">
        <f t="shared" si="0"/>
        <v>2</v>
      </c>
      <c r="I21" s="38">
        <v>61.46357345581055</v>
      </c>
      <c r="J21" s="38">
        <v>359.7029113769531</v>
      </c>
      <c r="K21" s="38">
        <v>452.85821533203125</v>
      </c>
      <c r="L21" s="38">
        <v>528.7935791015625</v>
      </c>
      <c r="M21" s="38">
        <v>828.55322265625</v>
      </c>
      <c r="N21" s="80">
        <f>VLOOKUP('Hide - Control'!B$3,'All practice data'!A:CA,A21+29,FALSE)</f>
        <v>443.6771644520176</v>
      </c>
      <c r="O21" s="80">
        <f>VLOOKUP('Hide - Control'!C$3,'All practice data'!A:CA,A21+29,FALSE)</f>
        <v>377.7293140102421</v>
      </c>
      <c r="P21" s="38">
        <f>VLOOKUP('Hide - Control'!$B$4,'All practice data'!B:BC,A21+2,FALSE)</f>
        <v>1781</v>
      </c>
      <c r="Q21" s="38">
        <f>VLOOKUP('Hide - Control'!$B$4,'All practice data'!B:BC,3,FALSE)</f>
        <v>401418</v>
      </c>
      <c r="R21" s="38">
        <f aca="true" t="shared" si="21" ref="R21:R27">100000*(P21*(1-1/(9*P21)-1.96/(3*SQRT(P21)))^3)/Q21</f>
        <v>423.30815702063205</v>
      </c>
      <c r="S21" s="38">
        <f aca="true" t="shared" si="22" ref="S21:S27">100000*((P21+1)*(1-1/(9*(P21+1))+1.96/(3*SQRT(P21+1)))^3)/Q21</f>
        <v>464.7729707153043</v>
      </c>
      <c r="T21" s="53">
        <f t="shared" si="19"/>
        <v>828.55322265625</v>
      </c>
      <c r="U21" s="51">
        <f t="shared" si="20"/>
        <v>61.46357345581055</v>
      </c>
      <c r="V21" s="7"/>
      <c r="W21" s="27">
        <f t="shared" si="2"/>
        <v>61.46357345581055</v>
      </c>
      <c r="X21" s="27">
        <f t="shared" si="3"/>
        <v>844.252857208252</v>
      </c>
      <c r="Y21" s="27">
        <f t="shared" si="4"/>
        <v>61.46357345581055</v>
      </c>
      <c r="Z21" s="27">
        <f t="shared" si="5"/>
        <v>844.252857208252</v>
      </c>
      <c r="AA21" s="32">
        <f t="shared" si="6"/>
        <v>0</v>
      </c>
      <c r="AB21" s="33">
        <f t="shared" si="7"/>
        <v>0.38099568314410054</v>
      </c>
      <c r="AC21" s="33">
        <v>0.5</v>
      </c>
      <c r="AD21" s="33">
        <f t="shared" si="8"/>
        <v>0.597006136064512</v>
      </c>
      <c r="AE21" s="33">
        <f t="shared" si="9"/>
        <v>0.9799439838052676</v>
      </c>
      <c r="AF21" s="33">
        <f t="shared" si="10"/>
        <v>-999</v>
      </c>
      <c r="AG21" s="33">
        <f t="shared" si="11"/>
        <v>0.5187643592577356</v>
      </c>
      <c r="AH21" s="33">
        <f t="shared" si="12"/>
        <v>-999</v>
      </c>
      <c r="AI21" s="34">
        <f t="shared" si="13"/>
        <v>0.4040241059999631</v>
      </c>
      <c r="AJ21" s="4">
        <v>17.765987247785823</v>
      </c>
      <c r="AK21" s="32">
        <f t="shared" si="14"/>
        <v>-999</v>
      </c>
      <c r="AL21" s="34">
        <f t="shared" si="15"/>
        <v>-999</v>
      </c>
      <c r="AY21" s="103" t="s">
        <v>123</v>
      </c>
      <c r="AZ21" s="103" t="s">
        <v>415</v>
      </c>
      <c r="BA21" s="103" t="s">
        <v>342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108</v>
      </c>
      <c r="E22" s="38">
        <f>IF(LEFT(VLOOKUP($B22,'Indicator chart'!$D$1:$J$36,5,FALSE),1)=" "," ",VLOOKUP($B22,'Indicator chart'!$D$1:$J$36,5,FALSE))</f>
        <v>742.5742574257425</v>
      </c>
      <c r="F22" s="38">
        <f>IF(LEFT(VLOOKUP($B22,'Indicator chart'!$D$1:$J$36,6,FALSE),1)=" "," ",VLOOKUP($B22,'Indicator chart'!$D$1:$J$36,6,FALSE))</f>
        <v>609.1334106925514</v>
      </c>
      <c r="G22" s="38">
        <f>IF(LEFT(VLOOKUP($B22,'Indicator chart'!$D$1:$J$36,7,FALSE),1)=" "," ",VLOOKUP($B22,'Indicator chart'!$D$1:$J$36,7,FALSE))</f>
        <v>896.5501152970292</v>
      </c>
      <c r="H22" s="50">
        <f t="shared" si="0"/>
        <v>3</v>
      </c>
      <c r="I22" s="38">
        <v>18.07059669494629</v>
      </c>
      <c r="J22" s="38">
        <v>221.49073791503906</v>
      </c>
      <c r="K22" s="38">
        <v>326.7973937988281</v>
      </c>
      <c r="L22" s="38">
        <v>455.11981201171875</v>
      </c>
      <c r="M22" s="38">
        <v>831.7338256835938</v>
      </c>
      <c r="N22" s="80">
        <f>VLOOKUP('Hide - Control'!B$3,'All practice data'!A:CA,A22+29,FALSE)</f>
        <v>369.1912171352555</v>
      </c>
      <c r="O22" s="80">
        <f>VLOOKUP('Hide - Control'!C$3,'All practice data'!A:CA,A22+29,FALSE)</f>
        <v>282.45290788403287</v>
      </c>
      <c r="P22" s="38">
        <f>VLOOKUP('Hide - Control'!$B$4,'All practice data'!B:BC,A22+2,FALSE)</f>
        <v>1482</v>
      </c>
      <c r="Q22" s="38">
        <f>VLOOKUP('Hide - Control'!$B$4,'All practice data'!B:BC,3,FALSE)</f>
        <v>401418</v>
      </c>
      <c r="R22" s="38">
        <f t="shared" si="21"/>
        <v>350.63140230844124</v>
      </c>
      <c r="S22" s="38">
        <f t="shared" si="22"/>
        <v>388.47838145508257</v>
      </c>
      <c r="T22" s="53">
        <f t="shared" si="19"/>
        <v>831.7338256835938</v>
      </c>
      <c r="U22" s="51">
        <f t="shared" si="20"/>
        <v>18.07059669494629</v>
      </c>
      <c r="V22" s="7"/>
      <c r="W22" s="27">
        <f t="shared" si="2"/>
        <v>-178.1390380859375</v>
      </c>
      <c r="X22" s="27">
        <f t="shared" si="3"/>
        <v>831.7338256835938</v>
      </c>
      <c r="Y22" s="27">
        <f t="shared" si="4"/>
        <v>-178.1390380859375</v>
      </c>
      <c r="Z22" s="27">
        <f t="shared" si="5"/>
        <v>831.7338256835938</v>
      </c>
      <c r="AA22" s="32">
        <f t="shared" si="6"/>
        <v>0.1942914220394993</v>
      </c>
      <c r="AB22" s="33">
        <f t="shared" si="7"/>
        <v>0.3957228581321483</v>
      </c>
      <c r="AC22" s="33">
        <v>0.5</v>
      </c>
      <c r="AD22" s="33">
        <f t="shared" si="8"/>
        <v>0.6270678942039339</v>
      </c>
      <c r="AE22" s="33">
        <f t="shared" si="9"/>
        <v>1</v>
      </c>
      <c r="AF22" s="33">
        <f t="shared" si="10"/>
        <v>-999</v>
      </c>
      <c r="AG22" s="33">
        <f t="shared" si="11"/>
        <v>-999</v>
      </c>
      <c r="AH22" s="33">
        <f t="shared" si="12"/>
        <v>0.911712086286736</v>
      </c>
      <c r="AI22" s="34">
        <f t="shared" si="13"/>
        <v>0.45608904100138753</v>
      </c>
      <c r="AJ22" s="4">
        <v>18.841982673167745</v>
      </c>
      <c r="AK22" s="32">
        <f t="shared" si="14"/>
        <v>-999</v>
      </c>
      <c r="AL22" s="34">
        <f t="shared" si="15"/>
        <v>0.911712086286736</v>
      </c>
      <c r="AY22" s="103" t="s">
        <v>149</v>
      </c>
      <c r="AZ22" s="103" t="s">
        <v>425</v>
      </c>
      <c r="BA22" s="103" t="s">
        <v>342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75.63256325632564</v>
      </c>
      <c r="F23" s="38">
        <f>IF(LEFT(VLOOKUP($B23,'Indicator chart'!$D$1:$J$36,6,FALSE),1)=" "," ",VLOOKUP($B23,'Indicator chart'!$D$1:$J$36,6,FALSE))</f>
        <v>37.70362416797845</v>
      </c>
      <c r="G23" s="38">
        <f>IF(LEFT(VLOOKUP($B23,'Indicator chart'!$D$1:$J$36,7,FALSE),1)=" "," ",VLOOKUP($B23,'Indicator chart'!$D$1:$J$36,7,FALSE))</f>
        <v>135.33698184415448</v>
      </c>
      <c r="H23" s="50">
        <f t="shared" si="0"/>
        <v>2</v>
      </c>
      <c r="I23" s="38">
        <v>3.248678207397461</v>
      </c>
      <c r="J23" s="38">
        <v>50.903568267822266</v>
      </c>
      <c r="K23" s="38">
        <v>74.97657012939453</v>
      </c>
      <c r="L23" s="38">
        <v>94.62643432617188</v>
      </c>
      <c r="M23" s="38">
        <v>225.8120574951172</v>
      </c>
      <c r="N23" s="80">
        <f>VLOOKUP('Hide - Control'!B$3,'All practice data'!A:CA,A23+29,FALSE)</f>
        <v>80.21563557189762</v>
      </c>
      <c r="O23" s="80">
        <f>VLOOKUP('Hide - Control'!C$3,'All practice data'!A:CA,A23+29,FALSE)</f>
        <v>70.46674929228394</v>
      </c>
      <c r="P23" s="38">
        <f>VLOOKUP('Hide - Control'!$B$4,'All practice data'!B:BC,A23+2,FALSE)</f>
        <v>322</v>
      </c>
      <c r="Q23" s="38">
        <f>VLOOKUP('Hide - Control'!$B$4,'All practice data'!B:BC,3,FALSE)</f>
        <v>401418</v>
      </c>
      <c r="R23" s="38">
        <f t="shared" si="21"/>
        <v>71.69201631478681</v>
      </c>
      <c r="S23" s="38">
        <f t="shared" si="22"/>
        <v>89.47373403268168</v>
      </c>
      <c r="T23" s="53">
        <f t="shared" si="19"/>
        <v>225.8120574951172</v>
      </c>
      <c r="U23" s="51">
        <f t="shared" si="20"/>
        <v>3.248678207397461</v>
      </c>
      <c r="V23" s="7"/>
      <c r="W23" s="27">
        <f t="shared" si="2"/>
        <v>-75.85891723632812</v>
      </c>
      <c r="X23" s="27">
        <f t="shared" si="3"/>
        <v>225.8120574951172</v>
      </c>
      <c r="Y23" s="27">
        <f t="shared" si="4"/>
        <v>-75.85891723632812</v>
      </c>
      <c r="Z23" s="27">
        <f t="shared" si="5"/>
        <v>225.8120574951172</v>
      </c>
      <c r="AA23" s="32">
        <f t="shared" si="6"/>
        <v>0.26223137812362973</v>
      </c>
      <c r="AB23" s="33">
        <f t="shared" si="7"/>
        <v>0.42020113342689785</v>
      </c>
      <c r="AC23" s="33">
        <v>0.5</v>
      </c>
      <c r="AD23" s="33">
        <f t="shared" si="8"/>
        <v>0.5651367411606971</v>
      </c>
      <c r="AE23" s="33">
        <f t="shared" si="9"/>
        <v>1</v>
      </c>
      <c r="AF23" s="33">
        <f t="shared" si="10"/>
        <v>-999</v>
      </c>
      <c r="AG23" s="33">
        <f t="shared" si="11"/>
        <v>0.5021745317974826</v>
      </c>
      <c r="AH23" s="33">
        <f t="shared" si="12"/>
        <v>-999</v>
      </c>
      <c r="AI23" s="34">
        <f t="shared" si="13"/>
        <v>0.4850505311585732</v>
      </c>
      <c r="AJ23" s="4">
        <v>19.917978098549675</v>
      </c>
      <c r="AK23" s="32">
        <f t="shared" si="14"/>
        <v>-999</v>
      </c>
      <c r="AL23" s="34">
        <f t="shared" si="15"/>
        <v>-999</v>
      </c>
      <c r="AY23" s="103" t="s">
        <v>264</v>
      </c>
      <c r="AZ23" s="103" t="s">
        <v>265</v>
      </c>
      <c r="BA23" s="103" t="s">
        <v>342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102</v>
      </c>
      <c r="E24" s="38">
        <f>IF(LEFT(VLOOKUP($B24,'Indicator chart'!$D$1:$J$36,5,FALSE),1)=" "," ",VLOOKUP($B24,'Indicator chart'!$D$1:$J$36,5,FALSE))</f>
        <v>701.3201320132014</v>
      </c>
      <c r="F24" s="38">
        <f>IF(LEFT(VLOOKUP($B24,'Indicator chart'!$D$1:$J$36,6,FALSE),1)=" "," ",VLOOKUP($B24,'Indicator chart'!$D$1:$J$36,6,FALSE))</f>
        <v>571.827756493664</v>
      </c>
      <c r="G24" s="38">
        <f>IF(LEFT(VLOOKUP($B24,'Indicator chart'!$D$1:$J$36,7,FALSE),1)=" "," ",VLOOKUP($B24,'Indicator chart'!$D$1:$J$36,7,FALSE))</f>
        <v>851.3654440111827</v>
      </c>
      <c r="H24" s="50">
        <f t="shared" si="0"/>
        <v>3</v>
      </c>
      <c r="I24" s="38">
        <v>27.3076171875</v>
      </c>
      <c r="J24" s="38">
        <v>254.37794494628906</v>
      </c>
      <c r="K24" s="38">
        <v>347.61016845703125</v>
      </c>
      <c r="L24" s="38">
        <v>479.3773193359375</v>
      </c>
      <c r="M24" s="38">
        <v>885.8780517578125</v>
      </c>
      <c r="N24" s="80">
        <f>VLOOKUP('Hide - Control'!B$3,'All practice data'!A:CA,A24+29,FALSE)</f>
        <v>401.32729474014616</v>
      </c>
      <c r="O24" s="80">
        <f>VLOOKUP('Hide - Control'!C$3,'All practice data'!A:CA,A24+29,FALSE)</f>
        <v>323.23046266988894</v>
      </c>
      <c r="P24" s="38">
        <f>VLOOKUP('Hide - Control'!$B$4,'All practice data'!B:BC,A24+2,FALSE)</f>
        <v>1611</v>
      </c>
      <c r="Q24" s="38">
        <f>VLOOKUP('Hide - Control'!$B$4,'All practice data'!B:BC,3,FALSE)</f>
        <v>401418</v>
      </c>
      <c r="R24" s="38">
        <f t="shared" si="21"/>
        <v>381.9664289131509</v>
      </c>
      <c r="S24" s="38">
        <f t="shared" si="22"/>
        <v>421.41525377623265</v>
      </c>
      <c r="T24" s="53">
        <f t="shared" si="19"/>
        <v>885.8780517578125</v>
      </c>
      <c r="U24" s="51">
        <f t="shared" si="20"/>
        <v>27.3076171875</v>
      </c>
      <c r="V24" s="7"/>
      <c r="W24" s="27">
        <f t="shared" si="2"/>
        <v>-190.65771484375</v>
      </c>
      <c r="X24" s="27">
        <f t="shared" si="3"/>
        <v>885.8780517578125</v>
      </c>
      <c r="Y24" s="27">
        <f t="shared" si="4"/>
        <v>-190.65771484375</v>
      </c>
      <c r="Z24" s="27">
        <f t="shared" si="5"/>
        <v>885.8780517578125</v>
      </c>
      <c r="AA24" s="32">
        <f t="shared" si="6"/>
        <v>0.2024691968380474</v>
      </c>
      <c r="AB24" s="33">
        <f t="shared" si="7"/>
        <v>0.41339607433103664</v>
      </c>
      <c r="AC24" s="33">
        <v>0.5</v>
      </c>
      <c r="AD24" s="33">
        <f t="shared" si="8"/>
        <v>0.6223992318386897</v>
      </c>
      <c r="AE24" s="33">
        <f t="shared" si="9"/>
        <v>1</v>
      </c>
      <c r="AF24" s="33">
        <f t="shared" si="10"/>
        <v>-999</v>
      </c>
      <c r="AG24" s="33">
        <f t="shared" si="11"/>
        <v>-999</v>
      </c>
      <c r="AH24" s="33">
        <f t="shared" si="12"/>
        <v>0.8285631323451254</v>
      </c>
      <c r="AI24" s="34">
        <f t="shared" si="13"/>
        <v>0.477353557082358</v>
      </c>
      <c r="AJ24" s="4">
        <v>20.99397352393159</v>
      </c>
      <c r="AK24" s="32">
        <f t="shared" si="14"/>
        <v>-999</v>
      </c>
      <c r="AL24" s="34">
        <f t="shared" si="15"/>
        <v>0.8285631323451254</v>
      </c>
      <c r="AY24" s="103" t="s">
        <v>65</v>
      </c>
      <c r="AZ24" s="103" t="s">
        <v>66</v>
      </c>
      <c r="BA24" s="103" t="s">
        <v>521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76</v>
      </c>
      <c r="E25" s="38">
        <f>IF(LEFT(VLOOKUP($B25,'Indicator chart'!$D$1:$J$36,5,FALSE),1)=" "," ",VLOOKUP($B25,'Indicator chart'!$D$1:$J$36,5,FALSE))</f>
        <v>522.5522552255226</v>
      </c>
      <c r="F25" s="38">
        <f>IF(LEFT(VLOOKUP($B25,'Indicator chart'!$D$1:$J$36,6,FALSE),1)=" "," ",VLOOKUP($B25,'Indicator chart'!$D$1:$J$36,6,FALSE))</f>
        <v>411.69463323202024</v>
      </c>
      <c r="G25" s="38">
        <f>IF(LEFT(VLOOKUP($B25,'Indicator chart'!$D$1:$J$36,7,FALSE),1)=" "," ",VLOOKUP($B25,'Indicator chart'!$D$1:$J$36,7,FALSE))</f>
        <v>654.0631407275038</v>
      </c>
      <c r="H25" s="50">
        <f t="shared" si="0"/>
        <v>1</v>
      </c>
      <c r="I25" s="38">
        <v>424.808837890625</v>
      </c>
      <c r="J25" s="38">
        <v>629.5054931640625</v>
      </c>
      <c r="K25" s="38">
        <v>775.515869140625</v>
      </c>
      <c r="L25" s="38">
        <v>857.1495971679688</v>
      </c>
      <c r="M25" s="38">
        <v>1212.9110107421875</v>
      </c>
      <c r="N25" s="80">
        <f>VLOOKUP('Hide - Control'!B$3,'All practice data'!A:CA,A25+29,FALSE)</f>
        <v>745.606823809595</v>
      </c>
      <c r="O25" s="80">
        <f>VLOOKUP('Hide - Control'!C$3,'All practice data'!A:CA,A25+29,FALSE)</f>
        <v>562.6134400960308</v>
      </c>
      <c r="P25" s="38">
        <f>VLOOKUP('Hide - Control'!$B$4,'All practice data'!B:BC,A25+2,FALSE)</f>
        <v>2993</v>
      </c>
      <c r="Q25" s="38">
        <f>VLOOKUP('Hide - Control'!$B$4,'All practice data'!B:BC,3,FALSE)</f>
        <v>401418</v>
      </c>
      <c r="R25" s="38">
        <f t="shared" si="21"/>
        <v>719.1311118187053</v>
      </c>
      <c r="S25" s="38">
        <f t="shared" si="22"/>
        <v>772.8080244053192</v>
      </c>
      <c r="T25" s="53">
        <f t="shared" si="19"/>
        <v>1212.9110107421875</v>
      </c>
      <c r="U25" s="51">
        <f t="shared" si="20"/>
        <v>424.808837890625</v>
      </c>
      <c r="V25" s="7"/>
      <c r="W25" s="27">
        <f t="shared" si="2"/>
        <v>338.1207275390625</v>
      </c>
      <c r="X25" s="27">
        <f t="shared" si="3"/>
        <v>1212.9110107421875</v>
      </c>
      <c r="Y25" s="27">
        <f t="shared" si="4"/>
        <v>338.1207275390625</v>
      </c>
      <c r="Z25" s="27">
        <f t="shared" si="5"/>
        <v>1212.9110107421875</v>
      </c>
      <c r="AA25" s="32">
        <f t="shared" si="6"/>
        <v>0.09909587705312183</v>
      </c>
      <c r="AB25" s="33">
        <f t="shared" si="7"/>
        <v>0.3330909947445551</v>
      </c>
      <c r="AC25" s="33">
        <v>0.5</v>
      </c>
      <c r="AD25" s="33">
        <f t="shared" si="8"/>
        <v>0.5933180553039916</v>
      </c>
      <c r="AE25" s="33">
        <f t="shared" si="9"/>
        <v>1</v>
      </c>
      <c r="AF25" s="33">
        <f t="shared" si="10"/>
        <v>-999</v>
      </c>
      <c r="AG25" s="33">
        <f t="shared" si="11"/>
        <v>-999</v>
      </c>
      <c r="AH25" s="33">
        <f t="shared" si="12"/>
        <v>0.21082941960803117</v>
      </c>
      <c r="AI25" s="34">
        <f t="shared" si="13"/>
        <v>0.2566246069114618</v>
      </c>
      <c r="AJ25" s="4">
        <v>22.06996894931352</v>
      </c>
      <c r="AK25" s="32">
        <f t="shared" si="14"/>
        <v>0.21082941960803117</v>
      </c>
      <c r="AL25" s="34">
        <f t="shared" si="15"/>
        <v>-999</v>
      </c>
      <c r="AY25" s="103" t="s">
        <v>257</v>
      </c>
      <c r="AZ25" s="103" t="s">
        <v>258</v>
      </c>
      <c r="BA25" s="103" t="s">
        <v>521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82</v>
      </c>
      <c r="E26" s="38">
        <f>IF(LEFT(VLOOKUP($B26,'Indicator chart'!$D$1:$J$36,5,FALSE),1)=" "," ",VLOOKUP($B26,'Indicator chart'!$D$1:$J$36,5,FALSE))</f>
        <v>563.8063806380638</v>
      </c>
      <c r="F26" s="38">
        <f>IF(LEFT(VLOOKUP($B26,'Indicator chart'!$D$1:$J$36,6,FALSE),1)=" "," ",VLOOKUP($B26,'Indicator chart'!$D$1:$J$36,6,FALSE))</f>
        <v>448.3954325208897</v>
      </c>
      <c r="G26" s="38">
        <f>IF(LEFT(VLOOKUP($B26,'Indicator chart'!$D$1:$J$36,7,FALSE),1)=" "," ",VLOOKUP($B26,'Indicator chart'!$D$1:$J$36,7,FALSE))</f>
        <v>699.8433396856886</v>
      </c>
      <c r="H26" s="50">
        <f t="shared" si="0"/>
        <v>1</v>
      </c>
      <c r="I26" s="38">
        <v>112.1823501586914</v>
      </c>
      <c r="J26" s="38">
        <v>559.9899291992188</v>
      </c>
      <c r="K26" s="38">
        <v>674.7891235351562</v>
      </c>
      <c r="L26" s="38">
        <v>849.1653442382812</v>
      </c>
      <c r="M26" s="38">
        <v>1273.5609130859375</v>
      </c>
      <c r="N26" s="80">
        <f>VLOOKUP('Hide - Control'!B$3,'All practice data'!A:CA,A26+29,FALSE)</f>
        <v>704.2534216203559</v>
      </c>
      <c r="O26" s="80">
        <f>VLOOKUP('Hide - Control'!C$3,'All practice data'!A:CA,A26+29,FALSE)</f>
        <v>405.57105879375996</v>
      </c>
      <c r="P26" s="38">
        <f>VLOOKUP('Hide - Control'!$B$4,'All practice data'!B:BC,A26+2,FALSE)</f>
        <v>2827</v>
      </c>
      <c r="Q26" s="38">
        <f>VLOOKUP('Hide - Control'!$B$4,'All practice data'!B:BC,3,FALSE)</f>
        <v>401418</v>
      </c>
      <c r="R26" s="38">
        <f t="shared" si="21"/>
        <v>678.5290671530872</v>
      </c>
      <c r="S26" s="38">
        <f t="shared" si="22"/>
        <v>730.7033927897178</v>
      </c>
      <c r="T26" s="53">
        <f t="shared" si="19"/>
        <v>1273.5609130859375</v>
      </c>
      <c r="U26" s="51">
        <f t="shared" si="20"/>
        <v>112.1823501586914</v>
      </c>
      <c r="V26" s="7"/>
      <c r="W26" s="27">
        <f t="shared" si="2"/>
        <v>76.017333984375</v>
      </c>
      <c r="X26" s="27">
        <f t="shared" si="3"/>
        <v>1273.5609130859375</v>
      </c>
      <c r="Y26" s="27">
        <f t="shared" si="4"/>
        <v>76.017333984375</v>
      </c>
      <c r="Z26" s="27">
        <f t="shared" si="5"/>
        <v>1273.5609130859375</v>
      </c>
      <c r="AA26" s="32">
        <f t="shared" si="6"/>
        <v>0.03019933203720955</v>
      </c>
      <c r="AB26" s="33">
        <f t="shared" si="7"/>
        <v>0.40413777307205495</v>
      </c>
      <c r="AC26" s="33">
        <v>0.5</v>
      </c>
      <c r="AD26" s="33">
        <f t="shared" si="8"/>
        <v>0.6456115867064712</v>
      </c>
      <c r="AE26" s="33">
        <f t="shared" si="9"/>
        <v>1</v>
      </c>
      <c r="AF26" s="33">
        <f t="shared" si="10"/>
        <v>-999</v>
      </c>
      <c r="AG26" s="33">
        <f t="shared" si="11"/>
        <v>-999</v>
      </c>
      <c r="AH26" s="33">
        <f t="shared" si="12"/>
        <v>0.40732467291056296</v>
      </c>
      <c r="AI26" s="34">
        <f t="shared" si="13"/>
        <v>0.27519142564868265</v>
      </c>
      <c r="AJ26" s="4">
        <v>23.145964374695435</v>
      </c>
      <c r="AK26" s="32">
        <f t="shared" si="14"/>
        <v>0.40732467291056296</v>
      </c>
      <c r="AL26" s="34">
        <f t="shared" si="15"/>
        <v>-999</v>
      </c>
      <c r="AY26" s="103" t="s">
        <v>120</v>
      </c>
      <c r="AZ26" s="103" t="s">
        <v>414</v>
      </c>
      <c r="BA26" s="103" t="s">
        <v>342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182</v>
      </c>
      <c r="E27" s="38">
        <f>IF(LEFT(VLOOKUP($B27,'Indicator chart'!$D$1:$J$36,5,FALSE),1)=" "," ",VLOOKUP($B27,'Indicator chart'!$D$1:$J$36,5,FALSE))</f>
        <v>1251.3751375137513</v>
      </c>
      <c r="F27" s="38">
        <f>IF(LEFT(VLOOKUP($B27,'Indicator chart'!$D$1:$J$36,6,FALSE),1)=" "," ",VLOOKUP($B27,'Indicator chart'!$D$1:$J$36,6,FALSE))</f>
        <v>1076.1577309757959</v>
      </c>
      <c r="G27" s="38">
        <f>IF(LEFT(VLOOKUP($B27,'Indicator chart'!$D$1:$J$36,7,FALSE),1)=" "," ",VLOOKUP($B27,'Indicator chart'!$D$1:$J$36,7,FALSE))</f>
        <v>1446.984603755985</v>
      </c>
      <c r="H27" s="50">
        <f t="shared" si="0"/>
        <v>1</v>
      </c>
      <c r="I27" s="38">
        <v>849.093017578125</v>
      </c>
      <c r="J27" s="38">
        <v>1284.69482421875</v>
      </c>
      <c r="K27" s="38">
        <v>1552.1796875</v>
      </c>
      <c r="L27" s="38">
        <v>1864.8095703125</v>
      </c>
      <c r="M27" s="38">
        <v>2954.6611328125</v>
      </c>
      <c r="N27" s="80">
        <f>VLOOKUP('Hide - Control'!B$3,'All practice data'!A:CA,A27+29,FALSE)</f>
        <v>1600.5759582280814</v>
      </c>
      <c r="O27" s="80">
        <f>VLOOKUP('Hide - Control'!C$3,'All practice data'!A:CA,A27+29,FALSE)</f>
        <v>1059.3522061277838</v>
      </c>
      <c r="P27" s="38">
        <f>VLOOKUP('Hide - Control'!$B$4,'All practice data'!B:BC,A27+2,FALSE)</f>
        <v>6425</v>
      </c>
      <c r="Q27" s="38">
        <f>VLOOKUP('Hide - Control'!$B$4,'All practice data'!B:BC,3,FALSE)</f>
        <v>401418</v>
      </c>
      <c r="R27" s="38">
        <f t="shared" si="21"/>
        <v>1561.674660029225</v>
      </c>
      <c r="S27" s="38">
        <f t="shared" si="22"/>
        <v>1640.2013378238992</v>
      </c>
      <c r="T27" s="53">
        <f t="shared" si="19"/>
        <v>2954.6611328125</v>
      </c>
      <c r="U27" s="51">
        <f t="shared" si="20"/>
        <v>849.093017578125</v>
      </c>
      <c r="V27" s="7"/>
      <c r="W27" s="27">
        <f t="shared" si="2"/>
        <v>149.6982421875</v>
      </c>
      <c r="X27" s="27">
        <f t="shared" si="3"/>
        <v>2954.6611328125</v>
      </c>
      <c r="Y27" s="27">
        <f t="shared" si="4"/>
        <v>149.6982421875</v>
      </c>
      <c r="Z27" s="27">
        <f t="shared" si="5"/>
        <v>2954.6611328125</v>
      </c>
      <c r="AA27" s="32">
        <f t="shared" si="6"/>
        <v>0.24934189957671288</v>
      </c>
      <c r="AB27" s="33">
        <f t="shared" si="7"/>
        <v>0.40463871583639766</v>
      </c>
      <c r="AC27" s="33">
        <v>0.5</v>
      </c>
      <c r="AD27" s="33">
        <f t="shared" si="8"/>
        <v>0.6114559782082678</v>
      </c>
      <c r="AE27" s="33">
        <f t="shared" si="9"/>
        <v>1</v>
      </c>
      <c r="AF27" s="33">
        <f t="shared" si="10"/>
        <v>-999</v>
      </c>
      <c r="AG27" s="33">
        <f t="shared" si="11"/>
        <v>-999</v>
      </c>
      <c r="AH27" s="33">
        <f t="shared" si="12"/>
        <v>0.3927598824955493</v>
      </c>
      <c r="AI27" s="34">
        <f t="shared" si="13"/>
        <v>0.3243016037683106</v>
      </c>
      <c r="AJ27" s="4">
        <v>24.221959800077364</v>
      </c>
      <c r="AK27" s="32">
        <f t="shared" si="14"/>
        <v>0.3927598824955493</v>
      </c>
      <c r="AL27" s="34">
        <f t="shared" si="15"/>
        <v>-999</v>
      </c>
      <c r="AY27" s="103" t="s">
        <v>115</v>
      </c>
      <c r="AZ27" s="103" t="s">
        <v>413</v>
      </c>
      <c r="BA27" s="103" t="s">
        <v>521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82</v>
      </c>
      <c r="E28" s="38">
        <f>IF(LEFT(VLOOKUP($B28,'Indicator chart'!$D$1:$J$36,5,FALSE),1)=" "," ",VLOOKUP($B28,'Indicator chart'!$D$1:$J$36,5,FALSE))</f>
        <v>563.8063806380638</v>
      </c>
      <c r="F28" s="38">
        <f>IF(LEFT(VLOOKUP($B28,'Indicator chart'!$D$1:$J$36,6,FALSE),1)=" "," ",VLOOKUP($B28,'Indicator chart'!$D$1:$J$36,6,FALSE))</f>
        <v>448.3954325208897</v>
      </c>
      <c r="G28" s="38">
        <f>IF(LEFT(VLOOKUP($B28,'Indicator chart'!$D$1:$J$36,7,FALSE),1)=" "," ",VLOOKUP($B28,'Indicator chart'!$D$1:$J$36,7,FALSE))</f>
        <v>699.8433396856886</v>
      </c>
      <c r="H28" s="50">
        <f t="shared" si="0"/>
        <v>1</v>
      </c>
      <c r="I28" s="38">
        <v>429.3381042480469</v>
      </c>
      <c r="J28" s="38">
        <v>625.1046142578125</v>
      </c>
      <c r="K28" s="38">
        <v>719.7696533203125</v>
      </c>
      <c r="L28" s="38">
        <v>899.0299072265625</v>
      </c>
      <c r="M28" s="38">
        <v>1528.2730712890625</v>
      </c>
      <c r="N28" s="80">
        <f>VLOOKUP('Hide - Control'!B$3,'All practice data'!A:CA,A28+29,FALSE)</f>
        <v>755.8206159165758</v>
      </c>
      <c r="O28" s="80">
        <f>VLOOKUP('Hide - Control'!C$3,'All practice data'!A:CA,A28+29,FALSE)</f>
        <v>582.9390489900089</v>
      </c>
      <c r="P28" s="38">
        <f>VLOOKUP('Hide - Control'!$B$4,'All practice data'!B:BC,A28+2,FALSE)</f>
        <v>3034</v>
      </c>
      <c r="Q28" s="38">
        <f>VLOOKUP('Hide - Control'!$B$4,'All practice data'!B:BC,3,FALSE)</f>
        <v>401418</v>
      </c>
      <c r="R28" s="38">
        <f>100000*(P28*(1-1/(9*P28)-1.96/(3*SQRT(P28)))^3)/Q28</f>
        <v>729.16256002492</v>
      </c>
      <c r="S28" s="38">
        <f>100000*((P28+1)*(1-1/(9*(P28+1))+1.96/(3*SQRT(P28+1)))^3)/Q28</f>
        <v>783.2041304004409</v>
      </c>
      <c r="T28" s="53">
        <f t="shared" si="19"/>
        <v>1528.2730712890625</v>
      </c>
      <c r="U28" s="51">
        <f t="shared" si="20"/>
        <v>429.3381042480469</v>
      </c>
      <c r="V28" s="7"/>
      <c r="W28" s="27">
        <f t="shared" si="2"/>
        <v>-88.7337646484375</v>
      </c>
      <c r="X28" s="27">
        <f t="shared" si="3"/>
        <v>1528.2730712890625</v>
      </c>
      <c r="Y28" s="27">
        <f t="shared" si="4"/>
        <v>-88.7337646484375</v>
      </c>
      <c r="Z28" s="27">
        <f t="shared" si="5"/>
        <v>1528.2730712890625</v>
      </c>
      <c r="AA28" s="32">
        <f t="shared" si="6"/>
        <v>0.32038941170964147</v>
      </c>
      <c r="AB28" s="33">
        <f t="shared" si="7"/>
        <v>0.44145662407938085</v>
      </c>
      <c r="AC28" s="33">
        <v>0.5</v>
      </c>
      <c r="AD28" s="33">
        <f t="shared" si="8"/>
        <v>0.6108593049344281</v>
      </c>
      <c r="AE28" s="33">
        <f t="shared" si="9"/>
        <v>1</v>
      </c>
      <c r="AF28" s="33">
        <f t="shared" si="10"/>
        <v>-999</v>
      </c>
      <c r="AG28" s="33">
        <f t="shared" si="11"/>
        <v>-999</v>
      </c>
      <c r="AH28" s="33">
        <f t="shared" si="12"/>
        <v>0.4035481673818496</v>
      </c>
      <c r="AI28" s="34">
        <f t="shared" si="13"/>
        <v>0.41538031794963154</v>
      </c>
      <c r="AJ28" s="4">
        <v>25.297955225459287</v>
      </c>
      <c r="AK28" s="32">
        <f t="shared" si="14"/>
        <v>0.4035481673818496</v>
      </c>
      <c r="AL28" s="34">
        <f t="shared" si="15"/>
        <v>-999</v>
      </c>
      <c r="AY28" s="103" t="s">
        <v>241</v>
      </c>
      <c r="AZ28" s="103" t="s">
        <v>242</v>
      </c>
      <c r="BA28" s="103" t="s">
        <v>521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416</v>
      </c>
      <c r="BA29" s="103" t="s">
        <v>342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437</v>
      </c>
      <c r="BA31" s="103" t="s">
        <v>342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396</v>
      </c>
      <c r="BA32" s="103" t="s">
        <v>342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461</v>
      </c>
      <c r="BA33" s="103" t="s">
        <v>521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342</v>
      </c>
      <c r="BB34" s="10">
        <v>532801</v>
      </c>
      <c r="BE34" s="77"/>
      <c r="BF34" s="253"/>
    </row>
    <row r="35" spans="2:58" ht="12.75">
      <c r="B35" s="17" t="s">
        <v>41</v>
      </c>
      <c r="C35" s="18"/>
      <c r="H35" s="290" t="s">
        <v>591</v>
      </c>
      <c r="I35" s="291"/>
      <c r="Y35" s="43"/>
      <c r="Z35" s="44"/>
      <c r="AA35" s="44"/>
      <c r="AB35" s="43"/>
      <c r="AC35" s="43"/>
      <c r="AY35" s="103" t="s">
        <v>159</v>
      </c>
      <c r="AZ35" s="103" t="s">
        <v>429</v>
      </c>
      <c r="BA35" s="103" t="s">
        <v>342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418</v>
      </c>
      <c r="BA36" s="103" t="s">
        <v>342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435</v>
      </c>
      <c r="BA37" s="103" t="s">
        <v>342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342</v>
      </c>
      <c r="BB40" s="10">
        <v>714731</v>
      </c>
      <c r="BF40" s="252"/>
    </row>
    <row r="41" spans="1:58" ht="12.75">
      <c r="A41" s="3"/>
      <c r="B41" s="71"/>
      <c r="C41" s="3"/>
      <c r="T41" s="13"/>
      <c r="U41" s="2"/>
      <c r="W41" s="2"/>
      <c r="X41" s="10"/>
      <c r="Y41" s="44"/>
      <c r="Z41" s="44"/>
      <c r="AA41" s="44"/>
      <c r="AB41" s="44"/>
      <c r="AC41" s="44"/>
      <c r="AD41" s="2"/>
      <c r="AE41" s="2"/>
      <c r="AY41" s="103" t="s">
        <v>272</v>
      </c>
      <c r="AZ41" s="103" t="s">
        <v>462</v>
      </c>
      <c r="BA41" s="103" t="s">
        <v>521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459</v>
      </c>
      <c r="BA43" s="103" t="s">
        <v>342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447</v>
      </c>
      <c r="BA44" s="103" t="s">
        <v>342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438</v>
      </c>
      <c r="BA46" s="103" t="s">
        <v>521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442</v>
      </c>
      <c r="BA48" s="103" t="s">
        <v>521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453</v>
      </c>
      <c r="BA49" s="103" t="s">
        <v>521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419</v>
      </c>
      <c r="BA51" s="103" t="s">
        <v>342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342</v>
      </c>
      <c r="BB52" s="10">
        <v>611636</v>
      </c>
      <c r="BF52" s="252"/>
    </row>
    <row r="53" spans="1:58" ht="12.75">
      <c r="A53" s="3"/>
      <c r="B53" s="12"/>
      <c r="C53" s="3"/>
      <c r="I53" s="11"/>
      <c r="J53" s="11"/>
      <c r="K53" s="11"/>
      <c r="L53" s="11"/>
      <c r="S53" s="11"/>
      <c r="U53" s="2"/>
      <c r="X53" s="2"/>
      <c r="Y53" s="2"/>
      <c r="Z53" s="2"/>
      <c r="AA53" s="2"/>
      <c r="AB53" s="2"/>
      <c r="AY53" s="103" t="s">
        <v>244</v>
      </c>
      <c r="AZ53" s="103" t="s">
        <v>452</v>
      </c>
      <c r="BA53" s="103" t="s">
        <v>342</v>
      </c>
      <c r="BB53" s="10">
        <v>230998</v>
      </c>
      <c r="BF53" s="252"/>
    </row>
    <row r="54" spans="1:58" ht="12.75">
      <c r="A54" s="3"/>
      <c r="B54" s="12"/>
      <c r="C54" s="3"/>
      <c r="I54" s="11"/>
      <c r="J54" s="11"/>
      <c r="K54" s="11"/>
      <c r="L54" s="11"/>
      <c r="S54" s="11"/>
      <c r="U54" s="2"/>
      <c r="X54" s="2"/>
      <c r="Y54" s="2"/>
      <c r="Z54" s="2"/>
      <c r="AA54" s="2"/>
      <c r="AB54" s="2"/>
      <c r="AY54" s="103" t="s">
        <v>67</v>
      </c>
      <c r="AZ54" s="103" t="s">
        <v>393</v>
      </c>
      <c r="BA54" s="103" t="s">
        <v>342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439</v>
      </c>
      <c r="BA55" s="103" t="s">
        <v>342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409</v>
      </c>
      <c r="BA56" s="103" t="s">
        <v>342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454</v>
      </c>
      <c r="BA57" s="103" t="s">
        <v>342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399</v>
      </c>
      <c r="BA58" s="103" t="s">
        <v>342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443</v>
      </c>
      <c r="BA61" s="103" t="s">
        <v>521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432</v>
      </c>
      <c r="BA63" s="103" t="s">
        <v>342</v>
      </c>
      <c r="BB63" s="10">
        <v>318405</v>
      </c>
      <c r="BE63" s="70"/>
      <c r="BF63" s="239"/>
    </row>
    <row r="64" spans="1:58" ht="12.75">
      <c r="A64" s="3"/>
      <c r="B64" s="12"/>
      <c r="C64" s="3"/>
      <c r="I64" s="11"/>
      <c r="V64" s="3"/>
      <c r="AY64" s="103" t="s">
        <v>78</v>
      </c>
      <c r="AZ64" s="103" t="s">
        <v>400</v>
      </c>
      <c r="BA64" s="103" t="s">
        <v>521</v>
      </c>
      <c r="BB64" s="10">
        <v>181285</v>
      </c>
      <c r="BE64" s="70"/>
      <c r="BF64" s="241"/>
    </row>
    <row r="65" spans="1:58" ht="12.75">
      <c r="A65" s="3"/>
      <c r="B65" s="12"/>
      <c r="C65" s="3"/>
      <c r="AY65" s="103" t="s">
        <v>510</v>
      </c>
      <c r="AZ65" s="103" t="s">
        <v>511</v>
      </c>
      <c r="BA65" s="103" t="s">
        <v>342</v>
      </c>
      <c r="BB65" s="10">
        <v>1169302</v>
      </c>
      <c r="BE65" s="70"/>
      <c r="BF65" s="241"/>
    </row>
    <row r="66" spans="1:58" ht="12.75">
      <c r="A66" s="3"/>
      <c r="B66" s="12"/>
      <c r="C66" s="3"/>
      <c r="E66" s="2"/>
      <c r="F66" s="2"/>
      <c r="G66" s="2"/>
      <c r="V66" s="2"/>
      <c r="AY66" s="103" t="s">
        <v>200</v>
      </c>
      <c r="AZ66" s="103" t="s">
        <v>440</v>
      </c>
      <c r="BA66" s="103" t="s">
        <v>342</v>
      </c>
      <c r="BB66" s="10">
        <v>217916</v>
      </c>
      <c r="BE66" s="70"/>
      <c r="BF66" s="239"/>
    </row>
    <row r="67" spans="1:58" ht="12.75">
      <c r="A67" s="3"/>
      <c r="B67" s="12"/>
      <c r="C67" s="3"/>
      <c r="AY67" s="103" t="s">
        <v>69</v>
      </c>
      <c r="AZ67" s="103" t="s">
        <v>70</v>
      </c>
      <c r="BA67" s="103" t="s">
        <v>342</v>
      </c>
      <c r="BB67" s="10">
        <v>270842</v>
      </c>
      <c r="BE67" s="70"/>
      <c r="BF67" s="239"/>
    </row>
    <row r="68" spans="1:58" ht="12.75">
      <c r="A68" s="3"/>
      <c r="B68" s="12"/>
      <c r="C68" s="3"/>
      <c r="AY68" s="103" t="s">
        <v>109</v>
      </c>
      <c r="AZ68" s="103" t="s">
        <v>110</v>
      </c>
      <c r="BA68" s="103" t="s">
        <v>342</v>
      </c>
      <c r="BB68" s="10">
        <v>251613</v>
      </c>
      <c r="BF68" s="252"/>
    </row>
    <row r="69" spans="1:58" ht="12.75">
      <c r="A69" s="3"/>
      <c r="B69" s="12"/>
      <c r="C69" s="3"/>
      <c r="AY69" s="103" t="s">
        <v>209</v>
      </c>
      <c r="AZ69" s="103" t="s">
        <v>210</v>
      </c>
      <c r="BA69" s="103" t="s">
        <v>342</v>
      </c>
      <c r="BB69" s="10">
        <v>283547</v>
      </c>
      <c r="BE69" s="70"/>
      <c r="BF69" s="241"/>
    </row>
    <row r="70" spans="1:58" ht="12.75">
      <c r="A70" s="3"/>
      <c r="B70" s="12"/>
      <c r="C70" s="3"/>
      <c r="AY70" s="103" t="s">
        <v>275</v>
      </c>
      <c r="AZ70" s="103" t="s">
        <v>463</v>
      </c>
      <c r="BA70" s="103" t="s">
        <v>520</v>
      </c>
      <c r="BB70" s="10">
        <v>141474</v>
      </c>
      <c r="BE70" s="70"/>
      <c r="BF70" s="239"/>
    </row>
    <row r="71" spans="1:58" ht="12.75">
      <c r="A71" s="3"/>
      <c r="B71" s="12"/>
      <c r="C71" s="3"/>
      <c r="AY71" s="103" t="s">
        <v>127</v>
      </c>
      <c r="AZ71" s="103" t="s">
        <v>417</v>
      </c>
      <c r="BA71" s="103" t="s">
        <v>342</v>
      </c>
      <c r="BB71" s="10">
        <v>213326</v>
      </c>
      <c r="BE71" s="70"/>
      <c r="BF71" s="239"/>
    </row>
    <row r="72" spans="1:58" ht="12.75">
      <c r="A72" s="3"/>
      <c r="B72" s="12"/>
      <c r="C72" s="3"/>
      <c r="AY72" s="103" t="s">
        <v>136</v>
      </c>
      <c r="AZ72" s="103" t="s">
        <v>137</v>
      </c>
      <c r="BA72" s="103" t="s">
        <v>342</v>
      </c>
      <c r="BB72" s="10">
        <v>183220</v>
      </c>
      <c r="BE72" s="250"/>
      <c r="BF72" s="239"/>
    </row>
    <row r="73" spans="1:58" ht="12.75">
      <c r="A73" s="3"/>
      <c r="B73" s="12"/>
      <c r="C73" s="3"/>
      <c r="AY73" s="103" t="s">
        <v>64</v>
      </c>
      <c r="AZ73" s="103" t="s">
        <v>392</v>
      </c>
      <c r="BA73" s="103" t="s">
        <v>342</v>
      </c>
      <c r="BB73" s="10">
        <v>190143</v>
      </c>
      <c r="BE73" s="70"/>
      <c r="BF73" s="239"/>
    </row>
    <row r="74" spans="1:58" ht="12.75">
      <c r="A74" s="3"/>
      <c r="B74" s="12"/>
      <c r="C74" s="3"/>
      <c r="AY74" s="103" t="s">
        <v>165</v>
      </c>
      <c r="AZ74" s="103" t="s">
        <v>166</v>
      </c>
      <c r="BA74" s="103" t="s">
        <v>521</v>
      </c>
      <c r="BB74" s="10">
        <v>419928</v>
      </c>
      <c r="BE74" s="70"/>
      <c r="BF74" s="241"/>
    </row>
    <row r="75" spans="1:58" ht="12.75">
      <c r="A75" s="3"/>
      <c r="B75" s="12"/>
      <c r="C75" s="3"/>
      <c r="AY75" s="103" t="s">
        <v>113</v>
      </c>
      <c r="AZ75" s="103" t="s">
        <v>411</v>
      </c>
      <c r="BA75" s="103" t="s">
        <v>342</v>
      </c>
      <c r="BB75" s="10">
        <v>158106</v>
      </c>
      <c r="BE75" s="70"/>
      <c r="BF75" s="241"/>
    </row>
    <row r="76" spans="1:58" ht="12.75">
      <c r="A76" s="3"/>
      <c r="B76" s="12"/>
      <c r="C76" s="3"/>
      <c r="AY76" s="103" t="s">
        <v>140</v>
      </c>
      <c r="AZ76" s="103" t="s">
        <v>141</v>
      </c>
      <c r="BA76" s="103" t="s">
        <v>342</v>
      </c>
      <c r="BB76" s="10">
        <v>377807</v>
      </c>
      <c r="BE76" s="70"/>
      <c r="BF76" s="241"/>
    </row>
    <row r="77" spans="1:58" ht="12.75">
      <c r="A77" s="3"/>
      <c r="B77" s="12"/>
      <c r="C77" s="3"/>
      <c r="AY77" s="103" t="s">
        <v>163</v>
      </c>
      <c r="AZ77" s="103" t="s">
        <v>164</v>
      </c>
      <c r="BA77" s="103" t="s">
        <v>521</v>
      </c>
      <c r="BB77" s="10">
        <v>799634</v>
      </c>
      <c r="BE77" s="70"/>
      <c r="BF77" s="249"/>
    </row>
    <row r="78" spans="1:58" ht="12.75">
      <c r="A78" s="3"/>
      <c r="B78" s="12"/>
      <c r="C78" s="3"/>
      <c r="AY78" s="103" t="s">
        <v>224</v>
      </c>
      <c r="AZ78" s="103" t="s">
        <v>225</v>
      </c>
      <c r="BA78" s="103" t="s">
        <v>342</v>
      </c>
      <c r="BB78" s="10">
        <v>362638</v>
      </c>
      <c r="BE78" s="70"/>
      <c r="BF78" s="239"/>
    </row>
    <row r="79" spans="1:58" ht="12.75">
      <c r="A79" s="3"/>
      <c r="B79" s="12"/>
      <c r="C79" s="3"/>
      <c r="AY79" s="103" t="s">
        <v>223</v>
      </c>
      <c r="AZ79" s="103" t="s">
        <v>445</v>
      </c>
      <c r="BA79" s="103" t="s">
        <v>342</v>
      </c>
      <c r="BB79" s="10">
        <v>678998</v>
      </c>
      <c r="BF79" s="239"/>
    </row>
    <row r="80" spans="1:58" ht="12.75">
      <c r="A80" s="3"/>
      <c r="B80" s="12"/>
      <c r="C80" s="3"/>
      <c r="AY80" s="103" t="s">
        <v>144</v>
      </c>
      <c r="AZ80" s="103" t="s">
        <v>145</v>
      </c>
      <c r="BA80" s="103" t="s">
        <v>342</v>
      </c>
      <c r="BB80" s="10">
        <v>290986</v>
      </c>
      <c r="BF80" s="252"/>
    </row>
    <row r="81" spans="1:58" ht="12.75">
      <c r="A81" s="3"/>
      <c r="B81" s="12"/>
      <c r="C81" s="3"/>
      <c r="AY81" s="103" t="s">
        <v>178</v>
      </c>
      <c r="AZ81" s="103" t="s">
        <v>434</v>
      </c>
      <c r="BA81" s="103" t="s">
        <v>521</v>
      </c>
      <c r="BB81" s="10">
        <v>747976</v>
      </c>
      <c r="BF81" s="252"/>
    </row>
    <row r="82" spans="1:58" ht="12.75">
      <c r="A82" s="3"/>
      <c r="B82" s="12"/>
      <c r="C82" s="3"/>
      <c r="AY82" s="103" t="s">
        <v>193</v>
      </c>
      <c r="AZ82" s="103" t="s">
        <v>194</v>
      </c>
      <c r="BA82" s="103" t="s">
        <v>342</v>
      </c>
      <c r="BB82" s="10">
        <v>489140</v>
      </c>
      <c r="BF82" s="252"/>
    </row>
    <row r="83" spans="1:58" ht="12.75">
      <c r="A83" s="3"/>
      <c r="B83" s="12"/>
      <c r="C83" s="3"/>
      <c r="AY83" s="103" t="s">
        <v>98</v>
      </c>
      <c r="AZ83" s="103" t="s">
        <v>408</v>
      </c>
      <c r="BA83" s="103" t="s">
        <v>521</v>
      </c>
      <c r="BB83" s="10">
        <v>208442</v>
      </c>
      <c r="BE83" s="70"/>
      <c r="BF83" s="241"/>
    </row>
    <row r="84" spans="1:58" ht="12.75">
      <c r="A84" s="3"/>
      <c r="B84" s="12"/>
      <c r="C84" s="3"/>
      <c r="AY84" s="103" t="s">
        <v>203</v>
      </c>
      <c r="AZ84" s="103" t="s">
        <v>204</v>
      </c>
      <c r="BA84" s="103" t="s">
        <v>521</v>
      </c>
      <c r="BB84" s="10">
        <v>545543</v>
      </c>
      <c r="BE84" s="70"/>
      <c r="BF84" s="241"/>
    </row>
    <row r="85" spans="1:58" ht="12.75">
      <c r="A85" s="3"/>
      <c r="B85" s="12"/>
      <c r="C85" s="3"/>
      <c r="AY85" s="103" t="s">
        <v>135</v>
      </c>
      <c r="AZ85" s="103" t="s">
        <v>423</v>
      </c>
      <c r="BA85" s="103" t="s">
        <v>521</v>
      </c>
      <c r="BB85" s="10">
        <v>274067</v>
      </c>
      <c r="BE85" s="70"/>
      <c r="BF85" s="241"/>
    </row>
    <row r="86" spans="1:58" ht="12.75">
      <c r="A86" s="3"/>
      <c r="B86" s="12"/>
      <c r="C86" s="3"/>
      <c r="AY86" s="103" t="s">
        <v>251</v>
      </c>
      <c r="AZ86" s="103" t="s">
        <v>252</v>
      </c>
      <c r="BA86" s="103" t="s">
        <v>521</v>
      </c>
      <c r="BB86" s="10">
        <v>374861</v>
      </c>
      <c r="BE86" s="70"/>
      <c r="BF86" s="249"/>
    </row>
    <row r="87" spans="1:58" ht="12.75">
      <c r="A87" s="3"/>
      <c r="B87" s="12"/>
      <c r="C87" s="3"/>
      <c r="AY87" s="103" t="s">
        <v>132</v>
      </c>
      <c r="AZ87" s="103" t="s">
        <v>133</v>
      </c>
      <c r="BA87" s="103" t="s">
        <v>342</v>
      </c>
      <c r="BB87" s="10">
        <v>153833</v>
      </c>
      <c r="BE87" s="70"/>
      <c r="BF87" s="249"/>
    </row>
    <row r="88" spans="1:58" ht="12.75">
      <c r="A88" s="3"/>
      <c r="B88" s="12"/>
      <c r="C88" s="3"/>
      <c r="AY88" s="103" t="s">
        <v>79</v>
      </c>
      <c r="AZ88" s="103" t="s">
        <v>80</v>
      </c>
      <c r="BA88" s="103" t="s">
        <v>521</v>
      </c>
      <c r="BB88" s="10">
        <v>258492</v>
      </c>
      <c r="BE88" s="70"/>
      <c r="BF88" s="241"/>
    </row>
    <row r="89" spans="1:58" ht="12.75">
      <c r="A89" s="3"/>
      <c r="B89" s="12"/>
      <c r="C89" s="3"/>
      <c r="AY89" s="103" t="s">
        <v>81</v>
      </c>
      <c r="AZ89" s="103" t="s">
        <v>401</v>
      </c>
      <c r="BA89" s="103" t="s">
        <v>342</v>
      </c>
      <c r="BB89" s="10">
        <v>283085</v>
      </c>
      <c r="BE89" s="70"/>
      <c r="BF89" s="241"/>
    </row>
    <row r="90" spans="1:58" ht="12.75">
      <c r="A90" s="3"/>
      <c r="B90" s="12"/>
      <c r="C90" s="3"/>
      <c r="AY90" s="103" t="s">
        <v>76</v>
      </c>
      <c r="AZ90" s="103" t="s">
        <v>398</v>
      </c>
      <c r="BA90" s="103" t="s">
        <v>342</v>
      </c>
      <c r="BB90" s="10">
        <v>357346</v>
      </c>
      <c r="BE90" s="70"/>
      <c r="BF90" s="241"/>
    </row>
    <row r="91" spans="1:58" ht="12.75">
      <c r="A91" s="3"/>
      <c r="B91" s="12"/>
      <c r="C91" s="3"/>
      <c r="AY91" s="103" t="s">
        <v>243</v>
      </c>
      <c r="AZ91" s="103" t="s">
        <v>451</v>
      </c>
      <c r="BA91" s="103" t="s">
        <v>521</v>
      </c>
      <c r="BB91" s="10">
        <v>748575</v>
      </c>
      <c r="BE91" s="247"/>
      <c r="BF91" s="249"/>
    </row>
    <row r="92" spans="1:58" ht="12.75">
      <c r="A92" s="3"/>
      <c r="B92" s="12"/>
      <c r="C92" s="3"/>
      <c r="AY92" s="103" t="s">
        <v>249</v>
      </c>
      <c r="AZ92" s="103" t="s">
        <v>250</v>
      </c>
      <c r="BA92" s="103" t="s">
        <v>521</v>
      </c>
      <c r="BB92" s="10">
        <v>322673</v>
      </c>
      <c r="BE92" s="247"/>
      <c r="BF92" s="249"/>
    </row>
    <row r="93" spans="1:58" ht="12.75">
      <c r="A93" s="3"/>
      <c r="B93" s="12"/>
      <c r="C93" s="3"/>
      <c r="AY93" s="103" t="s">
        <v>58</v>
      </c>
      <c r="AZ93" s="103" t="s">
        <v>59</v>
      </c>
      <c r="BA93" s="103" t="s">
        <v>342</v>
      </c>
      <c r="BB93" s="10">
        <v>165284</v>
      </c>
      <c r="BF93" s="252"/>
    </row>
    <row r="94" spans="1:58" ht="12.75">
      <c r="A94" s="3"/>
      <c r="B94" s="12"/>
      <c r="C94" s="3"/>
      <c r="AY94" s="103" t="s">
        <v>186</v>
      </c>
      <c r="AZ94" s="103" t="s">
        <v>436</v>
      </c>
      <c r="BA94" s="103" t="s">
        <v>342</v>
      </c>
      <c r="BB94" s="10">
        <v>339272</v>
      </c>
      <c r="BE94" s="70"/>
      <c r="BF94" s="241"/>
    </row>
    <row r="95" spans="1:58" ht="12.75">
      <c r="A95" s="3"/>
      <c r="B95" s="12"/>
      <c r="C95" s="3"/>
      <c r="AY95" s="103" t="s">
        <v>86</v>
      </c>
      <c r="AZ95" s="103" t="s">
        <v>87</v>
      </c>
      <c r="BA95" s="103" t="s">
        <v>342</v>
      </c>
      <c r="BB95" s="10">
        <v>165642</v>
      </c>
      <c r="BE95" s="247"/>
      <c r="BF95" s="249"/>
    </row>
    <row r="96" spans="1:58" ht="12.75">
      <c r="A96" s="3"/>
      <c r="B96" s="12"/>
      <c r="C96" s="3"/>
      <c r="AY96" s="103" t="s">
        <v>157</v>
      </c>
      <c r="AZ96" s="103" t="s">
        <v>158</v>
      </c>
      <c r="BA96" s="103" t="s">
        <v>342</v>
      </c>
      <c r="BB96" s="10">
        <v>208351</v>
      </c>
      <c r="BE96" s="243"/>
      <c r="BF96" s="238"/>
    </row>
    <row r="97" spans="1:58" ht="12.75">
      <c r="A97" s="3"/>
      <c r="B97" s="12"/>
      <c r="C97" s="3"/>
      <c r="AY97" s="103" t="s">
        <v>231</v>
      </c>
      <c r="AZ97" s="103" t="s">
        <v>232</v>
      </c>
      <c r="BA97" s="103" t="s">
        <v>342</v>
      </c>
      <c r="BB97" s="10">
        <v>203178</v>
      </c>
      <c r="BE97" s="243"/>
      <c r="BF97" s="238"/>
    </row>
    <row r="98" spans="1:58" ht="12.75">
      <c r="A98" s="3"/>
      <c r="B98" s="12"/>
      <c r="C98" s="3"/>
      <c r="AY98" s="103" t="s">
        <v>82</v>
      </c>
      <c r="AZ98" s="103" t="s">
        <v>402</v>
      </c>
      <c r="BA98" s="103" t="s">
        <v>342</v>
      </c>
      <c r="BB98" s="10">
        <v>214052</v>
      </c>
      <c r="BE98" s="248"/>
      <c r="BF98" s="241"/>
    </row>
    <row r="99" spans="1:58" ht="12.75">
      <c r="A99" s="3"/>
      <c r="B99" s="12"/>
      <c r="C99" s="3"/>
      <c r="AY99" s="103" t="s">
        <v>205</v>
      </c>
      <c r="AZ99" s="103" t="s">
        <v>206</v>
      </c>
      <c r="BA99" s="103" t="s">
        <v>521</v>
      </c>
      <c r="BB99" s="10">
        <v>795503</v>
      </c>
      <c r="BE99" s="70"/>
      <c r="BF99" s="249"/>
    </row>
    <row r="100" spans="1:58" ht="12.75">
      <c r="A100" s="3"/>
      <c r="B100" s="12"/>
      <c r="C100" s="3"/>
      <c r="AY100" s="103" t="s">
        <v>226</v>
      </c>
      <c r="AZ100" s="103" t="s">
        <v>446</v>
      </c>
      <c r="BA100" s="103" t="s">
        <v>342</v>
      </c>
      <c r="BB100" s="10">
        <v>648340</v>
      </c>
      <c r="BE100" s="70"/>
      <c r="BF100" s="249"/>
    </row>
    <row r="101" spans="51:58" ht="12.75">
      <c r="AY101" s="103" t="s">
        <v>51</v>
      </c>
      <c r="AZ101" s="103" t="s">
        <v>52</v>
      </c>
      <c r="BA101" s="103" t="s">
        <v>342</v>
      </c>
      <c r="BB101" s="10">
        <v>320818</v>
      </c>
      <c r="BE101" s="237"/>
      <c r="BF101" s="238"/>
    </row>
    <row r="102" spans="51:58" ht="12.75">
      <c r="AY102" s="103" t="s">
        <v>88</v>
      </c>
      <c r="AZ102" s="103" t="s">
        <v>89</v>
      </c>
      <c r="BA102" s="103" t="s">
        <v>342</v>
      </c>
      <c r="BB102" s="10">
        <v>339920</v>
      </c>
      <c r="BE102" s="237"/>
      <c r="BF102" s="238"/>
    </row>
    <row r="103" spans="51:58" ht="12.75">
      <c r="AY103" s="103" t="s">
        <v>177</v>
      </c>
      <c r="AZ103" s="103" t="s">
        <v>433</v>
      </c>
      <c r="BA103" s="103" t="s">
        <v>342</v>
      </c>
      <c r="BB103" s="10">
        <v>656875</v>
      </c>
      <c r="BE103" s="70"/>
      <c r="BF103" s="239"/>
    </row>
    <row r="104" spans="51:58" ht="12.75">
      <c r="AY104" s="103" t="s">
        <v>114</v>
      </c>
      <c r="AZ104" s="103" t="s">
        <v>412</v>
      </c>
      <c r="BA104" s="103" t="s">
        <v>342</v>
      </c>
      <c r="BB104" s="10">
        <v>236592</v>
      </c>
      <c r="BF104" s="252"/>
    </row>
    <row r="105" spans="51:58" ht="12.75">
      <c r="AY105" s="103" t="s">
        <v>259</v>
      </c>
      <c r="AZ105" s="103" t="s">
        <v>455</v>
      </c>
      <c r="BA105" s="103" t="s">
        <v>521</v>
      </c>
      <c r="BB105" s="10">
        <v>671572</v>
      </c>
      <c r="BE105" s="237"/>
      <c r="BF105" s="238"/>
    </row>
    <row r="106" spans="51:58" ht="12.75">
      <c r="AY106" s="103" t="s">
        <v>239</v>
      </c>
      <c r="AZ106" s="103" t="s">
        <v>240</v>
      </c>
      <c r="BA106" s="103" t="s">
        <v>521</v>
      </c>
      <c r="BB106" s="10">
        <v>177882</v>
      </c>
      <c r="BF106" s="252"/>
    </row>
    <row r="107" spans="51:58" ht="12.75">
      <c r="AY107" s="103" t="s">
        <v>91</v>
      </c>
      <c r="AZ107" s="103" t="s">
        <v>405</v>
      </c>
      <c r="BA107" s="103" t="s">
        <v>342</v>
      </c>
      <c r="BB107" s="10">
        <v>274443</v>
      </c>
      <c r="BF107" s="252"/>
    </row>
    <row r="108" spans="51:58" ht="12.75">
      <c r="AY108" s="103" t="s">
        <v>95</v>
      </c>
      <c r="AZ108" s="103" t="s">
        <v>407</v>
      </c>
      <c r="BA108" s="103" t="s">
        <v>342</v>
      </c>
      <c r="BB108" s="10">
        <v>213174</v>
      </c>
      <c r="BE108" s="70"/>
      <c r="BF108" s="239"/>
    </row>
    <row r="109" spans="51:58" ht="12.75">
      <c r="AY109" s="103" t="s">
        <v>179</v>
      </c>
      <c r="AZ109" s="103" t="s">
        <v>180</v>
      </c>
      <c r="BA109" s="103" t="s">
        <v>342</v>
      </c>
      <c r="BB109" s="10">
        <v>278950</v>
      </c>
      <c r="BE109" s="237"/>
      <c r="BF109" s="238"/>
    </row>
    <row r="110" spans="51:58" ht="12.75">
      <c r="AY110" s="103" t="s">
        <v>273</v>
      </c>
      <c r="AZ110" s="103" t="s">
        <v>274</v>
      </c>
      <c r="BA110" s="103" t="s">
        <v>342</v>
      </c>
      <c r="BB110" s="10">
        <v>133304</v>
      </c>
      <c r="BE110" s="70"/>
      <c r="BF110" s="249"/>
    </row>
    <row r="111" spans="51:58" ht="12.75">
      <c r="AY111" s="103" t="s">
        <v>155</v>
      </c>
      <c r="AZ111" s="103" t="s">
        <v>427</v>
      </c>
      <c r="BA111" s="103" t="s">
        <v>342</v>
      </c>
      <c r="BB111" s="10">
        <v>197060</v>
      </c>
      <c r="BE111" s="70"/>
      <c r="BF111" s="239"/>
    </row>
    <row r="112" spans="51:58" ht="12.75">
      <c r="AY112" s="103" t="s">
        <v>100</v>
      </c>
      <c r="AZ112" s="103" t="s">
        <v>101</v>
      </c>
      <c r="BA112" s="103" t="s">
        <v>342</v>
      </c>
      <c r="BB112" s="10">
        <v>253140</v>
      </c>
      <c r="BE112" s="250"/>
      <c r="BF112" s="249"/>
    </row>
    <row r="113" spans="51:58" ht="12.75">
      <c r="AY113" s="103" t="s">
        <v>92</v>
      </c>
      <c r="AZ113" s="103" t="s">
        <v>93</v>
      </c>
      <c r="BA113" s="103" t="s">
        <v>342</v>
      </c>
      <c r="BB113" s="10">
        <v>240983</v>
      </c>
      <c r="BE113" s="70"/>
      <c r="BF113" s="241"/>
    </row>
    <row r="114" spans="51:58" ht="12.75">
      <c r="AY114" s="103" t="s">
        <v>228</v>
      </c>
      <c r="AZ114" s="103" t="s">
        <v>448</v>
      </c>
      <c r="BA114" s="103" t="s">
        <v>342</v>
      </c>
      <c r="BB114" s="10">
        <v>340451</v>
      </c>
      <c r="BF114" s="241"/>
    </row>
    <row r="115" spans="51:58" ht="12.75">
      <c r="AY115" s="103" t="s">
        <v>189</v>
      </c>
      <c r="AZ115" s="103" t="s">
        <v>190</v>
      </c>
      <c r="BA115" s="103" t="s">
        <v>342</v>
      </c>
      <c r="BB115" s="10">
        <v>280673</v>
      </c>
      <c r="BE115" s="248"/>
      <c r="BF115" s="241"/>
    </row>
    <row r="116" spans="51:58" ht="12.75">
      <c r="AY116" s="103" t="s">
        <v>169</v>
      </c>
      <c r="AZ116" s="103" t="s">
        <v>170</v>
      </c>
      <c r="BA116" s="103" t="s">
        <v>342</v>
      </c>
      <c r="BB116" s="10">
        <v>565874</v>
      </c>
      <c r="BE116" s="70"/>
      <c r="BF116" s="239"/>
    </row>
    <row r="117" spans="51:58" ht="12.75">
      <c r="AY117" s="103" t="s">
        <v>152</v>
      </c>
      <c r="AZ117" s="103" t="s">
        <v>426</v>
      </c>
      <c r="BA117" s="103" t="s">
        <v>521</v>
      </c>
      <c r="BB117" s="10">
        <v>295379</v>
      </c>
      <c r="BE117" s="237"/>
      <c r="BF117" s="238"/>
    </row>
    <row r="118" spans="51:58" ht="12.75">
      <c r="AY118" s="103" t="s">
        <v>56</v>
      </c>
      <c r="AZ118" s="103" t="s">
        <v>57</v>
      </c>
      <c r="BA118" s="103" t="s">
        <v>342</v>
      </c>
      <c r="BB118" s="10">
        <v>217094</v>
      </c>
      <c r="BE118" s="70"/>
      <c r="BF118" s="239"/>
    </row>
    <row r="119" spans="51:58" ht="12.75">
      <c r="AY119" s="103" t="s">
        <v>268</v>
      </c>
      <c r="AZ119" s="103" t="s">
        <v>458</v>
      </c>
      <c r="BA119" s="103" t="s">
        <v>342</v>
      </c>
      <c r="BB119" s="10">
        <v>538131</v>
      </c>
      <c r="BE119" s="70"/>
      <c r="BF119" s="239"/>
    </row>
    <row r="120" spans="51:58" ht="12.75">
      <c r="AY120" s="103" t="s">
        <v>150</v>
      </c>
      <c r="AZ120" s="103" t="s">
        <v>151</v>
      </c>
      <c r="BA120" s="103" t="s">
        <v>521</v>
      </c>
      <c r="BB120" s="10">
        <v>389725</v>
      </c>
      <c r="BE120" s="70"/>
      <c r="BF120" s="239"/>
    </row>
    <row r="121" spans="51:58" ht="12.75">
      <c r="AY121" s="103" t="s">
        <v>212</v>
      </c>
      <c r="AZ121" s="103" t="s">
        <v>213</v>
      </c>
      <c r="BA121" s="103" t="s">
        <v>521</v>
      </c>
      <c r="BB121" s="10">
        <v>356812</v>
      </c>
      <c r="BE121" s="237"/>
      <c r="BF121" s="238"/>
    </row>
    <row r="122" spans="51:58" ht="12.75">
      <c r="AY122" s="103" t="s">
        <v>60</v>
      </c>
      <c r="AZ122" s="103" t="s">
        <v>61</v>
      </c>
      <c r="BA122" s="103" t="s">
        <v>342</v>
      </c>
      <c r="BB122" s="10">
        <v>256321</v>
      </c>
      <c r="BE122" s="70"/>
      <c r="BF122" s="249"/>
    </row>
    <row r="123" spans="51:58" ht="12.75">
      <c r="AY123" s="103" t="s">
        <v>234</v>
      </c>
      <c r="AZ123" s="103" t="s">
        <v>450</v>
      </c>
      <c r="BA123" s="103" t="s">
        <v>521</v>
      </c>
      <c r="BB123" s="10">
        <v>615835</v>
      </c>
      <c r="BF123" s="252"/>
    </row>
    <row r="124" spans="51:58" ht="12.75">
      <c r="AY124" s="103" t="s">
        <v>130</v>
      </c>
      <c r="AZ124" s="103" t="s">
        <v>420</v>
      </c>
      <c r="BA124" s="103" t="s">
        <v>342</v>
      </c>
      <c r="BB124" s="10">
        <v>150179</v>
      </c>
      <c r="BF124" s="252"/>
    </row>
    <row r="125" spans="51:58" ht="12.75">
      <c r="AY125" s="103" t="s">
        <v>253</v>
      </c>
      <c r="AZ125" s="103" t="s">
        <v>254</v>
      </c>
      <c r="BA125" s="103" t="s">
        <v>342</v>
      </c>
      <c r="BB125" s="10">
        <v>420503</v>
      </c>
      <c r="BE125" s="70"/>
      <c r="BF125" s="249"/>
    </row>
    <row r="126" spans="51:58" ht="12.75">
      <c r="AY126" s="103" t="s">
        <v>134</v>
      </c>
      <c r="AZ126" s="103" t="s">
        <v>422</v>
      </c>
      <c r="BA126" s="103" t="s">
        <v>342</v>
      </c>
      <c r="BB126" s="10">
        <v>263936</v>
      </c>
      <c r="BE126" s="70"/>
      <c r="BF126" s="239"/>
    </row>
    <row r="127" spans="51:58" ht="12.75">
      <c r="AY127" s="103" t="s">
        <v>142</v>
      </c>
      <c r="AZ127" s="103" t="s">
        <v>143</v>
      </c>
      <c r="BA127" s="103" t="s">
        <v>342</v>
      </c>
      <c r="BB127" s="10">
        <v>308593</v>
      </c>
      <c r="BF127" s="252"/>
    </row>
    <row r="128" spans="51:58" ht="12.75">
      <c r="AY128" s="103" t="s">
        <v>94</v>
      </c>
      <c r="AZ128" s="103" t="s">
        <v>406</v>
      </c>
      <c r="BA128" s="103" t="s">
        <v>521</v>
      </c>
      <c r="BB128" s="10">
        <v>298190</v>
      </c>
      <c r="BE128" s="250"/>
      <c r="BF128" s="249"/>
    </row>
    <row r="129" spans="51:58" ht="12.75">
      <c r="AY129" s="103" t="s">
        <v>85</v>
      </c>
      <c r="AZ129" s="103" t="s">
        <v>403</v>
      </c>
      <c r="BA129" s="103" t="s">
        <v>342</v>
      </c>
      <c r="BB129" s="10">
        <v>191885</v>
      </c>
      <c r="BE129" s="70"/>
      <c r="BF129" s="249"/>
    </row>
    <row r="130" spans="51:58" ht="12.75">
      <c r="AY130" s="103" t="s">
        <v>233</v>
      </c>
      <c r="AZ130" s="103" t="s">
        <v>449</v>
      </c>
      <c r="BA130" s="103" t="s">
        <v>342</v>
      </c>
      <c r="BB130" s="10">
        <v>268223</v>
      </c>
      <c r="BE130" s="70"/>
      <c r="BF130" s="249"/>
    </row>
    <row r="131" spans="51:58" ht="12.75">
      <c r="AY131" s="103" t="s">
        <v>245</v>
      </c>
      <c r="AZ131" s="103" t="s">
        <v>246</v>
      </c>
      <c r="BA131" s="103" t="s">
        <v>521</v>
      </c>
      <c r="BB131" s="10">
        <v>616983</v>
      </c>
      <c r="BE131" s="247"/>
      <c r="BF131" s="249"/>
    </row>
    <row r="132" spans="51:58" ht="12.75">
      <c r="AY132" s="103" t="s">
        <v>131</v>
      </c>
      <c r="AZ132" s="103" t="s">
        <v>421</v>
      </c>
      <c r="BA132" s="103" t="s">
        <v>342</v>
      </c>
      <c r="BB132" s="10">
        <v>283991</v>
      </c>
      <c r="BE132" s="247"/>
      <c r="BF132" s="249"/>
    </row>
    <row r="133" spans="51:58" ht="12.75">
      <c r="AY133" s="103" t="s">
        <v>216</v>
      </c>
      <c r="AZ133" s="103" t="s">
        <v>217</v>
      </c>
      <c r="BA133" s="103" t="s">
        <v>342</v>
      </c>
      <c r="BB133" s="10">
        <v>1156805</v>
      </c>
      <c r="BE133" s="247"/>
      <c r="BF133" s="251"/>
    </row>
    <row r="134" spans="51:58" ht="12.75">
      <c r="AY134" s="103" t="s">
        <v>156</v>
      </c>
      <c r="AZ134" s="103" t="s">
        <v>428</v>
      </c>
      <c r="BA134" s="103" t="s">
        <v>342</v>
      </c>
      <c r="BB134" s="10">
        <v>390971</v>
      </c>
      <c r="BE134" s="243"/>
      <c r="BF134" s="238"/>
    </row>
    <row r="135" spans="51:58" ht="12.75">
      <c r="AY135" s="103" t="s">
        <v>121</v>
      </c>
      <c r="AZ135" s="103" t="s">
        <v>122</v>
      </c>
      <c r="BA135" s="103" t="s">
        <v>520</v>
      </c>
      <c r="BB135" s="10">
        <v>218182</v>
      </c>
      <c r="BE135" s="250"/>
      <c r="BF135" s="249"/>
    </row>
    <row r="136" spans="51:58" ht="12.75">
      <c r="AY136" s="103" t="s">
        <v>148</v>
      </c>
      <c r="AZ136" s="103" t="s">
        <v>424</v>
      </c>
      <c r="BA136" s="103" t="s">
        <v>521</v>
      </c>
      <c r="BB136" s="10">
        <v>236598</v>
      </c>
      <c r="BE136" s="237"/>
      <c r="BF136" s="238"/>
    </row>
    <row r="137" spans="51:58" ht="12.75">
      <c r="AY137" s="103" t="s">
        <v>160</v>
      </c>
      <c r="AZ137" s="103" t="s">
        <v>430</v>
      </c>
      <c r="BA137" s="103" t="s">
        <v>521</v>
      </c>
      <c r="BB137" s="10">
        <v>165993</v>
      </c>
      <c r="BF137" s="252"/>
    </row>
    <row r="138" spans="51:58" ht="12.75">
      <c r="AY138" s="103" t="s">
        <v>54</v>
      </c>
      <c r="AZ138" s="103" t="s">
        <v>55</v>
      </c>
      <c r="BA138" s="103" t="s">
        <v>342</v>
      </c>
      <c r="BB138" s="10">
        <v>145889</v>
      </c>
      <c r="BE138" s="70"/>
      <c r="BF138" s="239"/>
    </row>
    <row r="139" spans="51:58" ht="12.75">
      <c r="AY139" s="103" t="s">
        <v>75</v>
      </c>
      <c r="AZ139" s="103" t="s">
        <v>397</v>
      </c>
      <c r="BA139" s="103" t="s">
        <v>342</v>
      </c>
      <c r="BB139" s="10">
        <v>267393</v>
      </c>
      <c r="BE139" s="237"/>
      <c r="BF139" s="238"/>
    </row>
    <row r="140" spans="51:58" ht="12.75">
      <c r="AY140" s="103" t="s">
        <v>201</v>
      </c>
      <c r="AZ140" s="103" t="s">
        <v>202</v>
      </c>
      <c r="BA140" s="103" t="s">
        <v>521</v>
      </c>
      <c r="BB140" s="10">
        <v>232551</v>
      </c>
      <c r="BE140" s="70"/>
      <c r="BF140" s="239"/>
    </row>
    <row r="141" spans="51:58" ht="12.75">
      <c r="AY141" s="103" t="s">
        <v>167</v>
      </c>
      <c r="AZ141" s="103" t="s">
        <v>168</v>
      </c>
      <c r="BA141" s="103" t="s">
        <v>521</v>
      </c>
      <c r="BB141" s="10">
        <v>350958</v>
      </c>
      <c r="BE141" s="70"/>
      <c r="BF141" s="239"/>
    </row>
    <row r="142" spans="51:58" ht="12.75">
      <c r="AY142" s="103" t="s">
        <v>153</v>
      </c>
      <c r="AZ142" s="103" t="s">
        <v>154</v>
      </c>
      <c r="BA142" s="103" t="s">
        <v>342</v>
      </c>
      <c r="BB142" s="10">
        <v>265654</v>
      </c>
      <c r="BE142" s="70"/>
      <c r="BF142" s="241"/>
    </row>
    <row r="143" spans="51:58" ht="12.75">
      <c r="AY143" s="103" t="s">
        <v>181</v>
      </c>
      <c r="AZ143" s="103" t="s">
        <v>182</v>
      </c>
      <c r="BA143" s="103" t="s">
        <v>342</v>
      </c>
      <c r="BB143" s="10">
        <v>284466</v>
      </c>
      <c r="BE143" s="70"/>
      <c r="BF143" s="249"/>
    </row>
    <row r="144" spans="51:58" ht="12.75">
      <c r="AY144" s="103" t="s">
        <v>146</v>
      </c>
      <c r="AZ144" s="103" t="s">
        <v>147</v>
      </c>
      <c r="BA144" s="103" t="s">
        <v>342</v>
      </c>
      <c r="BB144" s="10">
        <v>319933</v>
      </c>
      <c r="BE144" s="70"/>
      <c r="BF144" s="241"/>
    </row>
    <row r="145" spans="51:58" ht="12.75">
      <c r="AY145" s="103" t="s">
        <v>111</v>
      </c>
      <c r="AZ145" s="103" t="s">
        <v>112</v>
      </c>
      <c r="BA145" s="103" t="s">
        <v>342</v>
      </c>
      <c r="BB145" s="10">
        <v>192336</v>
      </c>
      <c r="BE145" s="248"/>
      <c r="BF145" s="249"/>
    </row>
    <row r="146" spans="51:58" ht="12.75">
      <c r="AY146" s="103" t="s">
        <v>237</v>
      </c>
      <c r="AZ146" s="103" t="s">
        <v>238</v>
      </c>
      <c r="BA146" s="103" t="s">
        <v>342</v>
      </c>
      <c r="BB146" s="10">
        <v>548313</v>
      </c>
      <c r="BF146" s="252"/>
    </row>
    <row r="147" spans="51:58" ht="12.75">
      <c r="AY147" s="103" t="s">
        <v>247</v>
      </c>
      <c r="AZ147" s="103" t="s">
        <v>248</v>
      </c>
      <c r="BA147" s="103" t="s">
        <v>342</v>
      </c>
      <c r="BB147" s="10">
        <v>287229</v>
      </c>
      <c r="BF147" s="252"/>
    </row>
    <row r="148" spans="51:58" ht="12.75">
      <c r="AY148" s="103" t="s">
        <v>222</v>
      </c>
      <c r="AZ148" s="103" t="s">
        <v>444</v>
      </c>
      <c r="BA148" s="103" t="s">
        <v>521</v>
      </c>
      <c r="BB148" s="10">
        <v>707573</v>
      </c>
      <c r="BF148" s="252"/>
    </row>
    <row r="149" spans="51:58" ht="12.75">
      <c r="AY149" s="103" t="s">
        <v>218</v>
      </c>
      <c r="AZ149" s="103" t="s">
        <v>219</v>
      </c>
      <c r="BA149" s="103" t="s">
        <v>521</v>
      </c>
      <c r="BB149" s="10">
        <v>825533</v>
      </c>
      <c r="BE149" s="248"/>
      <c r="BF149" s="249"/>
    </row>
    <row r="150" spans="51:58" ht="12.75">
      <c r="AY150" s="103" t="s">
        <v>196</v>
      </c>
      <c r="AZ150" s="103" t="s">
        <v>197</v>
      </c>
      <c r="BA150" s="103" t="s">
        <v>342</v>
      </c>
      <c r="BB150" s="10">
        <v>259945</v>
      </c>
      <c r="BF150" s="252"/>
    </row>
    <row r="151" spans="51:58" ht="12.75">
      <c r="AY151" s="103" t="s">
        <v>138</v>
      </c>
      <c r="AZ151" s="103" t="s">
        <v>139</v>
      </c>
      <c r="BA151" s="103" t="s">
        <v>342</v>
      </c>
      <c r="BB151" s="10">
        <v>246573</v>
      </c>
      <c r="BF151" s="252"/>
    </row>
    <row r="152" spans="51:58" ht="12.75">
      <c r="AY152" s="103" t="s">
        <v>266</v>
      </c>
      <c r="AZ152" s="103" t="s">
        <v>267</v>
      </c>
      <c r="BA152" s="103" t="s">
        <v>521</v>
      </c>
      <c r="BB152" s="10">
        <v>462395</v>
      </c>
      <c r="BE152" s="250"/>
      <c r="BF152" s="239"/>
    </row>
    <row r="153" spans="51:58" ht="12.75">
      <c r="AY153" s="103" t="s">
        <v>191</v>
      </c>
      <c r="AZ153" s="103" t="s">
        <v>192</v>
      </c>
      <c r="BA153" s="103" t="s">
        <v>342</v>
      </c>
      <c r="BB153" s="10">
        <v>332176</v>
      </c>
      <c r="BF153" s="252"/>
    </row>
    <row r="154" spans="51:58" ht="12.75">
      <c r="AY154" s="103" t="s">
        <v>161</v>
      </c>
      <c r="AZ154" s="103" t="s">
        <v>431</v>
      </c>
      <c r="BA154" s="103" t="s">
        <v>342</v>
      </c>
      <c r="BB154" s="10">
        <v>246213</v>
      </c>
      <c r="BE154" s="237"/>
      <c r="BF154" s="238"/>
    </row>
    <row r="155" spans="51:58" ht="12.75">
      <c r="AY155" s="103" t="s">
        <v>235</v>
      </c>
      <c r="AZ155" s="103" t="s">
        <v>236</v>
      </c>
      <c r="BA155" s="103" t="s">
        <v>521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536</v>
      </c>
      <c r="B3" s="56" t="s">
        <v>459</v>
      </c>
      <c r="C3" s="56" t="s">
        <v>24</v>
      </c>
    </row>
    <row r="4" spans="1:2" ht="12.75">
      <c r="A4" s="76">
        <v>1</v>
      </c>
      <c r="B4" s="78" t="s">
        <v>269</v>
      </c>
    </row>
    <row r="5" ht="12.75">
      <c r="A5" s="280" t="s">
        <v>536</v>
      </c>
    </row>
    <row r="6" ht="12.75">
      <c r="A6" s="280" t="s">
        <v>549</v>
      </c>
    </row>
    <row r="7" ht="12.75">
      <c r="A7" s="280" t="s">
        <v>555</v>
      </c>
    </row>
    <row r="8" ht="12.75">
      <c r="A8" s="280" t="s">
        <v>557</v>
      </c>
    </row>
    <row r="9" ht="12.75">
      <c r="A9" s="280" t="s">
        <v>533</v>
      </c>
    </row>
    <row r="10" ht="12.75">
      <c r="A10" s="280" t="s">
        <v>573</v>
      </c>
    </row>
    <row r="11" ht="12.75">
      <c r="A11" s="280" t="s">
        <v>561</v>
      </c>
    </row>
    <row r="12" ht="12.75">
      <c r="A12" s="280" t="s">
        <v>548</v>
      </c>
    </row>
    <row r="13" ht="12.75">
      <c r="A13" s="280" t="s">
        <v>575</v>
      </c>
    </row>
    <row r="14" ht="12.75">
      <c r="A14" s="280" t="s">
        <v>568</v>
      </c>
    </row>
    <row r="15" ht="12.75">
      <c r="A15" s="280" t="s">
        <v>563</v>
      </c>
    </row>
    <row r="16" ht="12.75">
      <c r="A16" s="280" t="s">
        <v>558</v>
      </c>
    </row>
    <row r="17" ht="12.75">
      <c r="A17" s="280" t="s">
        <v>593</v>
      </c>
    </row>
    <row r="18" ht="12.75">
      <c r="A18" s="280" t="s">
        <v>592</v>
      </c>
    </row>
    <row r="19" ht="12.75">
      <c r="A19" s="280" t="s">
        <v>528</v>
      </c>
    </row>
    <row r="20" ht="12.75">
      <c r="A20" s="280" t="s">
        <v>541</v>
      </c>
    </row>
    <row r="21" ht="12.75">
      <c r="A21" s="280" t="s">
        <v>551</v>
      </c>
    </row>
    <row r="22" ht="12.75">
      <c r="A22" s="280" t="s">
        <v>574</v>
      </c>
    </row>
    <row r="23" ht="12.75">
      <c r="A23" s="280" t="s">
        <v>562</v>
      </c>
    </row>
    <row r="24" ht="12.75">
      <c r="A24" s="280" t="s">
        <v>580</v>
      </c>
    </row>
    <row r="25" ht="12.75">
      <c r="A25" s="280" t="s">
        <v>538</v>
      </c>
    </row>
    <row r="26" ht="12.75">
      <c r="A26" s="280" t="s">
        <v>581</v>
      </c>
    </row>
    <row r="27" ht="12.75">
      <c r="A27" s="280" t="s">
        <v>567</v>
      </c>
    </row>
    <row r="28" ht="12.75">
      <c r="A28" s="280" t="s">
        <v>544</v>
      </c>
    </row>
    <row r="29" ht="12.75">
      <c r="A29" s="280" t="s">
        <v>542</v>
      </c>
    </row>
    <row r="30" ht="12.75">
      <c r="A30" s="280" t="s">
        <v>525</v>
      </c>
    </row>
    <row r="31" ht="12.75">
      <c r="A31" s="280" t="s">
        <v>553</v>
      </c>
    </row>
    <row r="32" ht="12.75">
      <c r="A32" s="280" t="s">
        <v>559</v>
      </c>
    </row>
    <row r="33" ht="12.75">
      <c r="A33" s="280" t="s">
        <v>570</v>
      </c>
    </row>
    <row r="34" ht="12.75">
      <c r="A34" s="280" t="s">
        <v>543</v>
      </c>
    </row>
    <row r="35" ht="12.75">
      <c r="A35" s="280" t="s">
        <v>531</v>
      </c>
    </row>
    <row r="36" ht="12.75">
      <c r="A36" s="280" t="s">
        <v>537</v>
      </c>
    </row>
    <row r="37" ht="12.75">
      <c r="A37" s="280" t="s">
        <v>527</v>
      </c>
    </row>
    <row r="38" ht="12.75">
      <c r="A38" s="280" t="s">
        <v>576</v>
      </c>
    </row>
    <row r="39" ht="12.75">
      <c r="A39" s="280" t="s">
        <v>564</v>
      </c>
    </row>
    <row r="40" ht="12.75">
      <c r="A40" s="280" t="s">
        <v>545</v>
      </c>
    </row>
    <row r="41" ht="12.75">
      <c r="A41" s="280" t="s">
        <v>554</v>
      </c>
    </row>
    <row r="42" ht="12.75">
      <c r="A42" s="280" t="s">
        <v>571</v>
      </c>
    </row>
    <row r="43" ht="12.75">
      <c r="A43" s="280" t="s">
        <v>539</v>
      </c>
    </row>
    <row r="44" ht="12.75">
      <c r="A44" s="280" t="s">
        <v>546</v>
      </c>
    </row>
    <row r="45" ht="12.75">
      <c r="A45" s="280" t="s">
        <v>556</v>
      </c>
    </row>
    <row r="46" ht="12.75">
      <c r="A46" s="280" t="s">
        <v>526</v>
      </c>
    </row>
    <row r="47" ht="12.75">
      <c r="A47" s="280" t="s">
        <v>530</v>
      </c>
    </row>
    <row r="48" ht="12.75">
      <c r="A48" s="280" t="s">
        <v>552</v>
      </c>
    </row>
    <row r="49" ht="12.75">
      <c r="A49" s="280" t="s">
        <v>569</v>
      </c>
    </row>
    <row r="50" ht="12.75">
      <c r="A50" s="280" t="s">
        <v>566</v>
      </c>
    </row>
    <row r="51" ht="12.75">
      <c r="A51" s="280" t="s">
        <v>565</v>
      </c>
    </row>
    <row r="52" ht="12.75">
      <c r="A52" s="280" t="s">
        <v>572</v>
      </c>
    </row>
    <row r="53" ht="12.75">
      <c r="A53" s="280" t="s">
        <v>579</v>
      </c>
    </row>
    <row r="54" ht="12.75">
      <c r="A54" s="280" t="s">
        <v>550</v>
      </c>
    </row>
    <row r="55" ht="12.75">
      <c r="A55" s="280" t="s">
        <v>577</v>
      </c>
    </row>
    <row r="56" ht="12.75">
      <c r="A56" s="280" t="s">
        <v>540</v>
      </c>
    </row>
    <row r="57" ht="12.75">
      <c r="A57" s="280" t="s">
        <v>535</v>
      </c>
    </row>
    <row r="58" ht="12.75">
      <c r="A58" s="280" t="s">
        <v>578</v>
      </c>
    </row>
    <row r="59" ht="12.75">
      <c r="A59" s="280" t="s">
        <v>560</v>
      </c>
    </row>
    <row r="60" ht="12.75">
      <c r="A60" s="280" t="s">
        <v>529</v>
      </c>
    </row>
    <row r="61" ht="12.75">
      <c r="A61" s="280" t="s">
        <v>534</v>
      </c>
    </row>
    <row r="62" ht="12.75">
      <c r="A62" s="280" t="s">
        <v>547</v>
      </c>
    </row>
    <row r="63" ht="12.75">
      <c r="A63" s="280" t="s">
        <v>532</v>
      </c>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