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<sst xmlns="http://schemas.openxmlformats.org/spreadsheetml/2006/main" count="2201" uniqueCount="685">
  <si>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</si>
  <si>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</si>
  <si>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</si>
  <si>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</si>
  <si>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</si>
  <si>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</si>
  <si>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</si>
  <si>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</si>
  <si>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</si>
  <si>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</si>
  <si>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</si>
  <si>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</si>
  <si>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</si>
  <si>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</si>
  <si>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</si>
  <si>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</si>
  <si>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</si>
  <si>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</si>
  <si>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</si>
  <si>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</si>
  <si>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</si>
  <si>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</si>
  <si>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</si>
  <si>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</si>
  <si>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</si>
  <si>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</si>
  <si>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</si>
  <si>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</si>
  <si>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</si>
  <si>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</si>
  <si>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</si>
  <si>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</si>
  <si>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</si>
  <si>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</si>
  <si>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</si>
  <si>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</si>
  <si>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</si>
  <si>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</si>
  <si>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</si>
  <si>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</si>
  <si>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</si>
  <si>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</si>
  <si>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</si>
  <si>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</si>
  <si>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</si>
  <si>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</si>
  <si>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</si>
  <si>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</si>
  <si>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</si>
  <si>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</si>
  <si>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</si>
  <si>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</si>
  <si>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</si>
  <si>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</si>
  <si>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</si>
  <si>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</si>
  <si>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</si>
  <si>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</si>
  <si>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</si>
  <si>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</si>
  <si>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</si>
  <si>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</si>
  <si>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</si>
  <si>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</si>
  <si>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</si>
  <si>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</si>
  <si>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</si>
  <si>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</si>
  <si>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</si>
  <si>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</si>
  <si>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</si>
  <si>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</si>
  <si>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</si>
  <si>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</si>
  <si>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</si>
  <si>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</si>
  <si>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</si>
  <si>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</si>
  <si>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</si>
  <si>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</si>
  <si>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</si>
  <si>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</si>
  <si>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</si>
  <si>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</si>
  <si>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</si>
  <si>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</si>
  <si>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</si>
  <si>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</si>
  <si>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</si>
  <si>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</si>
  <si>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</si>
  <si>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</si>
  <si>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</si>
  <si>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</si>
  <si>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</si>
  <si>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</si>
  <si>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</si>
  <si>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</si>
  <si>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</si>
  <si>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</si>
  <si>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</si>
  <si>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</si>
  <si>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</si>
  <si>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</si>
  <si>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</si>
  <si>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</si>
  <si>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</si>
  <si>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</si>
  <si>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</si>
  <si>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</si>
  <si>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</si>
  <si>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</si>
  <si>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</si>
  <si>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</si>
  <si>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</si>
  <si>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</si>
  <si>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</si>
  <si>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</si>
  <si>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</si>
  <si>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</si>
  <si>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</si>
  <si>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</si>
  <si>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</si>
  <si>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</si>
  <si>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</si>
  <si>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</si>
  <si>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</si>
  <si>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</si>
  <si>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</si>
  <si>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</si>
  <si>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</si>
  <si>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</si>
  <si>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</si>
  <si>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</si>
  <si>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</si>
  <si>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</si>
  <si>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</si>
  <si>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</si>
  <si>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</si>
  <si>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</si>
  <si>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</si>
  <si>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</si>
  <si>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</si>
  <si>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</si>
  <si>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</si>
  <si>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</si>
  <si>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</si>
  <si>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</si>
  <si>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</si>
  <si>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</si>
  <si>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</si>
  <si>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</si>
  <si>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</si>
  <si>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</si>
  <si>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</si>
  <si>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</si>
  <si>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</si>
  <si>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</si>
  <si>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</si>
  <si>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</si>
  <si>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</si>
  <si>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</si>
  <si>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</si>
  <si>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</si>
  <si>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</si>
  <si>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</si>
  <si>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</si>
  <si>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</si>
  <si>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</si>
  <si>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</si>
  <si>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</si>
  <si>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</si>
  <si>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</si>
  <si>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</si>
  <si>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</si>
  <si>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</si>
  <si>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</si>
  <si>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</si>
  <si>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</si>
  <si>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</si>
  <si>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</si>
  <si>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</si>
  <si>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</si>
  <si>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</si>
  <si>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</si>
  <si>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</si>
  <si>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</si>
  <si>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</si>
  <si>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</si>
  <si>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</si>
  <si>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</si>
  <si>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</si>
  <si>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</si>
  <si>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</si>
  <si>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</si>
  <si>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</si>
  <si>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</si>
  <si>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</si>
  <si>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</si>
  <si>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</si>
  <si>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</si>
  <si>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</si>
  <si>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</si>
  <si>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</si>
  <si>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</si>
  <si>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</si>
  <si>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</si>
  <si>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</si>
  <si>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</si>
  <si>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</si>
  <si>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</si>
  <si>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</si>
  <si>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</si>
  <si>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</si>
  <si>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</si>
  <si>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</si>
  <si>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</si>
  <si>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</si>
  <si>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</si>
  <si>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</si>
  <si>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</si>
  <si>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</si>
  <si>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</si>
  <si>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</si>
  <si>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</si>
  <si>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</si>
  <si>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</si>
  <si>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</si>
  <si>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</si>
  <si>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</si>
  <si>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</si>
  <si>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</si>
  <si>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</si>
  <si>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</si>
  <si>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</si>
  <si>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</si>
  <si>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</si>
  <si>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</si>
  <si>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</si>
  <si>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</si>
  <si>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</si>
  <si>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</si>
  <si>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</si>
  <si>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</si>
  <si>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</si>
  <si>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</si>
  <si>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</si>
  <si>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</si>
  <si>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</si>
  <si>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</si>
  <si>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</si>
  <si>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</si>
  <si>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</si>
  <si>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</si>
  <si>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</si>
  <si>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</si>
  <si>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</si>
  <si>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</si>
  <si>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</si>
  <si>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</si>
  <si>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</si>
  <si>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</si>
  <si>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</si>
  <si>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</si>
  <si>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</si>
  <si>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</si>
  <si>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</si>
  <si>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</si>
  <si>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</si>
  <si>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</si>
  <si>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</si>
  <si>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</si>
  <si>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</si>
  <si>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</si>
  <si>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</si>
  <si>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</si>
  <si>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</si>
  <si>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</si>
  <si>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</si>
  <si>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</si>
  <si>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</si>
  <si>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</si>
  <si>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L83002</t>
  </si>
  <si>
    <t>L83003</t>
  </si>
  <si>
    <t>L83004</t>
  </si>
  <si>
    <t>L83005</t>
  </si>
  <si>
    <t>L83007</t>
  </si>
  <si>
    <t>L83009</t>
  </si>
  <si>
    <t>L83010</t>
  </si>
  <si>
    <t>L83011</t>
  </si>
  <si>
    <t>L83012</t>
  </si>
  <si>
    <t>L83016</t>
  </si>
  <si>
    <t>L83017</t>
  </si>
  <si>
    <t>L83020</t>
  </si>
  <si>
    <t>L83022</t>
  </si>
  <si>
    <t>L83023</t>
  </si>
  <si>
    <t>L83024</t>
  </si>
  <si>
    <t>L83025</t>
  </si>
  <si>
    <t>L83026</t>
  </si>
  <si>
    <t>L83031</t>
  </si>
  <si>
    <t>L83033</t>
  </si>
  <si>
    <t>L83034</t>
  </si>
  <si>
    <t>L83035</t>
  </si>
  <si>
    <t>L83036</t>
  </si>
  <si>
    <t>L83038</t>
  </si>
  <si>
    <t>L83040</t>
  </si>
  <si>
    <t>L83041</t>
  </si>
  <si>
    <t>L83042</t>
  </si>
  <si>
    <t>L83043</t>
  </si>
  <si>
    <t>L83044</t>
  </si>
  <si>
    <t>L83045</t>
  </si>
  <si>
    <t>L83046</t>
  </si>
  <si>
    <t>L83047</t>
  </si>
  <si>
    <t>L83049</t>
  </si>
  <si>
    <t>L83050</t>
  </si>
  <si>
    <t>L83051</t>
  </si>
  <si>
    <t>L83052</t>
  </si>
  <si>
    <t>L83053</t>
  </si>
  <si>
    <t>L83054</t>
  </si>
  <si>
    <t>L83056</t>
  </si>
  <si>
    <t>L83057</t>
  </si>
  <si>
    <t>L83058</t>
  </si>
  <si>
    <t>L83059</t>
  </si>
  <si>
    <t>L83065</t>
  </si>
  <si>
    <t>L83066</t>
  </si>
  <si>
    <t>L83067</t>
  </si>
  <si>
    <t>L83068</t>
  </si>
  <si>
    <t>L83069</t>
  </si>
  <si>
    <t>L83070</t>
  </si>
  <si>
    <t>L83073</t>
  </si>
  <si>
    <t>L83075</t>
  </si>
  <si>
    <t>L83077</t>
  </si>
  <si>
    <t>L83079</t>
  </si>
  <si>
    <t>L83081</t>
  </si>
  <si>
    <t>L83082</t>
  </si>
  <si>
    <t>L83083</t>
  </si>
  <si>
    <t>L83084</t>
  </si>
  <si>
    <t>L83085</t>
  </si>
  <si>
    <t>L83086</t>
  </si>
  <si>
    <t>L83087</t>
  </si>
  <si>
    <t>L83088</t>
  </si>
  <si>
    <t>L83092</t>
  </si>
  <si>
    <t>L83094</t>
  </si>
  <si>
    <t>L83095</t>
  </si>
  <si>
    <t>L83096</t>
  </si>
  <si>
    <t>L83097</t>
  </si>
  <si>
    <t>L83098</t>
  </si>
  <si>
    <t>L83099</t>
  </si>
  <si>
    <t>L83100</t>
  </si>
  <si>
    <t>L83102</t>
  </si>
  <si>
    <t>L83105</t>
  </si>
  <si>
    <t>L83106</t>
  </si>
  <si>
    <t>L83115</t>
  </si>
  <si>
    <t>L83116</t>
  </si>
  <si>
    <t>L83120</t>
  </si>
  <si>
    <t>L83121</t>
  </si>
  <si>
    <t>L83127</t>
  </si>
  <si>
    <t>L83128</t>
  </si>
  <si>
    <t>L83129</t>
  </si>
  <si>
    <t>L83134</t>
  </si>
  <si>
    <t>L83136</t>
  </si>
  <si>
    <t>L83137</t>
  </si>
  <si>
    <t>L83139</t>
  </si>
  <si>
    <t>L83143</t>
  </si>
  <si>
    <t>L83145</t>
  </si>
  <si>
    <t>L83146</t>
  </si>
  <si>
    <t>L83148</t>
  </si>
  <si>
    <t>L83608</t>
  </si>
  <si>
    <t>L83613</t>
  </si>
  <si>
    <t>L83616</t>
  </si>
  <si>
    <t>L83627</t>
  </si>
  <si>
    <t>L83628</t>
  </si>
  <si>
    <t>L83633</t>
  </si>
  <si>
    <t>L83639</t>
  </si>
  <si>
    <t>L83644</t>
  </si>
  <si>
    <t>L83647</t>
  </si>
  <si>
    <t>L83655</t>
  </si>
  <si>
    <t>L83657</t>
  </si>
  <si>
    <t>L83661</t>
  </si>
  <si>
    <t>L83663</t>
  </si>
  <si>
    <t>L83666</t>
  </si>
  <si>
    <t>5CC</t>
  </si>
  <si>
    <t>Y00304</t>
  </si>
  <si>
    <t>Y00568</t>
  </si>
  <si>
    <t>Y02121</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</si>
  <si>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</si>
  <si>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</si>
  <si>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</si>
  <si>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</si>
  <si>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</si>
  <si>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</si>
  <si>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</si>
  <si>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</si>
  <si>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</si>
  <si>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</si>
  <si>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</si>
  <si>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</si>
  <si>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</si>
  <si>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</si>
  <si>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</si>
  <si>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</si>
  <si>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</si>
  <si>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</si>
  <si>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</si>
  <si>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</si>
  <si>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</si>
  <si>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</si>
  <si>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</si>
  <si>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</si>
  <si>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</si>
  <si>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</si>
  <si>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</si>
  <si>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</si>
  <si>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</si>
  <si>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</si>
  <si>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</si>
  <si>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</si>
  <si>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</si>
  <si>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</si>
  <si>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</si>
  <si>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</si>
  <si>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</si>
  <si>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</si>
  <si>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</si>
  <si>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</si>
  <si>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</si>
  <si>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</si>
  <si>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</si>
  <si>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</si>
  <si>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</si>
  <si>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</si>
  <si>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</si>
  <si>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</si>
  <si>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</si>
  <si>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</si>
  <si>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</si>
  <si>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</si>
  <si>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</si>
  <si>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</si>
  <si>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</si>
  <si>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</si>
  <si>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</si>
  <si>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</si>
  <si>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</si>
  <si>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</si>
  <si>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</si>
  <si>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</si>
  <si>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</si>
  <si>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</si>
  <si>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</si>
  <si>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</si>
  <si>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</si>
  <si>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</si>
  <si>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</si>
  <si>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</si>
  <si>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</si>
  <si>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</si>
  <si>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</si>
  <si>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</si>
  <si>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</si>
  <si>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</si>
  <si>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</si>
  <si>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</si>
  <si>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</si>
  <si>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</si>
  <si>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</si>
  <si>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</si>
  <si>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</si>
  <si>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</si>
  <si>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</si>
  <si>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</si>
  <si>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</si>
  <si>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</si>
  <si>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</si>
  <si>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</si>
  <si>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</si>
  <si>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</si>
  <si>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</si>
  <si>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</si>
  <si>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</si>
  <si>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</si>
  <si>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</si>
  <si>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</si>
  <si>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</si>
  <si>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</si>
  <si>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</si>
  <si>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</si>
  <si>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</si>
  <si>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</si>
  <si>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</si>
  <si>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</si>
  <si>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</si>
  <si>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</si>
  <si>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</si>
  <si>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</si>
  <si>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</si>
  <si>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</si>
  <si>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</si>
  <si>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</si>
  <si>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</si>
  <si>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</si>
  <si>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</si>
  <si>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</si>
  <si>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</si>
  <si>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</si>
  <si>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</si>
  <si>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</si>
  <si>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</si>
  <si>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</si>
  <si>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</si>
  <si>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</si>
  <si>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</si>
  <si>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</si>
  <si>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</si>
  <si>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</si>
  <si>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</si>
  <si>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</si>
  <si>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</si>
  <si>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</si>
  <si>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</si>
  <si>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</si>
  <si>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</si>
  <si>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</si>
  <si>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</si>
  <si>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</si>
  <si>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</si>
  <si>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</si>
  <si>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</si>
  <si>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</si>
  <si>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</si>
  <si>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</si>
  <si>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</si>
  <si>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</si>
  <si>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</si>
  <si>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</si>
  <si>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</si>
  <si>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</si>
  <si>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</si>
  <si>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</si>
  <si>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</si>
  <si>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</si>
  <si>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</si>
  <si>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</si>
  <si>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</si>
  <si>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</si>
  <si>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</si>
  <si>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</si>
  <si>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</si>
  <si>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</si>
  <si>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</si>
  <si>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</si>
  <si>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</si>
  <si>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</si>
  <si>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</si>
  <si>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</si>
  <si>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</si>
  <si>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</si>
  <si>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</si>
  <si>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</si>
  <si>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</si>
  <si>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</si>
  <si>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</si>
  <si>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</si>
  <si>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</si>
  <si>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</si>
  <si>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</si>
  <si>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Y02633</t>
  </si>
  <si>
    <t>2010/11</t>
  </si>
  <si>
    <t>2008/09-2010/11</t>
  </si>
  <si>
    <t>2005/06-2010/11</t>
  </si>
  <si>
    <t>(L83002) HONITON SURGERY - BARBER</t>
  </si>
  <si>
    <t>(L83003) QUEEN'S MEDICAL CENTRE</t>
  </si>
  <si>
    <t>(L83004) KINGSTEIGNTON MEDICAL PRACTICE</t>
  </si>
  <si>
    <t>(L83005) BARTON SURGERY</t>
  </si>
  <si>
    <t>(L83009) BAMPTON SURGERY</t>
  </si>
  <si>
    <t>(L83010) ASHBURTON SURGERY</t>
  </si>
  <si>
    <t>(L83011) BUDLEIGH SALTERTON MEDICAL PRACTICE</t>
  </si>
  <si>
    <t>(L83012) BRADWORTHY SURGERY</t>
  </si>
  <si>
    <t>(L83016) ST. THOMAS MEDICAL GROUP</t>
  </si>
  <si>
    <t>(L83017) WATERSIDE PRACTICE</t>
  </si>
  <si>
    <t>(L83020) AXMINSTER MEDICAL PRACTICE</t>
  </si>
  <si>
    <t>(L83022) DEN CRESCENT SURGERY</t>
  </si>
  <si>
    <t>(L83023) MID DEVON MEDICAL PRACTICE</t>
  </si>
  <si>
    <t>(L83024) BARNFIELD HILL SURGERY</t>
  </si>
  <si>
    <t>(L83025) WALLINGBROOK HEALTH CENTRE</t>
  </si>
  <si>
    <t>(L83026) TORRINGTON HEALTH CENTRE</t>
  </si>
  <si>
    <t>(L83033) MOUNT PLEASANT HEALTH CENTRE - HELLIAR</t>
  </si>
  <si>
    <t>(L83034) ALBANY SURGERY</t>
  </si>
  <si>
    <t>(L83035) LITCHDON MEDICAL CENTRE</t>
  </si>
  <si>
    <t>(L83036) TOPSHAM SURGERY</t>
  </si>
  <si>
    <t>(L83038) TAVYSIDE HEALTH CENTRE</t>
  </si>
  <si>
    <t>(L83040) PINHOE SURGERY</t>
  </si>
  <si>
    <t>(L83041) WESTBANK PRACTICE</t>
  </si>
  <si>
    <t>(L83042) ST. LEONARD'S MEDICAL PRACTICE</t>
  </si>
  <si>
    <t>(L83043) LEATSIDE SURGERY</t>
  </si>
  <si>
    <t>(L83044) BLACKDOWN PRACTICE</t>
  </si>
  <si>
    <t>(L83046) DEVON SQUARE SURGERY</t>
  </si>
  <si>
    <t>(L83047) EAST STREET SURGERY</t>
  </si>
  <si>
    <t>(L83049) MORETONHAMPSTEAD HEALTH CENTRE</t>
  </si>
  <si>
    <t>(L83050) NORTHAM SURGERY</t>
  </si>
  <si>
    <t>(L83051) CRICKETFIELD SURGERY</t>
  </si>
  <si>
    <t>(L83052) CASTLE PLACE PRACTICE</t>
  </si>
  <si>
    <t>(L83053) ROLLE MEDICAL PARTNERSHIP</t>
  </si>
  <si>
    <t>(L83054) TOWNSEND HOUSE MEDICAL CENTRE</t>
  </si>
  <si>
    <t>(L83056) CLAREMONT MEDICAL PRACTICE</t>
  </si>
  <si>
    <t>(L83057) FREMINGTON MEDICAL CENTRE</t>
  </si>
  <si>
    <t>(L83058) SOUTHERNHAY HOUSE SURGERY</t>
  </si>
  <si>
    <t>(L83059) NORTON BROOK MEDICAL CENTRE</t>
  </si>
  <si>
    <t>(L83065) CHIDDENBROOK SURGERY</t>
  </si>
  <si>
    <t>(L83067) SID VALLEY PRACTICE</t>
  </si>
  <si>
    <t>(L83068) LYNTON HEALTH CENTRE</t>
  </si>
  <si>
    <t>(L83069) HOLSWORTHY MEDICAL CENTRE</t>
  </si>
  <si>
    <t>(L83070) BUCKFASTLEIGH MEDICAL CENTRE</t>
  </si>
  <si>
    <t>(L83073) BRANNAMS MEDICAL CENTRE</t>
  </si>
  <si>
    <t>(L83075) SOUTH BRENT HEALTH CENTRE</t>
  </si>
  <si>
    <t>(L83077) HEAVITREE PRACTICE</t>
  </si>
  <si>
    <t>(L83079) IDE LANE SURGERY</t>
  </si>
  <si>
    <t>(L83081) YEALM MEDICAL CENTRE</t>
  </si>
  <si>
    <t>(L83082) CHAGFORD HEALTH CENTRE</t>
  </si>
  <si>
    <t>(L83083) BIDEFORD MEDICAL CENTRE</t>
  </si>
  <si>
    <t>(L83084) SOUTH LAWN MEDICAL PRACTICE</t>
  </si>
  <si>
    <t>(L83085) CLARE HOUSE</t>
  </si>
  <si>
    <t>(L83086) MODBURY HEALTH CENTRE</t>
  </si>
  <si>
    <t>(L83087) OKEHAMPTON MEDICAL CENTRE</t>
  </si>
  <si>
    <t>(L83088) REDFERN HEALTH CENTRE</t>
  </si>
  <si>
    <t>(L83092) COLLEGE SURGERY PARTNERSHIP</t>
  </si>
  <si>
    <t>(L83094) DARTMOUTH MEDICAL PRACTICE</t>
  </si>
  <si>
    <t>(L83095) COLERIDGE MEDICAL CENTRE</t>
  </si>
  <si>
    <t>(L83096) WARWICK PRACTICE</t>
  </si>
  <si>
    <t>(L83097) CAEN MEDICAL CENTRE</t>
  </si>
  <si>
    <t>(L83098) CHERITON BISHOP SURGERY</t>
  </si>
  <si>
    <t>(L83099) ISCA MEDICAL PRACTICE</t>
  </si>
  <si>
    <t>(L83100) IVYBRIDGE HEALTH CENTRE</t>
  </si>
  <si>
    <t>(L83102) YELVERTON SURGERY</t>
  </si>
  <si>
    <t>(L83105) CASTLE GARDENS SURGERY</t>
  </si>
  <si>
    <t>(L83106) WOODA SURGERY</t>
  </si>
  <si>
    <t>(L83115) WHIPTON SURGERY</t>
  </si>
  <si>
    <t>(L83116) WOODBURY SURGERY</t>
  </si>
  <si>
    <t>(L83120) CHANNEL VIEW SURGERY</t>
  </si>
  <si>
    <t>(L83121) SHEBBEAR SURGERY</t>
  </si>
  <si>
    <t>(L83127) NEWCOMBES SURGERY</t>
  </si>
  <si>
    <t>(L83128) BRAMBLEHAIES SURGERY</t>
  </si>
  <si>
    <t>(L83129) HARTLAND SURGERY</t>
  </si>
  <si>
    <t>(L83134) WYNDHAM HOUSE SURGERY</t>
  </si>
  <si>
    <t>(L83136) HALDON HOUSE SURGERY</t>
  </si>
  <si>
    <t>(L83137) SOUTH MOLTON HEALTH CENTRE</t>
  </si>
  <si>
    <t>(L83139) BOUTPORT MEDICAL CENTRE</t>
  </si>
  <si>
    <t>(L83143) HILL BARTON SURGERY</t>
  </si>
  <si>
    <t>(L83145) RICHMOND HOUSE SURGERY</t>
  </si>
  <si>
    <t>(L83146) CATHERINE HOUSE SURGERY</t>
  </si>
  <si>
    <t>(L83148) CHILLINGTON HEALTH CENTRE</t>
  </si>
  <si>
    <t>(L83608) LIFTON SURGERY</t>
  </si>
  <si>
    <t>(L83613) EXE VALLEY PRACTICE</t>
  </si>
  <si>
    <t>(L83616) SAMPFORD PEVERELL SURGERY</t>
  </si>
  <si>
    <t>(L83627) RALEIGH SURGERY</t>
  </si>
  <si>
    <t>(L83628) IMPERIAL SURGERY</t>
  </si>
  <si>
    <t>(L83633) NORTH TAWTON MEDICAL PRACTICE</t>
  </si>
  <si>
    <t>(L83639) WEMBURY SURGERY</t>
  </si>
  <si>
    <t>(L83644) HIGHLANDS HEALTH CENTRE</t>
  </si>
  <si>
    <t>(L83647) HATHERLEIGH MEDICAL CENTRE</t>
  </si>
  <si>
    <t>(L83655) WONFORD GREEN SURGERY</t>
  </si>
  <si>
    <t>(L83657) GLENDEVON MEDICAL CENTRE</t>
  </si>
  <si>
    <t>(L83661) CHAPEL PLATT SURGERY</t>
  </si>
  <si>
    <t>(L83663) BLACK TORRINGTON SURGERY</t>
  </si>
  <si>
    <t>(L83666) BUCKLAND SURGERY</t>
  </si>
  <si>
    <t>(Y00304) OKEMENT PRIMARY CARE CENTRE</t>
  </si>
  <si>
    <t>(Y00568) FOXHAYES PRACTICE</t>
  </si>
  <si>
    <t>(Y02121) HONITON SURGERY - SEAMARK</t>
  </si>
  <si>
    <t>(Y02633) BOW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</si>
  <si>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</si>
  <si>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</si>
  <si>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</si>
  <si>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</si>
  <si>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</si>
  <si>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</si>
  <si>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</si>
  <si>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</si>
  <si>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</si>
  <si>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</si>
  <si>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(L83007) SEATON + COLYTON MEDICAL PRACTICE</t>
  </si>
  <si>
    <t>(L83031) KINGSKERSWELL + IPPLEPEN MEDICAL PRACTICE</t>
  </si>
  <si>
    <t>(L83045) BOVEY TRACEY + CHUDLEIGH PRACTICE</t>
  </si>
  <si>
    <t>(L83066) DR RUSSELL + PARTNERS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</si>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</sst>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0.8187937897233978</c:v>
                </c:pt>
                <c:pt idx="8">
                  <c:v>0.7143896994075709</c:v>
                </c:pt>
                <c:pt idx="9">
                  <c:v>0.9225627291055235</c:v>
                </c:pt>
                <c:pt idx="10">
                  <c:v>0.8944122545277913</c:v>
                </c:pt>
                <c:pt idx="11">
                  <c:v>0.7212083844728188</c:v>
                </c:pt>
                <c:pt idx="12">
                  <c:v>1</c:v>
                </c:pt>
                <c:pt idx="13">
                  <c:v>0</c:v>
                </c:pt>
                <c:pt idx="14">
                  <c:v>1</c:v>
                </c:pt>
                <c:pt idx="15">
                  <c:v>0.7979934786380375</c:v>
                </c:pt>
                <c:pt idx="16">
                  <c:v>1</c:v>
                </c:pt>
                <c:pt idx="17">
                  <c:v>1</c:v>
                </c:pt>
                <c:pt idx="18">
                  <c:v>1</c:v>
                </c:pt>
                <c:pt idx="19">
                  <c:v>1</c:v>
                </c:pt>
                <c:pt idx="20">
                  <c:v>1</c:v>
                </c:pt>
                <c:pt idx="21">
                  <c:v>1</c:v>
                </c:pt>
                <c:pt idx="22">
                  <c:v>0.8988255089108446</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0.5767913808089421</c:v>
                </c:pt>
                <c:pt idx="3">
                  <c:v>0.5555555417581847</c:v>
                </c:pt>
                <c:pt idx="4">
                  <c:v>0.5868947479938442</c:v>
                </c:pt>
                <c:pt idx="5">
                  <c:v>0.5907890093054415</c:v>
                </c:pt>
                <c:pt idx="6">
                  <c:v>0.5750000139698389</c:v>
                </c:pt>
                <c:pt idx="7">
                  <c:v>0.6272483711680635</c:v>
                </c:pt>
                <c:pt idx="8">
                  <c:v>0.5905772833655433</c:v>
                </c:pt>
                <c:pt idx="9">
                  <c:v>0.5905626213843439</c:v>
                </c:pt>
                <c:pt idx="10">
                  <c:v>0.5964134746605603</c:v>
                </c:pt>
                <c:pt idx="11">
                  <c:v>0.5730745389564043</c:v>
                </c:pt>
                <c:pt idx="12">
                  <c:v>0.6777679166565036</c:v>
                </c:pt>
                <c:pt idx="13">
                  <c:v>0</c:v>
                </c:pt>
                <c:pt idx="14">
                  <c:v>0.5385389461668793</c:v>
                </c:pt>
                <c:pt idx="15">
                  <c:v>0.5772128922242392</c:v>
                </c:pt>
                <c:pt idx="16">
                  <c:v>0.6439030754368745</c:v>
                </c:pt>
                <c:pt idx="17">
                  <c:v>0.6012105901794005</c:v>
                </c:pt>
                <c:pt idx="18">
                  <c:v>0.5664835783187118</c:v>
                </c:pt>
                <c:pt idx="19">
                  <c:v>0.6322864039214522</c:v>
                </c:pt>
                <c:pt idx="20">
                  <c:v>0.5909365211666482</c:v>
                </c:pt>
                <c:pt idx="21">
                  <c:v>0.6149170164168167</c:v>
                </c:pt>
                <c:pt idx="22">
                  <c:v>0.5804564336607628</c:v>
                </c:pt>
                <c:pt idx="23">
                  <c:v>0.5940334108098201</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0.4352997213510859</c:v>
                </c:pt>
                <c:pt idx="3">
                  <c:v>0.3888889164836307</c:v>
                </c:pt>
                <c:pt idx="4">
                  <c:v>0.42223424706801777</c:v>
                </c:pt>
                <c:pt idx="5">
                  <c:v>0.3902413986181033</c:v>
                </c:pt>
                <c:pt idx="6">
                  <c:v>0.40000002793967787</c:v>
                </c:pt>
                <c:pt idx="7">
                  <c:v>0.41834715884039647</c:v>
                </c:pt>
                <c:pt idx="8">
                  <c:v>0.4168832719930353</c:v>
                </c:pt>
                <c:pt idx="9">
                  <c:v>0.3974578857711939</c:v>
                </c:pt>
                <c:pt idx="10">
                  <c:v>0.40792305646149934</c:v>
                </c:pt>
                <c:pt idx="11">
                  <c:v>0.45265114433110154</c:v>
                </c:pt>
                <c:pt idx="12">
                  <c:v>0.398354543064691</c:v>
                </c:pt>
                <c:pt idx="13">
                  <c:v>0</c:v>
                </c:pt>
                <c:pt idx="14">
                  <c:v>0.46385220137375915</c:v>
                </c:pt>
                <c:pt idx="15">
                  <c:v>0.40770490390039954</c:v>
                </c:pt>
                <c:pt idx="16">
                  <c:v>0.42078537967974194</c:v>
                </c:pt>
                <c:pt idx="17">
                  <c:v>0.3685789224891985</c:v>
                </c:pt>
                <c:pt idx="18">
                  <c:v>0.39158125406100835</c:v>
                </c:pt>
                <c:pt idx="19">
                  <c:v>0.37137881479989887</c:v>
                </c:pt>
                <c:pt idx="20">
                  <c:v>0.38141270233457863</c:v>
                </c:pt>
                <c:pt idx="21">
                  <c:v>0.44497283014030564</c:v>
                </c:pt>
                <c:pt idx="22">
                  <c:v>0.3732288298916487</c:v>
                </c:pt>
                <c:pt idx="23">
                  <c:v>0.41328744240960436</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0.11963386640680539</c:v>
                </c:pt>
                <c:pt idx="3">
                  <c:v>0.2222222291209077</c:v>
                </c:pt>
                <c:pt idx="4">
                  <c:v>0.019553941513130908</c:v>
                </c:pt>
                <c:pt idx="5">
                  <c:v>0.04560195080203531</c:v>
                </c:pt>
                <c:pt idx="6">
                  <c:v>0.17500000931322596</c:v>
                </c:pt>
                <c:pt idx="7">
                  <c:v>0</c:v>
                </c:pt>
                <c:pt idx="8">
                  <c:v>0</c:v>
                </c:pt>
                <c:pt idx="9">
                  <c:v>0</c:v>
                </c:pt>
                <c:pt idx="10">
                  <c:v>0</c:v>
                </c:pt>
                <c:pt idx="11">
                  <c:v>0</c:v>
                </c:pt>
                <c:pt idx="12">
                  <c:v>0.1531212945018163</c:v>
                </c:pt>
                <c:pt idx="13">
                  <c:v>0</c:v>
                </c:pt>
                <c:pt idx="14">
                  <c:v>0.35204227947564226</c:v>
                </c:pt>
                <c:pt idx="15">
                  <c:v>0</c:v>
                </c:pt>
                <c:pt idx="16">
                  <c:v>0.11284979484402607</c:v>
                </c:pt>
                <c:pt idx="17">
                  <c:v>0.07487709270028907</c:v>
                </c:pt>
                <c:pt idx="18">
                  <c:v>0.2693213446834884</c:v>
                </c:pt>
                <c:pt idx="19">
                  <c:v>0.19535054304589072</c:v>
                </c:pt>
                <c:pt idx="20">
                  <c:v>0.10766095675657925</c:v>
                </c:pt>
                <c:pt idx="21">
                  <c:v>0.3336712370587322</c:v>
                </c:pt>
                <c:pt idx="22">
                  <c:v>0</c:v>
                </c:pt>
                <c:pt idx="23">
                  <c:v>0.17895201914114725</c:v>
                </c:pt>
                <c:pt idx="24">
                  <c:v>0</c:v>
                </c:pt>
                <c:pt idx="25">
                  <c:v>0</c:v>
                </c:pt>
                <c:pt idx="26">
                  <c:v>0</c:v>
                </c:pt>
              </c:numCache>
            </c:numRef>
          </c:val>
        </c:ser>
        <c:overlap val="100"/>
        <c:gapWidth val="100"/>
        <c:axId val="20560041"/>
        <c:axId val="50822642"/>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0.3217043694109197</c:v>
                </c:pt>
                <c:pt idx="3">
                  <c:v>0.7228294551543862</c:v>
                </c:pt>
                <c:pt idx="4">
                  <c:v>0.36417845692330464</c:v>
                </c:pt>
                <c:pt idx="5">
                  <c:v>0.3949519463763217</c:v>
                </c:pt>
                <c:pt idx="6">
                  <c:v>0.39851816747076096</c:v>
                </c:pt>
                <c:pt idx="7">
                  <c:v>0.43517704184302647</c:v>
                </c:pt>
                <c:pt idx="8">
                  <c:v>0.5698829274197238</c:v>
                </c:pt>
                <c:pt idx="9">
                  <c:v>0.3074167704555213</c:v>
                </c:pt>
                <c:pt idx="10">
                  <c:v>0.4144543788245909</c:v>
                </c:pt>
                <c:pt idx="11">
                  <c:v>0.41888938957826527</c:v>
                </c:pt>
                <c:pt idx="12">
                  <c:v>0.37625422063924024</c:v>
                </c:pt>
                <c:pt idx="13">
                  <c:v>0.5</c:v>
                </c:pt>
                <c:pt idx="14">
                  <c:v>0.47710628426816665</c:v>
                </c:pt>
                <c:pt idx="15">
                  <c:v>0.4600046570964525</c:v>
                </c:pt>
                <c:pt idx="16">
                  <c:v>0.42684326066284517</c:v>
                </c:pt>
                <c:pt idx="17">
                  <c:v>0.3426057506601058</c:v>
                </c:pt>
                <c:pt idx="18">
                  <c:v>0.4764064936279068</c:v>
                </c:pt>
                <c:pt idx="19">
                  <c:v>0.42947486934247836</c:v>
                </c:pt>
                <c:pt idx="20">
                  <c:v>0.4350190939466314</c:v>
                </c:pt>
                <c:pt idx="21">
                  <c:v>0.5723460389960175</c:v>
                </c:pt>
                <c:pt idx="22">
                  <c:v>0.47835856112886455</c:v>
                </c:pt>
                <c:pt idx="23">
                  <c:v>0.4495439732530811</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0.5468527246445763</c:v>
                </c:pt>
                <c:pt idx="6">
                  <c:v>-999</c:v>
                </c:pt>
                <c:pt idx="7">
                  <c:v>-999</c:v>
                </c:pt>
                <c:pt idx="8">
                  <c:v>-999</c:v>
                </c:pt>
                <c:pt idx="9">
                  <c:v>0.46703974300683626</c:v>
                </c:pt>
                <c:pt idx="10">
                  <c:v>-999</c:v>
                </c:pt>
                <c:pt idx="11">
                  <c:v>-999</c:v>
                </c:pt>
                <c:pt idx="12">
                  <c:v>-999</c:v>
                </c:pt>
                <c:pt idx="13">
                  <c:v>-999</c:v>
                </c:pt>
                <c:pt idx="14">
                  <c:v>0.4708834029133456</c:v>
                </c:pt>
                <c:pt idx="15">
                  <c:v>0.4690132297139726</c:v>
                </c:pt>
                <c:pt idx="16">
                  <c:v>0.599560002614072</c:v>
                </c:pt>
                <c:pt idx="17">
                  <c:v>-999</c:v>
                </c:pt>
                <c:pt idx="18">
                  <c:v>0.5111146915165833</c:v>
                </c:pt>
                <c:pt idx="19">
                  <c:v>-999</c:v>
                </c:pt>
                <c:pt idx="20">
                  <c:v>0.4411141593311545</c:v>
                </c:pt>
                <c:pt idx="21">
                  <c:v>0.4989750303659936</c:v>
                </c:pt>
                <c:pt idx="22">
                  <c:v>-999</c:v>
                </c:pt>
                <c:pt idx="23">
                  <c:v>0.609437902625525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0.4700497058098868</c:v>
                </c:pt>
                <c:pt idx="3">
                  <c:v>0.6111111100073214</c:v>
                </c:pt>
                <c:pt idx="4">
                  <c:v>0.32810050346646746</c:v>
                </c:pt>
                <c:pt idx="5">
                  <c:v>-999</c:v>
                </c:pt>
                <c:pt idx="6">
                  <c:v>0.5750000128522518</c:v>
                </c:pt>
                <c:pt idx="7">
                  <c:v>0.42676122228053187</c:v>
                </c:pt>
                <c:pt idx="8">
                  <c:v>0.4216780205710557</c:v>
                </c:pt>
                <c:pt idx="9">
                  <c:v>-999</c:v>
                </c:pt>
                <c:pt idx="10">
                  <c:v>0.661432603529711</c:v>
                </c:pt>
                <c:pt idx="11">
                  <c:v>0.614919757239564</c:v>
                </c:pt>
                <c:pt idx="12">
                  <c:v>0.8437052955664247</c:v>
                </c:pt>
                <c:pt idx="13">
                  <c:v>0.9243314035573119</c:v>
                </c:pt>
                <c:pt idx="14">
                  <c:v>-999</c:v>
                </c:pt>
                <c:pt idx="15">
                  <c:v>-999</c:v>
                </c:pt>
                <c:pt idx="16">
                  <c:v>-999</c:v>
                </c:pt>
                <c:pt idx="17">
                  <c:v>0.6773320999607628</c:v>
                </c:pt>
                <c:pt idx="18">
                  <c:v>-999</c:v>
                </c:pt>
                <c:pt idx="19">
                  <c:v>0.666810374123706</c:v>
                </c:pt>
                <c:pt idx="20">
                  <c:v>-999</c:v>
                </c:pt>
                <c:pt idx="21">
                  <c:v>-999</c:v>
                </c:pt>
                <c:pt idx="22">
                  <c:v>0.8284627274595813</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4750595"/>
        <c:axId val="22993308"/>
      </c:scatterChart>
      <c:catAx>
        <c:axId val="20560041"/>
        <c:scaling>
          <c:orientation val="maxMin"/>
        </c:scaling>
        <c:axPos val="l"/>
        <c:delete val="0"/>
        <c:numFmt formatCode="General" sourceLinked="1"/>
        <c:majorTickMark val="out"/>
        <c:minorTickMark val="none"/>
        <c:tickLblPos val="none"/>
        <c:spPr>
          <a:ln w="3175">
            <a:noFill/>
          </a:ln>
        </c:spPr>
        <c:crossAx val="50822642"/>
        <c:crosses val="autoZero"/>
        <c:auto val="1"/>
        <c:lblOffset val="100"/>
        <c:tickLblSkip val="1"/>
        <c:noMultiLvlLbl val="0"/>
      </c:catAx>
      <c:valAx>
        <c:axId val="50822642"/>
        <c:scaling>
          <c:orientation val="minMax"/>
          <c:max val="1"/>
          <c:min val="0"/>
        </c:scaling>
        <c:axPos val="t"/>
        <c:delete val="0"/>
        <c:numFmt formatCode="General" sourceLinked="1"/>
        <c:majorTickMark val="none"/>
        <c:minorTickMark val="none"/>
        <c:tickLblPos val="none"/>
        <c:spPr>
          <a:ln w="3175">
            <a:noFill/>
          </a:ln>
        </c:spPr>
        <c:crossAx val="20560041"/>
        <c:crossesAt val="1"/>
        <c:crossBetween val="between"/>
        <c:dispUnits/>
        <c:majorUnit val="1"/>
      </c:valAx>
      <c:valAx>
        <c:axId val="54750595"/>
        <c:scaling>
          <c:orientation val="minMax"/>
          <c:max val="1"/>
          <c:min val="0"/>
        </c:scaling>
        <c:axPos val="t"/>
        <c:delete val="0"/>
        <c:numFmt formatCode="General" sourceLinked="1"/>
        <c:majorTickMark val="none"/>
        <c:minorTickMark val="none"/>
        <c:tickLblPos val="none"/>
        <c:spPr>
          <a:ln w="3175">
            <a:noFill/>
          </a:ln>
        </c:spPr>
        <c:crossAx val="22993308"/>
        <c:crosses val="max"/>
        <c:crossBetween val="midCat"/>
        <c:dispUnits/>
        <c:majorUnit val="0.1"/>
        <c:minorUnit val="0.020000000000000004"/>
      </c:valAx>
      <c:valAx>
        <c:axId val="22993308"/>
        <c:scaling>
          <c:orientation val="maxMin"/>
          <c:max val="29"/>
          <c:min val="0"/>
        </c:scaling>
        <c:axPos val="l"/>
        <c:delete val="0"/>
        <c:numFmt formatCode="General" sourceLinked="1"/>
        <c:majorTickMark val="none"/>
        <c:minorTickMark val="none"/>
        <c:tickLblPos val="none"/>
        <c:spPr>
          <a:ln w="3175">
            <a:noFill/>
          </a:ln>
        </c:spPr>
        <c:crossAx val="5475059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(L83034) ALBANY SURGERY, DEVON PCT (5QQ)</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538</v>
      </c>
      <c r="Q3" s="65"/>
      <c r="R3" s="66"/>
      <c r="S3" s="66"/>
      <c r="T3" s="66"/>
      <c r="U3" s="66"/>
      <c r="V3" s="66"/>
      <c r="W3" s="66"/>
      <c r="X3" s="66"/>
      <c r="Y3" s="66"/>
      <c r="Z3" s="66"/>
      <c r="AA3" s="66"/>
      <c r="AB3" s="66"/>
      <c r="AC3" s="66"/>
    </row>
    <row r="4" spans="2:29" ht="18" customHeight="1">
      <c r="B4" s="319" t="s">
        <v>672</v>
      </c>
      <c r="C4" s="320"/>
      <c r="D4" s="320"/>
      <c r="E4" s="320"/>
      <c r="F4" s="320"/>
      <c r="G4" s="321"/>
      <c r="H4" s="112"/>
      <c r="I4" s="112"/>
      <c r="J4" s="112"/>
      <c r="K4" s="112"/>
      <c r="L4" s="113"/>
      <c r="M4" s="65"/>
      <c r="N4" s="65"/>
      <c r="O4" s="65"/>
      <c r="P4" s="134" t="s">
        <v>539</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540</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435</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671</v>
      </c>
      <c r="C8" s="115"/>
      <c r="D8" s="115"/>
      <c r="E8" s="128">
        <f>VLOOKUP('Hide - Control'!A$3,'All practice data'!A:CA,4,FALSE)</f>
        <v>9788</v>
      </c>
      <c r="F8" s="310" t="str">
        <f>VLOOKUP('Hide - Control'!B4,'Hide - Calculation'!AY:BA,3,FALSE)</f>
        <v>Please note: Bowel screening indicators are based on less than 30 but over 12 months of data.</v>
      </c>
      <c r="G8" s="310"/>
      <c r="H8" s="310"/>
      <c r="I8" s="115"/>
      <c r="J8" s="115"/>
      <c r="K8" s="115"/>
      <c r="L8" s="115"/>
      <c r="M8" s="109"/>
      <c r="N8" s="314" t="s">
        <v>548</v>
      </c>
      <c r="O8" s="314"/>
      <c r="P8" s="314"/>
      <c r="Q8" s="314" t="s">
        <v>32</v>
      </c>
      <c r="R8" s="314"/>
      <c r="S8" s="314"/>
      <c r="T8" s="314" t="s">
        <v>675</v>
      </c>
      <c r="U8" s="314"/>
      <c r="V8" s="314" t="s">
        <v>33</v>
      </c>
      <c r="W8" s="314"/>
      <c r="X8" s="314"/>
      <c r="Y8" s="135"/>
      <c r="Z8" s="314" t="s">
        <v>541</v>
      </c>
      <c r="AA8" s="314"/>
      <c r="AB8" s="161"/>
      <c r="AC8" s="109"/>
    </row>
    <row r="9" spans="2:29" s="61" customFormat="1" ht="19.5" customHeight="1" thickBot="1">
      <c r="B9" s="114" t="s">
        <v>533</v>
      </c>
      <c r="C9" s="114"/>
      <c r="D9" s="114"/>
      <c r="E9" s="129">
        <f>VLOOKUP('Hide - Control'!B4,'Hide - Calculation'!AY:BB,4,FALSE)</f>
        <v>746707</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530</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511</v>
      </c>
      <c r="E11" s="317"/>
      <c r="F11" s="318"/>
      <c r="G11" s="263" t="s">
        <v>509</v>
      </c>
      <c r="H11" s="255" t="s">
        <v>510</v>
      </c>
      <c r="I11" s="255" t="s">
        <v>521</v>
      </c>
      <c r="J11" s="255" t="s">
        <v>522</v>
      </c>
      <c r="K11" s="255" t="s">
        <v>394</v>
      </c>
      <c r="L11" s="256" t="s">
        <v>435</v>
      </c>
      <c r="M11" s="257" t="s">
        <v>531</v>
      </c>
      <c r="N11" s="334" t="s">
        <v>529</v>
      </c>
      <c r="O11" s="334"/>
      <c r="P11" s="334"/>
      <c r="Q11" s="334"/>
      <c r="R11" s="334"/>
      <c r="S11" s="334"/>
      <c r="T11" s="334"/>
      <c r="U11" s="334"/>
      <c r="V11" s="334"/>
      <c r="W11" s="334"/>
      <c r="X11" s="334"/>
      <c r="Y11" s="334"/>
      <c r="Z11" s="334"/>
      <c r="AA11" s="258" t="s">
        <v>532</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392</v>
      </c>
      <c r="C13" s="163">
        <v>1</v>
      </c>
      <c r="D13" s="312" t="s">
        <v>388</v>
      </c>
      <c r="E13" s="313"/>
      <c r="F13" s="313"/>
      <c r="G13" s="166">
        <f>IF(VLOOKUP('Hide - Control'!A$3,'All practice data'!A:CA,C13+4,FALSE)=" "," ",VLOOKUP('Hide - Control'!A$3,'All practice data'!A:CA,C13+4,FALSE))</f>
        <v>2069</v>
      </c>
      <c r="H13" s="190">
        <f>IF(VLOOKUP('Hide - Control'!A$3,'All practice data'!A:CA,C13+30,FALSE)=" "," ",VLOOKUP('Hide - Control'!A$3,'All practice data'!A:CA,C13+30,FALSE))</f>
        <v>0.21138128320392316</v>
      </c>
      <c r="I13" s="191">
        <f>IF(LEFT(G13,1)=" "," n/a",+((2*G13+1.96^2-1.96*SQRT(1.96^2+4*G13*(1-G13/E$8)))/(2*(E$8+1.96^2))))</f>
        <v>0.2034066629170079</v>
      </c>
      <c r="J13" s="191">
        <f>IF(LEFT(G13,1)=" "," n/a",+((2*G13+1.96^2+1.96*SQRT(1.96^2+4*G13*(1-G13/E$8)))/(2*(E$8+1.96^2))))</f>
        <v>0.21958236909511122</v>
      </c>
      <c r="K13" s="190">
        <f>IF('Hide - Calculation'!N7="","",'Hide - Calculation'!N7)</f>
        <v>0.22012516288182649</v>
      </c>
      <c r="L13" s="192">
        <f>'Hide - Calculation'!O7</f>
        <v>0.1599882305185145</v>
      </c>
      <c r="M13" s="208">
        <f>IF(ISBLANK('Hide - Calculation'!K7),"",'Hide - Calculation'!U7)</f>
        <v>0.0899825245141983</v>
      </c>
      <c r="N13" s="173"/>
      <c r="O13" s="173"/>
      <c r="P13" s="173"/>
      <c r="Q13" s="173"/>
      <c r="R13" s="173"/>
      <c r="S13" s="173"/>
      <c r="T13" s="173"/>
      <c r="U13" s="173"/>
      <c r="V13" s="173"/>
      <c r="W13" s="173"/>
      <c r="X13" s="173"/>
      <c r="Y13" s="173"/>
      <c r="Z13" s="173"/>
      <c r="AA13" s="226">
        <f>IF(ISBLANK('Hide - Calculation'!K7),"",'Hide - Calculation'!T7)</f>
        <v>0.3949783146381378</v>
      </c>
      <c r="AB13" s="233" t="s">
        <v>669</v>
      </c>
      <c r="AC13" s="209" t="s">
        <v>670</v>
      </c>
    </row>
    <row r="14" spans="2:29" ht="33.75" customHeight="1">
      <c r="B14" s="306"/>
      <c r="C14" s="137">
        <v>2</v>
      </c>
      <c r="D14" s="132" t="s">
        <v>542</v>
      </c>
      <c r="E14" s="85"/>
      <c r="F14" s="85"/>
      <c r="G14" s="118" t="str">
        <f>IF(VLOOKUP('Hide - Control'!A$3,'All practice data'!A:CA,C14+4,FALSE)=" "," ",VLOOKUP('Hide - Control'!A$3,'All practice data'!A:CA,C14+4,FALSE))</f>
        <v>Quintile 3</v>
      </c>
      <c r="H14" s="119">
        <f>IF(VLOOKUP('Hide - Control'!A$3,'All practice data'!A:CA,C14+30,FALSE)=" "," ",VLOOKUP('Hide - Control'!A$3,'All practice data'!A:CA,C14+30,FALSE))</f>
        <v>0.13</v>
      </c>
      <c r="I14" s="120">
        <f>IF(LEFT(G14,1)=" "," n/a",+((2*H14*E8+1.96^2-1.96*SQRT(1.96^2+4*H14*E8*(1-H14*E8/E$8)))/(2*(E$8+1.96^2))))</f>
        <v>0.12348233779278181</v>
      </c>
      <c r="J14" s="120">
        <f>IF(LEFT(G14,1)=" "," n/a",+((2*H14*E8+1.96^2+1.96*SQRT(1.96^2+4*H14*E8*(1-H14*E8/E$8)))/(2*(E$8+1.96^2))))</f>
        <v>0.13680798389706256</v>
      </c>
      <c r="K14" s="119">
        <f>IF('Hide - Calculation'!N8="","",'Hide - Calculation'!N8)</f>
        <v>0.11050414687420901</v>
      </c>
      <c r="L14" s="155">
        <f>'Hide - Calculation'!O8</f>
        <v>0.15010930292554353</v>
      </c>
      <c r="M14" s="150">
        <f>IF(ISBLANK('Hide - Calculation'!K8),"",'Hide - Calculation'!U8)</f>
        <v>0.05999999865889549</v>
      </c>
      <c r="N14" s="84"/>
      <c r="O14" s="84"/>
      <c r="P14" s="84"/>
      <c r="Q14" s="84"/>
      <c r="R14" s="84"/>
      <c r="S14" s="84"/>
      <c r="T14" s="84"/>
      <c r="U14" s="84"/>
      <c r="V14" s="84"/>
      <c r="W14" s="84"/>
      <c r="X14" s="84"/>
      <c r="Y14" s="84"/>
      <c r="Z14" s="84"/>
      <c r="AA14" s="227">
        <f>IF(ISBLANK('Hide - Calculation'!K8),"",'Hide - Calculation'!T8)</f>
        <v>0.20000000298023224</v>
      </c>
      <c r="AB14" s="234" t="s">
        <v>39</v>
      </c>
      <c r="AC14" s="130" t="s">
        <v>670</v>
      </c>
    </row>
    <row r="15" spans="2:39" s="63" customFormat="1" ht="33.75" customHeight="1">
      <c r="B15" s="306"/>
      <c r="C15" s="137">
        <v>3</v>
      </c>
      <c r="D15" s="132" t="s">
        <v>397</v>
      </c>
      <c r="E15" s="85"/>
      <c r="F15" s="85"/>
      <c r="G15" s="121">
        <f>IF(VLOOKUP('Hide - Control'!A$3,'All practice data'!A:CA,C15+4,FALSE)=" "," ",VLOOKUP('Hide - Control'!A$3,'All practice data'!A:CA,C15+4,FALSE))</f>
        <v>40</v>
      </c>
      <c r="H15" s="122">
        <f>IF(VLOOKUP('Hide - Control'!A$3,'All practice data'!A:CA,C15+30,FALSE)=" "," ",VLOOKUP('Hide - Control'!A$3,'All practice data'!A:CA,C15+30,FALSE))</f>
        <v>408.6636697997548</v>
      </c>
      <c r="I15" s="123">
        <f>IF(LEFT(G15,1)=" "," n/a",IF(G15&lt;5,100000*VLOOKUP(G15,'Hide - Calculation'!AQ:AR,2,FALSE)/$E$8,100000*(G15*(1-1/(9*G15)-1.96/(3*SQRT(G15)))^3)/$E$8))</f>
        <v>291.91987992206714</v>
      </c>
      <c r="J15" s="123">
        <f>IF(LEFT(G15,1)=" "," n/a",IF(G15&lt;5,100000*VLOOKUP(G15,'Hide - Calculation'!AQ:AS,3,FALSE)/$E$8,100000*((G15+1)*(1-1/(9*(G15+1))+1.96/(3*SQRT(G15+1)))^3)/$E$8))</f>
        <v>556.5016143880887</v>
      </c>
      <c r="K15" s="122">
        <f>IF('Hide - Calculation'!N9="","",'Hide - Calculation'!N9)</f>
        <v>575.4599863132394</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1096.9195556640625</v>
      </c>
      <c r="AB15" s="234" t="s">
        <v>512</v>
      </c>
      <c r="AC15" s="131">
        <v>2009</v>
      </c>
      <c r="AD15" s="64"/>
      <c r="AE15" s="64"/>
      <c r="AF15" s="64"/>
      <c r="AG15" s="64"/>
      <c r="AH15" s="64"/>
      <c r="AI15" s="64"/>
      <c r="AJ15" s="64"/>
      <c r="AK15" s="64"/>
      <c r="AL15" s="64"/>
      <c r="AM15" s="64"/>
    </row>
    <row r="16" spans="2:29" s="63" customFormat="1" ht="33.75" customHeight="1">
      <c r="B16" s="306"/>
      <c r="C16" s="137">
        <v>4</v>
      </c>
      <c r="D16" s="132" t="s">
        <v>534</v>
      </c>
      <c r="E16" s="85"/>
      <c r="F16" s="85"/>
      <c r="G16" s="121">
        <f>IF(VLOOKUP('Hide - Control'!A$3,'All practice data'!A:CA,C16+4,FALSE)=" "," ",VLOOKUP('Hide - Control'!A$3,'All practice data'!A:CA,C16+4,FALSE))</f>
        <v>31</v>
      </c>
      <c r="H16" s="122">
        <f>IF(VLOOKUP('Hide - Control'!A$3,'All practice data'!A:CA,C16+30,FALSE)=" "," ",VLOOKUP('Hide - Control'!A$3,'All practice data'!A:CA,C16+30,FALSE))</f>
        <v>316.71434409481</v>
      </c>
      <c r="I16" s="123">
        <f>IF(LEFT(G16,1)=" "," n/a",IF(G16&lt;5,100000*VLOOKUP(G16,'Hide - Calculation'!AQ:AR,2,FALSE)/$E$8,100000*(G16*(1-1/(9*G16)-1.96/(3*SQRT(G16)))^3)/$E$8))</f>
        <v>215.15106759494515</v>
      </c>
      <c r="J16" s="123">
        <f>IF(LEFT(G16,1)=" "," n/a",IF(G16&lt;5,100000*VLOOKUP(G16,'Hide - Calculation'!AQ:AS,3,FALSE)/$E$8,100000*((G16+1)*(1-1/(9*(G16+1))+1.96/(3*SQRT(G16+1)))^3)/$E$8))</f>
        <v>449.56865264326905</v>
      </c>
      <c r="K16" s="122">
        <f>IF('Hide - Calculation'!N10="","",'Hide - Calculation'!N10)</f>
        <v>289.5379312099659</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563.100341796875</v>
      </c>
      <c r="AB16" s="234" t="s">
        <v>391</v>
      </c>
      <c r="AC16" s="131" t="s">
        <v>567</v>
      </c>
    </row>
    <row r="17" spans="2:29" s="63" customFormat="1" ht="33.75" customHeight="1" thickBot="1">
      <c r="B17" s="309"/>
      <c r="C17" s="180">
        <v>5</v>
      </c>
      <c r="D17" s="195" t="s">
        <v>396</v>
      </c>
      <c r="E17" s="182"/>
      <c r="F17" s="182"/>
      <c r="G17" s="140">
        <f>IF(VLOOKUP('Hide - Control'!A$3,'All practice data'!A:CA,C17+4,FALSE)=" "," ",VLOOKUP('Hide - Control'!A$3,'All practice data'!A:CA,C17+4,FALSE))</f>
        <v>224</v>
      </c>
      <c r="H17" s="141">
        <f>IF(VLOOKUP('Hide - Control'!A$3,'All practice data'!A:CA,C17+30,FALSE)=" "," ",VLOOKUP('Hide - Control'!A$3,'All practice data'!A:CA,C17+30,FALSE))</f>
        <v>0.023</v>
      </c>
      <c r="I17" s="142">
        <f>IF(LEFT(G17,1)=" "," n/a",+((2*G17+1.96^2-1.96*SQRT(1.96^2+4*G17*(1-G17/E$8)))/(2*(E$8+1.96^2))))</f>
        <v>0.020104518822964556</v>
      </c>
      <c r="J17" s="142">
        <f>IF(LEFT(G17,1)=" "," n/a",+((2*G17+1.96^2+1.96*SQRT(1.96^2+4*G17*(1-G17/E$8)))/(2*(E$8+1.96^2))))</f>
        <v>0.02604018188379524</v>
      </c>
      <c r="K17" s="141">
        <f>IF('Hide - Calculation'!N11="","",'Hide - Calculation'!N11)</f>
        <v>0.01937975671849869</v>
      </c>
      <c r="L17" s="157">
        <f>'Hide - Calculation'!O11</f>
        <v>0.015940726342527432</v>
      </c>
      <c r="M17" s="210">
        <f>IF(ISBLANK('Hide - Calculation'!K11),"",'Hide - Calculation'!U11)</f>
        <v>0.007000000216066837</v>
      </c>
      <c r="N17" s="91"/>
      <c r="O17" s="91"/>
      <c r="P17" s="91"/>
      <c r="Q17" s="91"/>
      <c r="R17" s="91"/>
      <c r="S17" s="91"/>
      <c r="T17" s="91"/>
      <c r="U17" s="91"/>
      <c r="V17" s="91"/>
      <c r="W17" s="91"/>
      <c r="X17" s="91"/>
      <c r="Y17" s="91"/>
      <c r="Z17" s="91"/>
      <c r="AA17" s="229">
        <f>IF(ISBLANK('Hide - Calculation'!K11),"",'Hide - Calculation'!T11)</f>
        <v>0.03999999910593033</v>
      </c>
      <c r="AB17" s="235" t="s">
        <v>535</v>
      </c>
      <c r="AC17" s="189" t="s">
        <v>567</v>
      </c>
    </row>
    <row r="18" spans="2:29" s="63" customFormat="1" ht="33.75" customHeight="1">
      <c r="B18" s="308" t="s">
        <v>13</v>
      </c>
      <c r="C18" s="163">
        <v>6</v>
      </c>
      <c r="D18" s="164" t="s">
        <v>543</v>
      </c>
      <c r="E18" s="165"/>
      <c r="F18" s="165"/>
      <c r="G18" s="219">
        <f>IF(OR(VLOOKUP('Hide - Control'!A$3,'All practice data'!A:CA,C18+4,FALSE)=" ",VLOOKUP('Hide - Control'!A$3,'All practice data'!A:CA,C18+52,FALSE)=0)," n/a",VLOOKUP('Hide - Control'!A$3,'All practice data'!A:CA,C18+4,FALSE))</f>
        <v>932</v>
      </c>
      <c r="H18" s="220">
        <f>IF(OR(VLOOKUP('Hide - Control'!A$3,'All practice data'!A:CA,C18+30,FALSE)=" ",VLOOKUP('Hide - Control'!A$3,'All practice data'!A:CA,C18+52,FALSE)=0)," n/a",VLOOKUP('Hide - Control'!A$3,'All practice data'!A:CA,C18+30,FALSE))</f>
        <v>0.721921</v>
      </c>
      <c r="I18" s="191">
        <f>IF(OR(LEFT(H18,1)=" ",VLOOKUP('Hide - Control'!A$3,'All practice data'!A:CA,C18+52,FALSE)=0)," n/a",+((2*G18+1.96^2-1.96*SQRT(1.96^2+4*G18*(1-G18/(VLOOKUP('Hide - Control'!A$3,'All practice data'!A:CA,C18+52,FALSE)))))/(2*(((VLOOKUP('Hide - Control'!A$3,'All practice data'!A:CA,C18+52,FALSE)))+1.96^2))))</f>
        <v>0.6968488249200576</v>
      </c>
      <c r="J18" s="191">
        <f>IF(OR(LEFT(H18,1)=" ",VLOOKUP('Hide - Control'!A$3,'All practice data'!A:CA,C18+52,FALSE)=0)," n/a",+((2*G18+1.96^2+1.96*SQRT(1.96^2+4*G18*(1-G18/(VLOOKUP('Hide - Control'!A$3,'All practice data'!A:CA,C18+52,FALSE)))))/(2*((VLOOKUP('Hide - Control'!A$3,'All practice data'!A:CA,C18+52,FALSE))+1.96^2))))</f>
        <v>0.7456763457262979</v>
      </c>
      <c r="K18" s="220">
        <f>IF('Hide - Calculation'!N12="","",'Hide - Calculation'!N12)</f>
        <v>0.7575927798374714</v>
      </c>
      <c r="L18" s="192">
        <f>'Hide - Calculation'!O12</f>
        <v>0.7248631360507991</v>
      </c>
      <c r="M18" s="193">
        <f>IF(ISBLANK('Hide - Calculation'!K12),"",'Hide - Calculation'!U12)</f>
        <v>0.5727270245552063</v>
      </c>
      <c r="N18" s="194"/>
      <c r="O18" s="173"/>
      <c r="P18" s="173"/>
      <c r="Q18" s="173"/>
      <c r="R18" s="173"/>
      <c r="S18" s="173"/>
      <c r="T18" s="173"/>
      <c r="U18" s="173"/>
      <c r="V18" s="173"/>
      <c r="W18" s="173"/>
      <c r="X18" s="173"/>
      <c r="Y18" s="173"/>
      <c r="Z18" s="174"/>
      <c r="AA18" s="193">
        <f>IF(ISBLANK('Hide - Calculation'!K12),"",'Hide - Calculation'!T12)</f>
        <v>0.8589739799499512</v>
      </c>
      <c r="AB18" s="233" t="s">
        <v>48</v>
      </c>
      <c r="AC18" s="175" t="s">
        <v>568</v>
      </c>
    </row>
    <row r="19" spans="2:29" s="63" customFormat="1" ht="33.75" customHeight="1">
      <c r="B19" s="306"/>
      <c r="C19" s="137">
        <v>7</v>
      </c>
      <c r="D19" s="132" t="s">
        <v>544</v>
      </c>
      <c r="E19" s="85"/>
      <c r="F19" s="85"/>
      <c r="G19" s="221">
        <f>IF(OR(VLOOKUP('Hide - Control'!A$3,'All practice data'!A:CA,C19+4,FALSE)=" ",VLOOKUP('Hide - Control'!A$3,'All practice data'!A:CA,C19+52,FALSE)=0)," n/a",VLOOKUP('Hide - Control'!A$3,'All practice data'!A:CA,C19+4,FALSE))</f>
        <v>15</v>
      </c>
      <c r="H19" s="218">
        <f>IF(OR(VLOOKUP('Hide - Control'!A$3,'All practice data'!A:CA,C19+30,FALSE)=" ",VLOOKUP('Hide - Control'!A$3,'All practice data'!A:CA,C19+52,FALSE)=0)," n/a",VLOOKUP('Hide - Control'!A$3,'All practice data'!A:CA,C19+30,FALSE))</f>
        <v>0.576923</v>
      </c>
      <c r="I19" s="120">
        <f>IF(OR(LEFT(H19,1)=" ",VLOOKUP('Hide - Control'!A$3,'All practice data'!A:CA,C19+52,FALSE)=0)," n/a",+((2*G19+1.96^2-1.96*SQRT(1.96^2+4*G19*(1-G19/(VLOOKUP('Hide - Control'!A$3,'All practice data'!A:CA,C19+52,FALSE)))))/(2*(((VLOOKUP('Hide - Control'!A$3,'All practice data'!A:CA,C19+52,FALSE)))+1.96^2))))</f>
        <v>0.3894829692111983</v>
      </c>
      <c r="J19" s="120">
        <f>IF(OR(LEFT(H19,1)=" ",VLOOKUP('Hide - Control'!A$3,'All practice data'!A:CA,C19+52,FALSE)=0)," n/a",+((2*G19+1.96^2+1.96*SQRT(1.96^2+4*G19*(1-G19/(VLOOKUP('Hide - Control'!A$3,'All practice data'!A:CA,C19+52,FALSE)))))/(2*((VLOOKUP('Hide - Control'!A$3,'All practice data'!A:CA,C19+52,FALSE))+1.96^2))))</f>
        <v>0.744558100972706</v>
      </c>
      <c r="K19" s="218">
        <f>IF('Hide - Calculation'!N13="","",'Hide - Calculation'!N13)</f>
        <v>0.7753070538148182</v>
      </c>
      <c r="L19" s="155">
        <f>'Hide - Calculation'!O13</f>
        <v>0.7467412166569077</v>
      </c>
      <c r="M19" s="152">
        <f>IF(ISBLANK('Hide - Calculation'!K13),"",'Hide - Calculation'!U13)</f>
        <v>0.09375</v>
      </c>
      <c r="N19" s="160"/>
      <c r="O19" s="84"/>
      <c r="P19" s="84"/>
      <c r="Q19" s="84"/>
      <c r="R19" s="84"/>
      <c r="S19" s="84"/>
      <c r="T19" s="84"/>
      <c r="U19" s="84"/>
      <c r="V19" s="84"/>
      <c r="W19" s="84"/>
      <c r="X19" s="84"/>
      <c r="Y19" s="84"/>
      <c r="Z19" s="88"/>
      <c r="AA19" s="152">
        <f>IF(ISBLANK('Hide - Calculation'!K13),"",'Hide - Calculation'!T13)</f>
        <v>0.9123219847679138</v>
      </c>
      <c r="AB19" s="234" t="s">
        <v>48</v>
      </c>
      <c r="AC19" s="131" t="s">
        <v>567</v>
      </c>
    </row>
    <row r="20" spans="2:29" s="63" customFormat="1" ht="33.75" customHeight="1">
      <c r="B20" s="306"/>
      <c r="C20" s="137">
        <v>8</v>
      </c>
      <c r="D20" s="132" t="s">
        <v>545</v>
      </c>
      <c r="E20" s="85"/>
      <c r="F20" s="85"/>
      <c r="G20" s="221">
        <f>IF(OR(VLOOKUP('Hide - Control'!A$3,'All practice data'!A:CA,C20+4,FALSE)=" ",VLOOKUP('Hide - Control'!A$3,'All practice data'!A:CA,C20+52,FALSE)=0)," n/a",VLOOKUP('Hide - Control'!A$3,'All practice data'!A:CA,C20+4,FALSE))</f>
        <v>1763</v>
      </c>
      <c r="H20" s="218">
        <f>IF(OR(VLOOKUP('Hide - Control'!A$3,'All practice data'!A:CA,C20+30,FALSE)=" ",VLOOKUP('Hide - Control'!A$3,'All practice data'!A:CA,C20+52,FALSE)=0)," n/a",VLOOKUP('Hide - Control'!A$3,'All practice data'!A:CA,C20+30,FALSE))</f>
        <v>0.792004</v>
      </c>
      <c r="I20" s="120">
        <f>IF(OR(LEFT(H20,1)=" ",VLOOKUP('Hide - Control'!A$3,'All practice data'!A:CA,C20+52,FALSE)=0)," n/a",+((2*G20+1.96^2-1.96*SQRT(1.96^2+4*G20*(1-G20/(VLOOKUP('Hide - Control'!A$3,'All practice data'!A:CA,C20+52,FALSE)))))/(2*(((VLOOKUP('Hide - Control'!A$3,'All practice data'!A:CA,C20+52,FALSE)))+1.96^2))))</f>
        <v>0.7746464829930385</v>
      </c>
      <c r="J20" s="120">
        <f>IF(OR(LEFT(H20,1)=" ",VLOOKUP('Hide - Control'!A$3,'All practice data'!A:CA,C20+52,FALSE)=0)," n/a",+((2*G20+1.96^2+1.96*SQRT(1.96^2+4*G20*(1-G20/(VLOOKUP('Hide - Control'!A$3,'All practice data'!A:CA,C20+52,FALSE)))))/(2*((VLOOKUP('Hide - Control'!A$3,'All practice data'!A:CA,C20+52,FALSE))+1.96^2))))</f>
        <v>0.8083545696377851</v>
      </c>
      <c r="K20" s="218">
        <f>IF('Hide - Calculation'!N14="","",'Hide - Calculation'!N14)</f>
        <v>0.7941205240777716</v>
      </c>
      <c r="L20" s="155">
        <f>'Hide - Calculation'!O14</f>
        <v>0.7559681673907895</v>
      </c>
      <c r="M20" s="152">
        <f>IF(ISBLANK('Hide - Calculation'!K14),"",'Hide - Calculation'!U14)</f>
        <v>0.6865670084953308</v>
      </c>
      <c r="N20" s="160"/>
      <c r="O20" s="84"/>
      <c r="P20" s="84"/>
      <c r="Q20" s="84"/>
      <c r="R20" s="84"/>
      <c r="S20" s="84"/>
      <c r="T20" s="84"/>
      <c r="U20" s="84"/>
      <c r="V20" s="84"/>
      <c r="W20" s="84"/>
      <c r="X20" s="84"/>
      <c r="Y20" s="84"/>
      <c r="Z20" s="88"/>
      <c r="AA20" s="152">
        <f>IF(ISBLANK('Hide - Calculation'!K14),"",'Hide - Calculation'!T14)</f>
        <v>0.8948410153388977</v>
      </c>
      <c r="AB20" s="234" t="s">
        <v>48</v>
      </c>
      <c r="AC20" s="131" t="s">
        <v>569</v>
      </c>
    </row>
    <row r="21" spans="2:29" s="63" customFormat="1" ht="33.75" customHeight="1">
      <c r="B21" s="306"/>
      <c r="C21" s="137">
        <v>9</v>
      </c>
      <c r="D21" s="132" t="s">
        <v>546</v>
      </c>
      <c r="E21" s="85"/>
      <c r="F21" s="85"/>
      <c r="G21" s="221">
        <f>IF(OR(VLOOKUP('Hide - Control'!A$3,'All practice data'!A:CA,C21+4,FALSE)=" ",VLOOKUP('Hide - Control'!A$3,'All practice data'!A:CA,C21+52,FALSE)=0)," n/a",VLOOKUP('Hide - Control'!A$3,'All practice data'!A:CA,C21+4,FALSE))</f>
        <v>767</v>
      </c>
      <c r="H21" s="218">
        <f>IF(OR(VLOOKUP('Hide - Control'!A$3,'All practice data'!A:CA,C21+30,FALSE)=" ",VLOOKUP('Hide - Control'!A$3,'All practice data'!A:CA,C21+52,FALSE)=0)," n/a",VLOOKUP('Hide - Control'!A$3,'All practice data'!A:CA,C21+30,FALSE))</f>
        <v>0.616559</v>
      </c>
      <c r="I21" s="120">
        <f>IF(OR(LEFT(H21,1)=" ",VLOOKUP('Hide - Control'!A$3,'All practice data'!A:CA,C21+52,FALSE)=0)," n/a",+((2*G21+1.96^2-1.96*SQRT(1.96^2+4*G21*(1-G21/(VLOOKUP('Hide - Control'!A$3,'All practice data'!A:CA,C21+52,FALSE)))))/(2*(((VLOOKUP('Hide - Control'!A$3,'All practice data'!A:CA,C21+52,FALSE)))+1.96^2))))</f>
        <v>0.5892200681386296</v>
      </c>
      <c r="J21" s="120">
        <f>IF(OR(LEFT(H21,1)=" ",VLOOKUP('Hide - Control'!A$3,'All practice data'!A:CA,C21+52,FALSE)=0)," n/a",+((2*G21+1.96^2+1.96*SQRT(1.96^2+4*G21*(1-G21/(VLOOKUP('Hide - Control'!A$3,'All practice data'!A:CA,C21+52,FALSE)))))/(2*((VLOOKUP('Hide - Control'!A$3,'All practice data'!A:CA,C21+52,FALSE))+1.96^2))))</f>
        <v>0.6431812238202216</v>
      </c>
      <c r="K21" s="218">
        <f>IF('Hide - Calculation'!N15="","",'Hide - Calculation'!N15)</f>
        <v>0.55876797907889</v>
      </c>
      <c r="L21" s="155">
        <f>'Hide - Calculation'!O15</f>
        <v>0.5147293797466616</v>
      </c>
      <c r="M21" s="152">
        <f>IF(ISBLANK('Hide - Calculation'!K15),"",'Hide - Calculation'!U15)</f>
        <v>0.3438490033149719</v>
      </c>
      <c r="N21" s="160"/>
      <c r="O21" s="84"/>
      <c r="P21" s="84"/>
      <c r="Q21" s="84"/>
      <c r="R21" s="84"/>
      <c r="S21" s="84"/>
      <c r="T21" s="84"/>
      <c r="U21" s="84"/>
      <c r="V21" s="84"/>
      <c r="W21" s="84"/>
      <c r="X21" s="84"/>
      <c r="Y21" s="84"/>
      <c r="Z21" s="88"/>
      <c r="AA21" s="152">
        <f>IF(ISBLANK('Hide - Calculation'!K15),"",'Hide - Calculation'!T15)</f>
        <v>0.7126169800758362</v>
      </c>
      <c r="AB21" s="234" t="s">
        <v>48</v>
      </c>
      <c r="AC21" s="131" t="s">
        <v>568</v>
      </c>
    </row>
    <row r="22" spans="2:29" s="63" customFormat="1" ht="33.75" customHeight="1" thickBot="1">
      <c r="B22" s="309"/>
      <c r="C22" s="180">
        <v>10</v>
      </c>
      <c r="D22" s="195" t="s">
        <v>547</v>
      </c>
      <c r="E22" s="182"/>
      <c r="F22" s="182"/>
      <c r="G22" s="222">
        <f>IF(OR(VLOOKUP('Hide - Control'!A$3,'All practice data'!A:CA,C22+4,FALSE)=" ",VLOOKUP('Hide - Control'!A$3,'All practice data'!A:CA,C22+52,FALSE)=0)," n/a",VLOOKUP('Hide - Control'!A$3,'All practice data'!A:CA,C22+4,FALSE))</f>
        <v>431</v>
      </c>
      <c r="H22" s="223">
        <f>IF(OR(VLOOKUP('Hide - Control'!A$3,'All practice data'!A:CA,C22+30,FALSE)=" ",VLOOKUP('Hide - Control'!A$3,'All practice data'!A:CA,C22+52,FALSE)=0)," n/a",VLOOKUP('Hide - Control'!A$3,'All practice data'!A:CA,C22+30,FALSE))</f>
        <v>0.672387</v>
      </c>
      <c r="I22" s="196">
        <f>IF(OR(LEFT(H22,1)=" ",VLOOKUP('Hide - Control'!A$3,'All practice data'!A:CA,C22+52,FALSE)=0)," n/a",+((2*G22+1.96^2-1.96*SQRT(1.96^2+4*G22*(1-G22/(VLOOKUP('Hide - Control'!A$3,'All practice data'!A:CA,C22+52,FALSE)))))/(2*(((VLOOKUP('Hide - Control'!A$3,'All practice data'!A:CA,C22+52,FALSE)))+1.96^2))))</f>
        <v>0.6351194065614213</v>
      </c>
      <c r="J22" s="196">
        <f>IF(OR(LEFT(H22,1)=" ",VLOOKUP('Hide - Control'!A$3,'All practice data'!A:CA,C22+52,FALSE)=0)," n/a",+((2*G22+1.96^2+1.96*SQRT(1.96^2+4*G22*(1-G22/(VLOOKUP('Hide - Control'!A$3,'All practice data'!A:CA,C22+52,FALSE)))))/(2*((VLOOKUP('Hide - Control'!A$3,'All practice data'!A:CA,C22+52,FALSE))+1.96^2))))</f>
        <v>0.7076004179660286</v>
      </c>
      <c r="K22" s="223">
        <f>IF('Hide - Calculation'!N16="","",'Hide - Calculation'!N16)</f>
        <v>0.6196851786345949</v>
      </c>
      <c r="L22" s="197">
        <f>'Hide - Calculation'!O16</f>
        <v>0.5752927626212945</v>
      </c>
      <c r="M22" s="198">
        <f>IF(ISBLANK('Hide - Calculation'!K16),"",'Hide - Calculation'!U16)</f>
        <v>0.3678160011768341</v>
      </c>
      <c r="N22" s="199"/>
      <c r="O22" s="91"/>
      <c r="P22" s="91"/>
      <c r="Q22" s="91"/>
      <c r="R22" s="91"/>
      <c r="S22" s="91"/>
      <c r="T22" s="91"/>
      <c r="U22" s="91"/>
      <c r="V22" s="91"/>
      <c r="W22" s="91"/>
      <c r="X22" s="91"/>
      <c r="Y22" s="91"/>
      <c r="Z22" s="188"/>
      <c r="AA22" s="198">
        <f>IF(ISBLANK('Hide - Calculation'!K16),"",'Hide - Calculation'!T16)</f>
        <v>0.7250319719314575</v>
      </c>
      <c r="AB22" s="235" t="s">
        <v>48</v>
      </c>
      <c r="AC22" s="189" t="s">
        <v>567</v>
      </c>
    </row>
    <row r="23" spans="2:29" s="63" customFormat="1" ht="33.75" customHeight="1">
      <c r="B23" s="308" t="s">
        <v>386</v>
      </c>
      <c r="C23" s="163">
        <v>11</v>
      </c>
      <c r="D23" s="179" t="s">
        <v>398</v>
      </c>
      <c r="E23" s="165"/>
      <c r="F23" s="165"/>
      <c r="G23" s="118">
        <f>IF(VLOOKUP('Hide - Control'!A$3,'All practice data'!A:CA,C23+4,FALSE)=" "," ",VLOOKUP('Hide - Control'!A$3,'All practice data'!A:CA,C23+4,FALSE))</f>
        <v>334</v>
      </c>
      <c r="H23" s="216">
        <f>IF(VLOOKUP('Hide - Control'!A$3,'All practice data'!A:CA,C23+30,FALSE)=" "," ",VLOOKUP('Hide - Control'!A$3,'All practice data'!A:CA,C23+30,FALSE))</f>
        <v>3412.3416428279525</v>
      </c>
      <c r="I23" s="215">
        <f>IF(LEFT(G23,1)=" "," n/a",IF(G23&lt;5,100000*VLOOKUP(G23,'Hide - Calculation'!AQ:AR,2,FALSE)/$E$8,100000*(G23*(1-1/(9*G23)-1.96/(3*SQRT(G23)))^3)/$E$8))</f>
        <v>3056.141675415301</v>
      </c>
      <c r="J23" s="215">
        <f>IF(LEFT(G23,1)=" "," n/a",IF(G23&lt;5,100000*VLOOKUP(G23,'Hide - Calculation'!AQ:AS,3,FALSE)/$E$8,100000*((G23+1)*(1-1/(9*(G23+1))+1.96/(3*SQRT(G23+1)))^3)/$E$8))</f>
        <v>3798.6536518707703</v>
      </c>
      <c r="K23" s="216">
        <f>IF('Hide - Calculation'!N17="","",'Hide - Calculation'!N17)</f>
        <v>2379.6482422154872</v>
      </c>
      <c r="L23" s="217">
        <f>'Hide - Calculation'!O17</f>
        <v>1812.1669120472948</v>
      </c>
      <c r="M23" s="170">
        <f>IF(ISBLANK('Hide - Calculation'!K17),"",'Hide - Calculation'!U17)</f>
        <v>1048.340087890625</v>
      </c>
      <c r="N23" s="171"/>
      <c r="O23" s="172"/>
      <c r="P23" s="172"/>
      <c r="Q23" s="172"/>
      <c r="R23" s="173"/>
      <c r="S23" s="173"/>
      <c r="T23" s="173"/>
      <c r="U23" s="173"/>
      <c r="V23" s="173"/>
      <c r="W23" s="173"/>
      <c r="X23" s="173"/>
      <c r="Y23" s="173"/>
      <c r="Z23" s="174"/>
      <c r="AA23" s="170">
        <f>IF(ISBLANK('Hide - Calculation'!K17),"",'Hide - Calculation'!T17)</f>
        <v>3947.368408203125</v>
      </c>
      <c r="AB23" s="233" t="s">
        <v>26</v>
      </c>
      <c r="AC23" s="175" t="s">
        <v>567</v>
      </c>
    </row>
    <row r="24" spans="2:29" s="63" customFormat="1" ht="33.75" customHeight="1">
      <c r="B24" s="306"/>
      <c r="C24" s="137">
        <v>12</v>
      </c>
      <c r="D24" s="147" t="s">
        <v>553</v>
      </c>
      <c r="E24" s="85"/>
      <c r="F24" s="85"/>
      <c r="G24" s="118">
        <f>IF(VLOOKUP('Hide - Control'!A$3,'All practice data'!A:CA,C24+4,FALSE)=" "," ",VLOOKUP('Hide - Control'!A$3,'All practice data'!A:CA,C24+4,FALSE))</f>
        <v>334</v>
      </c>
      <c r="H24" s="119">
        <f>IF(VLOOKUP('Hide - Control'!A$3,'All practice data'!A:CA,C24+30,FALSE)=" "," ",VLOOKUP('Hide - Control'!A$3,'All practice data'!A:CA,C24+30,FALSE))</f>
        <v>1.643033905</v>
      </c>
      <c r="I24" s="212">
        <f>IF(LEFT(VLOOKUP('Hide - Control'!A$3,'All practice data'!A:CA,C24+44,FALSE),1)=" "," n/a",VLOOKUP('Hide - Control'!A$3,'All practice data'!A:CA,C24+44,FALSE))</f>
        <v>1.471532288</v>
      </c>
      <c r="J24" s="212">
        <f>IF(LEFT(VLOOKUP('Hide - Control'!A$3,'All practice data'!A:CA,C24+45,FALSE),1)=" "," n/a",VLOOKUP('Hide - Control'!A$3,'All practice data'!A:CA,C24+45,FALSE))</f>
        <v>1.8290351870000001</v>
      </c>
      <c r="K24" s="152" t="s">
        <v>674</v>
      </c>
      <c r="L24" s="213">
        <v>1</v>
      </c>
      <c r="M24" s="152">
        <f>IF(ISBLANK('Hide - Calculation'!K18),"",'Hide - Calculation'!U18)</f>
        <v>0.471932977437973</v>
      </c>
      <c r="N24" s="86"/>
      <c r="O24" s="87"/>
      <c r="P24" s="87"/>
      <c r="Q24" s="87"/>
      <c r="R24" s="84"/>
      <c r="S24" s="84"/>
      <c r="T24" s="84"/>
      <c r="U24" s="84"/>
      <c r="V24" s="84"/>
      <c r="W24" s="84"/>
      <c r="X24" s="84"/>
      <c r="Y24" s="84"/>
      <c r="Z24" s="88"/>
      <c r="AA24" s="152">
        <f>IF(ISBLANK('Hide - Calculation'!K18),"",'Hide - Calculation'!T18)</f>
        <v>1.7577024698257446</v>
      </c>
      <c r="AB24" s="234" t="s">
        <v>26</v>
      </c>
      <c r="AC24" s="131" t="s">
        <v>567</v>
      </c>
    </row>
    <row r="25" spans="2:29" s="63" customFormat="1" ht="33.75" customHeight="1">
      <c r="B25" s="306"/>
      <c r="C25" s="137">
        <v>13</v>
      </c>
      <c r="D25" s="147" t="s">
        <v>393</v>
      </c>
      <c r="E25" s="85"/>
      <c r="F25" s="85"/>
      <c r="G25" s="118">
        <f>IF(VLOOKUP('Hide - Control'!A$3,'All practice data'!A:CA,C25+4,FALSE)=" "," ",VLOOKUP('Hide - Control'!A$3,'All practice data'!A:CA,C25+4,FALSE))</f>
        <v>35</v>
      </c>
      <c r="H25" s="119">
        <f>IF(VLOOKUP('Hide - Control'!A$3,'All practice data'!A:CA,C25+30,FALSE)=" "," ",VLOOKUP('Hide - Control'!A$3,'All practice data'!A:CA,C25+30,FALSE))</f>
        <v>0.10479041916167664</v>
      </c>
      <c r="I25" s="120">
        <f>IF(LEFT(G25,1)=" "," n/a",IF(G25=0," n/a",+((2*G25+1.96^2-1.96*SQRT(1.96^2+4*G25*(1-G25/G23)))/(2*(G23+1.96^2)))))</f>
        <v>0.07631614140261692</v>
      </c>
      <c r="J25" s="120">
        <f>IF(LEFT(G25,1)=" "," n/a",IF(G25=0," n/a",+((2*G25+1.96^2+1.96*SQRT(1.96^2+4*G25*(1-G25/G23)))/(2*(G23+1.96^2)))))</f>
        <v>0.14225256061631741</v>
      </c>
      <c r="K25" s="125">
        <f>IF('Hide - Calculation'!N19="","",'Hide - Calculation'!N19)</f>
        <v>0.12696268782711465</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0.4791666567325592</v>
      </c>
      <c r="AB25" s="234" t="s">
        <v>26</v>
      </c>
      <c r="AC25" s="131" t="s">
        <v>567</v>
      </c>
    </row>
    <row r="26" spans="2:29" s="63" customFormat="1" ht="33.75" customHeight="1">
      <c r="B26" s="306"/>
      <c r="C26" s="137">
        <v>14</v>
      </c>
      <c r="D26" s="147" t="s">
        <v>536</v>
      </c>
      <c r="E26" s="85"/>
      <c r="F26" s="85"/>
      <c r="G26" s="121">
        <f>IF(VLOOKUP('Hide - Control'!A$3,'All practice data'!A:CA,C26+4,FALSE)=" "," ",VLOOKUP('Hide - Control'!A$3,'All practice data'!A:CA,C26+4,FALSE))</f>
        <v>76</v>
      </c>
      <c r="H26" s="119">
        <f>IF(VLOOKUP('Hide - Control'!A$3,'All practice data'!A:CA,C26+30,FALSE)=" "," ",VLOOKUP('Hide - Control'!A$3,'All practice data'!A:CA,C26+30,FALSE))</f>
        <v>0.4605263157894737</v>
      </c>
      <c r="I26" s="120">
        <f>IF(OR(LEFT(G26,1)=" ",LEFT(G25,1)=" ")," n/a",IF(G26=0," n/a",+((2*G25+1.96^2-1.96*SQRT(1.96^2+4*G25*(1-G25/G26)))/(2*(G26+1.96^2)))))</f>
        <v>0.3530754655326989</v>
      </c>
      <c r="J26" s="120">
        <f>IF(OR(LEFT(G26,1)=" ",LEFT(G25,1)=" ")," n/a",IF(G26=0," n/a",+((2*G25+1.96^2+1.96*SQRT(1.96^2+4*G25*(1-G25/G26)))/(2*(G26+1.96^2)))))</f>
        <v>0.5717757398539667</v>
      </c>
      <c r="K26" s="125">
        <f>IF('Hide - Calculation'!N20="","",'Hide - Calculation'!N20)</f>
        <v>0.4908616187989556</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0.71875</v>
      </c>
      <c r="AB26" s="234" t="s">
        <v>26</v>
      </c>
      <c r="AC26" s="131" t="s">
        <v>567</v>
      </c>
    </row>
    <row r="27" spans="2:29" s="63" customFormat="1" ht="33.75" customHeight="1">
      <c r="B27" s="306"/>
      <c r="C27" s="137">
        <v>15</v>
      </c>
      <c r="D27" s="147" t="s">
        <v>523</v>
      </c>
      <c r="E27" s="85"/>
      <c r="F27" s="85"/>
      <c r="G27" s="121">
        <f>IF(VLOOKUP('Hide - Control'!A$3,'All practice data'!A:CA,C27+4,FALSE)=" "," ",VLOOKUP('Hide - Control'!A$3,'All practice data'!A:CA,C27+4,FALSE))</f>
        <v>54</v>
      </c>
      <c r="H27" s="122">
        <f>IF(VLOOKUP('Hide - Control'!A$3,'All practice data'!A:CA,C27+30,FALSE)=" "," ",VLOOKUP('Hide - Control'!A$3,'All practice data'!A:CA,C27+30,FALSE))</f>
        <v>551.6959542296689</v>
      </c>
      <c r="I27" s="123">
        <f>IF(LEFT(G27,1)=" "," n/a",IF(G27&lt;5,100000*VLOOKUP(G27,'Hide - Calculation'!AQ:AR,2,FALSE)/$E$8,100000*(G27*(1-1/(9*G27)-1.96/(3*SQRT(G27)))^3)/$E$8))</f>
        <v>414.42084045116695</v>
      </c>
      <c r="J27" s="123">
        <f>IF(LEFT(G27,1)=" "," n/a",IF(G27&lt;5,100000*VLOOKUP(G27,'Hide - Calculation'!AQ:AS,3,FALSE)/$E$8,100000*((G27+1)*(1-1/(9*(G27+1))+1.96/(3*SQRT(G27+1)))^3)/$E$8))</f>
        <v>719.8607184628752</v>
      </c>
      <c r="K27" s="122">
        <f>IF('Hide - Calculation'!N21="","",'Hide - Calculation'!N21)</f>
        <v>486.2683756814922</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955.0338134765625</v>
      </c>
      <c r="AB27" s="234" t="s">
        <v>26</v>
      </c>
      <c r="AC27" s="131" t="s">
        <v>567</v>
      </c>
    </row>
    <row r="28" spans="2:29" s="63" customFormat="1" ht="33.75" customHeight="1">
      <c r="B28" s="306"/>
      <c r="C28" s="137">
        <v>16</v>
      </c>
      <c r="D28" s="147" t="s">
        <v>524</v>
      </c>
      <c r="E28" s="85"/>
      <c r="F28" s="85"/>
      <c r="G28" s="121">
        <f>IF(VLOOKUP('Hide - Control'!A$3,'All practice data'!A:CA,C28+4,FALSE)=" "," ",VLOOKUP('Hide - Control'!A$3,'All practice data'!A:CA,C28+4,FALSE))</f>
        <v>60</v>
      </c>
      <c r="H28" s="122">
        <f>IF(VLOOKUP('Hide - Control'!A$3,'All practice data'!A:CA,C28+30,FALSE)=" "," ",VLOOKUP('Hide - Control'!A$3,'All practice data'!A:CA,C28+30,FALSE))</f>
        <v>612.9955046996322</v>
      </c>
      <c r="I28" s="123">
        <f>IF(LEFT(G28,1)=" "," n/a",IF(G28&lt;5,100000*VLOOKUP(G28,'Hide - Calculation'!AQ:AR,2,FALSE)/$E$8,100000*(G28*(1-1/(9*G28)-1.96/(3*SQRT(G28)))^3)/$E$8))</f>
        <v>467.7515995223887</v>
      </c>
      <c r="J28" s="123">
        <f>IF(LEFT(G28,1)=" "," n/a",IF(G28&lt;5,100000*VLOOKUP(G28,'Hide - Calculation'!AQ:AS,3,FALSE)/$E$8,100000*((G28+1)*(1-1/(9*(G28+1))+1.96/(3*SQRT(G28+1)))^3)/$E$8))</f>
        <v>789.0636816062135</v>
      </c>
      <c r="K28" s="122">
        <f>IF('Hide - Calculation'!N22="","",'Hide - Calculation'!N22)</f>
        <v>446.49373850787526</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931.63037109375</v>
      </c>
      <c r="AB28" s="234" t="s">
        <v>26</v>
      </c>
      <c r="AC28" s="131" t="s">
        <v>567</v>
      </c>
    </row>
    <row r="29" spans="2:29" s="63" customFormat="1" ht="33.75" customHeight="1">
      <c r="B29" s="306"/>
      <c r="C29" s="137">
        <v>17</v>
      </c>
      <c r="D29" s="147" t="s">
        <v>525</v>
      </c>
      <c r="E29" s="85"/>
      <c r="F29" s="85"/>
      <c r="G29" s="121">
        <f>IF(VLOOKUP('Hide - Control'!A$3,'All practice data'!A:CA,C29+4,FALSE)=" "," ",VLOOKUP('Hide - Control'!A$3,'All practice data'!A:CA,C29+4,FALSE))</f>
        <v>8</v>
      </c>
      <c r="H29" s="122">
        <f>IF(VLOOKUP('Hide - Control'!A$3,'All practice data'!A:CA,C29+30,FALSE)=" "," ",VLOOKUP('Hide - Control'!A$3,'All practice data'!A:CA,C29+30,FALSE))</f>
        <v>81.73273395995096</v>
      </c>
      <c r="I29" s="123">
        <f>IF(LEFT(G29,1)=" "," n/a",IF(G29&lt;5,100000*VLOOKUP(G29,'Hide - Calculation'!AQ:AR,2,FALSE)/$E$8,100000*(G29*(1-1/(9*G29)-1.96/(3*SQRT(G29)))^3)/$E$8))</f>
        <v>35.192404614422905</v>
      </c>
      <c r="J29" s="123">
        <f>IF(LEFT(G29,1)=" "," n/a",IF(G29&lt;5,100000*VLOOKUP(G29,'Hide - Calculation'!AQ:AS,3,FALSE)/$E$8,100000*((G29+1)*(1-1/(9*(G29+1))+1.96/(3*SQRT(G29+1)))^3)/$E$8))</f>
        <v>161.05596129935878</v>
      </c>
      <c r="K29" s="122">
        <f>IF('Hide - Calculation'!N23="","",'Hide - Calculation'!N23)</f>
        <v>77.13869027610562</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240.4207305908203</v>
      </c>
      <c r="AB29" s="234" t="s">
        <v>26</v>
      </c>
      <c r="AC29" s="131" t="s">
        <v>567</v>
      </c>
    </row>
    <row r="30" spans="2:29" s="63" customFormat="1" ht="33.75" customHeight="1" thickBot="1">
      <c r="B30" s="309"/>
      <c r="C30" s="180">
        <v>18</v>
      </c>
      <c r="D30" s="181" t="s">
        <v>526</v>
      </c>
      <c r="E30" s="182"/>
      <c r="F30" s="182"/>
      <c r="G30" s="183">
        <f>IF(VLOOKUP('Hide - Control'!A$3,'All practice data'!A:CA,C30+4,FALSE)=" "," ",VLOOKUP('Hide - Control'!A$3,'All practice data'!A:CA,C30+4,FALSE))</f>
        <v>61</v>
      </c>
      <c r="H30" s="184">
        <f>IF(VLOOKUP('Hide - Control'!A$3,'All practice data'!A:CA,C30+30,FALSE)=" "," ",VLOOKUP('Hide - Control'!A$3,'All practice data'!A:CA,C30+30,FALSE))</f>
        <v>623.2120964446261</v>
      </c>
      <c r="I30" s="185">
        <f>IF(LEFT(G30,1)=" "," n/a",IF(G30&lt;5,100000*VLOOKUP(G30,'Hide - Calculation'!AQ:AR,2,FALSE)/$E$8,100000*(G30*(1-1/(9*G30)-1.96/(3*SQRT(G30)))^3)/$E$8))</f>
        <v>476.67956139725646</v>
      </c>
      <c r="J30" s="185">
        <f>IF(LEFT(G30,1)=" "," n/a",IF(G30&lt;5,100000*VLOOKUP(G30,'Hide - Calculation'!AQ:AS,3,FALSE)/$E$8,100000*((G30+1)*(1-1/(9*(G30+1))+1.96/(3*SQRT(G30+1)))^3)/$E$8))</f>
        <v>800.5589321827385</v>
      </c>
      <c r="K30" s="184">
        <f>IF('Hide - Calculation'!N24="","",'Hide - Calculation'!N24)</f>
        <v>423.1914258203017</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1044.34912109375</v>
      </c>
      <c r="AB30" s="235" t="s">
        <v>26</v>
      </c>
      <c r="AC30" s="189" t="s">
        <v>567</v>
      </c>
    </row>
    <row r="31" spans="2:29" s="63" customFormat="1" ht="33.75" customHeight="1">
      <c r="B31" s="304" t="s">
        <v>395</v>
      </c>
      <c r="C31" s="163">
        <v>19</v>
      </c>
      <c r="D31" s="164" t="s">
        <v>399</v>
      </c>
      <c r="E31" s="165"/>
      <c r="F31" s="165"/>
      <c r="G31" s="166">
        <f>IF(VLOOKUP('Hide - Control'!A$3,'All practice data'!A:CA,C31+4,FALSE)=" "," ",VLOOKUP('Hide - Control'!A$3,'All practice data'!A:CA,C31+4,FALSE))</f>
        <v>56</v>
      </c>
      <c r="H31" s="167">
        <f>IF(VLOOKUP('Hide - Control'!A$3,'All practice data'!A:CA,C31+30,FALSE)=" "," ",VLOOKUP('Hide - Control'!A$3,'All practice data'!A:CA,C31+30,FALSE))</f>
        <v>572.1291377196567</v>
      </c>
      <c r="I31" s="168">
        <f>IF(LEFT(G31,1)=" "," n/a",IF(G31&lt;5,100000*VLOOKUP(G31,'Hide - Calculation'!AQ:AR,2,FALSE)/$E$8,100000*(G31*(1-1/(9*G31)-1.96/(3*SQRT(G31)))^3)/$E$8))</f>
        <v>432.1506258698351</v>
      </c>
      <c r="J31" s="168">
        <f>IF(LEFT(G31,1)=" "," n/a",IF(G31&lt;5,100000*VLOOKUP(G31,'Hide - Calculation'!AQ:AS,3,FALSE)/$E$8,100000*((G31+1)*(1-1/(9*(G31+1))+1.96/(3*SQRT(G31+1)))^3)/$E$8))</f>
        <v>742.9743729341781</v>
      </c>
      <c r="K31" s="167">
        <f>IF('Hide - Calculation'!N25="","",'Hide - Calculation'!N25)</f>
        <v>643.3581043166864</v>
      </c>
      <c r="L31" s="169">
        <f>'Hide - Calculation'!O25</f>
        <v>562.6134400960308</v>
      </c>
      <c r="M31" s="170">
        <f>IF(ISBLANK('Hide - Calculation'!K25),"",'Hide - Calculation'!U25)</f>
        <v>51.53753662109375</v>
      </c>
      <c r="N31" s="171"/>
      <c r="O31" s="172"/>
      <c r="P31" s="172"/>
      <c r="Q31" s="172"/>
      <c r="R31" s="173"/>
      <c r="S31" s="173"/>
      <c r="T31" s="173"/>
      <c r="U31" s="173"/>
      <c r="V31" s="173"/>
      <c r="W31" s="173"/>
      <c r="X31" s="173"/>
      <c r="Y31" s="173"/>
      <c r="Z31" s="174"/>
      <c r="AA31" s="170">
        <f>IF(ISBLANK('Hide - Calculation'!K25),"",'Hide - Calculation'!T25)</f>
        <v>1444.669189453125</v>
      </c>
      <c r="AB31" s="233" t="s">
        <v>47</v>
      </c>
      <c r="AC31" s="175" t="s">
        <v>567</v>
      </c>
    </row>
    <row r="32" spans="2:29" s="63" customFormat="1" ht="33.75" customHeight="1">
      <c r="B32" s="305"/>
      <c r="C32" s="137">
        <v>20</v>
      </c>
      <c r="D32" s="132" t="s">
        <v>400</v>
      </c>
      <c r="E32" s="85"/>
      <c r="F32" s="85"/>
      <c r="G32" s="121">
        <f>IF(VLOOKUP('Hide - Control'!A$3,'All practice data'!A:CA,C32+4,FALSE)=" "," ",VLOOKUP('Hide - Control'!A$3,'All practice data'!A:CA,C32+4,FALSE))</f>
        <v>30</v>
      </c>
      <c r="H32" s="122">
        <f>IF(VLOOKUP('Hide - Control'!A$3,'All practice data'!A:CA,C32+30,FALSE)=" "," ",VLOOKUP('Hide - Control'!A$3,'All practice data'!A:CA,C32+30,FALSE))</f>
        <v>306.4977523498161</v>
      </c>
      <c r="I32" s="123">
        <f>IF(LEFT(G32,1)=" "," n/a",IF(G32&lt;5,100000*VLOOKUP(G32,'Hide - Calculation'!AQ:AR,2,FALSE)/$E$8,100000*(G32*(1-1/(9*G32)-1.96/(3*SQRT(G32)))^3)/$E$8))</f>
        <v>206.75099474657563</v>
      </c>
      <c r="J32" s="123">
        <f>IF(LEFT(G32,1)=" "," n/a",IF(G32&lt;5,100000*VLOOKUP(G32,'Hide - Calculation'!AQ:AS,3,FALSE)/$E$8,100000*((G32+1)*(1-1/(9*(G32+1))+1.96/(3*SQRT(G32+1)))^3)/$E$8))</f>
        <v>437.5625325380747</v>
      </c>
      <c r="K32" s="122">
        <f>IF('Hide - Calculation'!N26="","",'Hide - Calculation'!N26)</f>
        <v>365.6052507877923</v>
      </c>
      <c r="L32" s="156">
        <f>'Hide - Calculation'!O26</f>
        <v>405.57105879375996</v>
      </c>
      <c r="M32" s="148">
        <f>IF(ISBLANK('Hide - Calculation'!K26),"",'Hide - Calculation'!U26)</f>
        <v>83.28706359863281</v>
      </c>
      <c r="N32" s="86"/>
      <c r="O32" s="87"/>
      <c r="P32" s="87"/>
      <c r="Q32" s="87"/>
      <c r="R32" s="84"/>
      <c r="S32" s="84"/>
      <c r="T32" s="84"/>
      <c r="U32" s="84"/>
      <c r="V32" s="84"/>
      <c r="W32" s="84"/>
      <c r="X32" s="84"/>
      <c r="Y32" s="84"/>
      <c r="Z32" s="88"/>
      <c r="AA32" s="148">
        <f>IF(ISBLANK('Hide - Calculation'!K26),"",'Hide - Calculation'!T26)</f>
        <v>983.0347290039062</v>
      </c>
      <c r="AB32" s="234" t="s">
        <v>47</v>
      </c>
      <c r="AC32" s="131" t="s">
        <v>567</v>
      </c>
    </row>
    <row r="33" spans="2:29" s="63" customFormat="1" ht="33.75" customHeight="1">
      <c r="B33" s="305"/>
      <c r="C33" s="137">
        <v>21</v>
      </c>
      <c r="D33" s="132" t="s">
        <v>402</v>
      </c>
      <c r="E33" s="85"/>
      <c r="F33" s="85"/>
      <c r="G33" s="121">
        <f>IF(VLOOKUP('Hide - Control'!A$3,'All practice data'!A:CA,C33+4,FALSE)=" "," ",VLOOKUP('Hide - Control'!A$3,'All practice data'!A:CA,C33+4,FALSE))</f>
        <v>171</v>
      </c>
      <c r="H33" s="122">
        <f>IF(VLOOKUP('Hide - Control'!A$3,'All practice data'!A:CA,C33+30,FALSE)=" "," ",VLOOKUP('Hide - Control'!A$3,'All practice data'!A:CA,C33+30,FALSE))</f>
        <v>1747.0371883939517</v>
      </c>
      <c r="I33" s="123">
        <f>IF(LEFT(G33,1)=" "," n/a",IF(G33&lt;5,100000*VLOOKUP(G33,'Hide - Calculation'!AQ:AR,2,FALSE)/$E$8,100000*(G33*(1-1/(9*G33)-1.96/(3*SQRT(G33)))^3)/$E$8))</f>
        <v>1494.975784561349</v>
      </c>
      <c r="J33" s="123">
        <f>IF(LEFT(G33,1)=" "," n/a",IF(G33&lt;5,100000*VLOOKUP(G33,'Hide - Calculation'!AQ:AS,3,FALSE)/$E$8,100000*((G33+1)*(1-1/(9*(G33+1))+1.96/(3*SQRT(G33+1)))^3)/$E$8))</f>
        <v>2029.4218510205656</v>
      </c>
      <c r="K33" s="122">
        <f>IF('Hide - Calculation'!N27="","",'Hide - Calculation'!N27)</f>
        <v>1079.5398998536239</v>
      </c>
      <c r="L33" s="156">
        <f>'Hide - Calculation'!O27</f>
        <v>1059.3522061277838</v>
      </c>
      <c r="M33" s="148">
        <f>IF(ISBLANK('Hide - Calculation'!K27),"",'Hide - Calculation'!U27)</f>
        <v>119.74613952636719</v>
      </c>
      <c r="N33" s="86"/>
      <c r="O33" s="87"/>
      <c r="P33" s="87"/>
      <c r="Q33" s="87"/>
      <c r="R33" s="84"/>
      <c r="S33" s="84"/>
      <c r="T33" s="84"/>
      <c r="U33" s="84"/>
      <c r="V33" s="84"/>
      <c r="W33" s="84"/>
      <c r="X33" s="84"/>
      <c r="Y33" s="84"/>
      <c r="Z33" s="88"/>
      <c r="AA33" s="148">
        <f>IF(ISBLANK('Hide - Calculation'!K27),"",'Hide - Calculation'!T27)</f>
        <v>1885.245849609375</v>
      </c>
      <c r="AB33" s="234" t="s">
        <v>47</v>
      </c>
      <c r="AC33" s="131" t="s">
        <v>567</v>
      </c>
    </row>
    <row r="34" spans="2:29" s="63" customFormat="1" ht="33.75" customHeight="1">
      <c r="B34" s="305"/>
      <c r="C34" s="137">
        <v>22</v>
      </c>
      <c r="D34" s="132" t="s">
        <v>401</v>
      </c>
      <c r="E34" s="85"/>
      <c r="F34" s="85"/>
      <c r="G34" s="118">
        <f>IF(VLOOKUP('Hide - Control'!A$3,'All practice data'!A:CA,C34+4,FALSE)=" "," ",VLOOKUP('Hide - Control'!A$3,'All practice data'!A:CA,C34+4,FALSE))</f>
        <v>79</v>
      </c>
      <c r="H34" s="122">
        <f>IF(VLOOKUP('Hide - Control'!A$3,'All practice data'!A:CA,C34+30,FALSE)=" "," ",VLOOKUP('Hide - Control'!A$3,'All practice data'!A:CA,C34+30,FALSE))</f>
        <v>807.1107478545157</v>
      </c>
      <c r="I34" s="123">
        <f>IF(LEFT(G34,1)=" "," n/a",IF(G34&lt;5,100000*VLOOKUP(G34,'Hide - Calculation'!AQ:AR,2,FALSE)/$E$8,100000*(G34*(1-1/(9*G34)-1.96/(3*SQRT(G34)))^3)/$E$8))</f>
        <v>638.9722145842466</v>
      </c>
      <c r="J34" s="123">
        <f>IF(LEFT(G34,1)=" "," n/a",IF(G34&lt;5,100000*VLOOKUP(G34,'Hide - Calculation'!AQ:AS,3,FALSE)/$E$8,100000*((G34+1)*(1-1/(9*(G34+1))+1.96/(3*SQRT(G34+1)))^3)/$E$8))</f>
        <v>1005.9171761708179</v>
      </c>
      <c r="K34" s="122">
        <f>IF('Hide - Calculation'!N28="","",'Hide - Calculation'!N28)</f>
        <v>661.5714061874336</v>
      </c>
      <c r="L34" s="156">
        <f>'Hide - Calculation'!O28</f>
        <v>582.9390489900089</v>
      </c>
      <c r="M34" s="148">
        <f>IF(ISBLANK('Hide - Calculation'!K28),"",'Hide - Calculation'!U28)</f>
        <v>203.5684356689453</v>
      </c>
      <c r="N34" s="86"/>
      <c r="O34" s="87"/>
      <c r="P34" s="87"/>
      <c r="Q34" s="87"/>
      <c r="R34" s="84"/>
      <c r="S34" s="84"/>
      <c r="T34" s="84"/>
      <c r="U34" s="84"/>
      <c r="V34" s="84"/>
      <c r="W34" s="84"/>
      <c r="X34" s="84"/>
      <c r="Y34" s="84"/>
      <c r="Z34" s="88"/>
      <c r="AA34" s="148">
        <f>IF(ISBLANK('Hide - Calculation'!K28),"",'Hide - Calculation'!T28)</f>
        <v>1354.6798095703125</v>
      </c>
      <c r="AB34" s="234" t="s">
        <v>47</v>
      </c>
      <c r="AC34" s="131" t="s">
        <v>567</v>
      </c>
    </row>
    <row r="35" spans="2:29" s="63" customFormat="1" ht="33.75" customHeight="1">
      <c r="B35" s="305"/>
      <c r="C35" s="137">
        <v>23</v>
      </c>
      <c r="D35" s="138" t="s">
        <v>527</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387</v>
      </c>
      <c r="AC35" s="131">
        <v>2008</v>
      </c>
    </row>
    <row r="36" spans="2:29" ht="33.75" customHeight="1">
      <c r="B36" s="306"/>
      <c r="C36" s="137">
        <v>24</v>
      </c>
      <c r="D36" s="224" t="s">
        <v>528</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387</v>
      </c>
      <c r="AC36" s="131">
        <v>2008</v>
      </c>
    </row>
    <row r="37" spans="2:29" ht="33.75" customHeight="1" thickBot="1">
      <c r="B37" s="307"/>
      <c r="C37" s="176">
        <v>25</v>
      </c>
      <c r="D37" s="177" t="s">
        <v>403</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387</v>
      </c>
      <c r="AC37" s="149">
        <v>2008</v>
      </c>
    </row>
    <row r="38" spans="2:29" ht="16.5" customHeight="1">
      <c r="B38" s="69"/>
      <c r="C38" s="69"/>
      <c r="D38" s="65" t="s">
        <v>385</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673</v>
      </c>
      <c r="C39" s="244"/>
      <c r="D39" s="244"/>
      <c r="E39" s="303" t="s">
        <v>677</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552</v>
      </c>
      <c r="BE2" s="341"/>
      <c r="BF2" s="341"/>
      <c r="BG2" s="341"/>
      <c r="BH2" s="341"/>
      <c r="BI2" s="341"/>
      <c r="BJ2" s="342"/>
    </row>
    <row r="3" spans="1:82" s="72" customFormat="1" ht="76.5" customHeight="1">
      <c r="A3" s="266" t="s">
        <v>276</v>
      </c>
      <c r="B3" s="275" t="s">
        <v>277</v>
      </c>
      <c r="C3" s="276" t="s">
        <v>49</v>
      </c>
      <c r="D3" s="274" t="s">
        <v>537</v>
      </c>
      <c r="E3" s="267" t="s">
        <v>409</v>
      </c>
      <c r="F3" s="267" t="s">
        <v>520</v>
      </c>
      <c r="G3" s="267" t="s">
        <v>411</v>
      </c>
      <c r="H3" s="267" t="s">
        <v>412</v>
      </c>
      <c r="I3" s="267" t="s">
        <v>413</v>
      </c>
      <c r="J3" s="267" t="s">
        <v>561</v>
      </c>
      <c r="K3" s="267" t="s">
        <v>562</v>
      </c>
      <c r="L3" s="267" t="s">
        <v>563</v>
      </c>
      <c r="M3" s="267" t="s">
        <v>414</v>
      </c>
      <c r="N3" s="267" t="s">
        <v>415</v>
      </c>
      <c r="O3" s="267" t="s">
        <v>416</v>
      </c>
      <c r="P3" s="267" t="s">
        <v>551</v>
      </c>
      <c r="Q3" s="267" t="s">
        <v>417</v>
      </c>
      <c r="R3" s="267" t="s">
        <v>418</v>
      </c>
      <c r="S3" s="267" t="s">
        <v>419</v>
      </c>
      <c r="T3" s="267" t="s">
        <v>420</v>
      </c>
      <c r="U3" s="267" t="s">
        <v>421</v>
      </c>
      <c r="V3" s="267" t="s">
        <v>422</v>
      </c>
      <c r="W3" s="267" t="s">
        <v>423</v>
      </c>
      <c r="X3" s="267" t="s">
        <v>424</v>
      </c>
      <c r="Y3" s="267" t="s">
        <v>425</v>
      </c>
      <c r="Z3" s="267" t="s">
        <v>426</v>
      </c>
      <c r="AA3" s="267" t="s">
        <v>427</v>
      </c>
      <c r="AB3" s="267" t="s">
        <v>428</v>
      </c>
      <c r="AC3" s="267" t="s">
        <v>429</v>
      </c>
      <c r="AD3" s="268" t="s">
        <v>430</v>
      </c>
      <c r="AE3" s="268" t="s">
        <v>409</v>
      </c>
      <c r="AF3" s="269" t="s">
        <v>410</v>
      </c>
      <c r="AG3" s="268" t="s">
        <v>411</v>
      </c>
      <c r="AH3" s="268" t="s">
        <v>412</v>
      </c>
      <c r="AI3" s="268" t="s">
        <v>413</v>
      </c>
      <c r="AJ3" s="268" t="s">
        <v>561</v>
      </c>
      <c r="AK3" s="268" t="s">
        <v>562</v>
      </c>
      <c r="AL3" s="268" t="s">
        <v>563</v>
      </c>
      <c r="AM3" s="268" t="s">
        <v>414</v>
      </c>
      <c r="AN3" s="268" t="s">
        <v>415</v>
      </c>
      <c r="AO3" s="268" t="s">
        <v>416</v>
      </c>
      <c r="AP3" s="268" t="s">
        <v>551</v>
      </c>
      <c r="AQ3" s="268" t="s">
        <v>417</v>
      </c>
      <c r="AR3" s="268" t="s">
        <v>418</v>
      </c>
      <c r="AS3" s="268" t="s">
        <v>419</v>
      </c>
      <c r="AT3" s="268" t="s">
        <v>420</v>
      </c>
      <c r="AU3" s="268" t="s">
        <v>421</v>
      </c>
      <c r="AV3" s="268" t="s">
        <v>422</v>
      </c>
      <c r="AW3" s="268" t="s">
        <v>423</v>
      </c>
      <c r="AX3" s="268" t="s">
        <v>424</v>
      </c>
      <c r="AY3" s="270" t="s">
        <v>425</v>
      </c>
      <c r="AZ3" s="271" t="s">
        <v>426</v>
      </c>
      <c r="BA3" s="271" t="s">
        <v>427</v>
      </c>
      <c r="BB3" s="271" t="s">
        <v>428</v>
      </c>
      <c r="BC3" s="272" t="s">
        <v>429</v>
      </c>
      <c r="BD3" s="273" t="s">
        <v>549</v>
      </c>
      <c r="BE3" s="273" t="s">
        <v>550</v>
      </c>
      <c r="BF3" s="273" t="s">
        <v>557</v>
      </c>
      <c r="BG3" s="273" t="s">
        <v>558</v>
      </c>
      <c r="BH3" s="273" t="s">
        <v>556</v>
      </c>
      <c r="BI3" s="273" t="s">
        <v>559</v>
      </c>
      <c r="BJ3" s="273" t="s">
        <v>560</v>
      </c>
      <c r="BK3" s="73"/>
      <c r="BL3" s="73"/>
      <c r="BM3" s="73"/>
      <c r="BN3" s="73"/>
      <c r="BO3" s="73"/>
      <c r="BP3" s="73"/>
      <c r="BQ3" s="73"/>
      <c r="BR3" s="73"/>
      <c r="BS3" s="73"/>
      <c r="BT3" s="73"/>
      <c r="BU3" s="73"/>
      <c r="BV3" s="73"/>
      <c r="BW3" s="73"/>
      <c r="BX3" s="73"/>
      <c r="BY3" s="73"/>
      <c r="BZ3" s="73"/>
      <c r="CA3" s="73"/>
      <c r="CB3" s="73"/>
      <c r="CC3" s="73"/>
      <c r="CD3" s="73"/>
    </row>
    <row r="4" spans="1:66" ht="12.75">
      <c r="A4" s="79" t="s">
        <v>587</v>
      </c>
      <c r="B4" s="79" t="s">
        <v>301</v>
      </c>
      <c r="C4" s="79" t="s">
        <v>272</v>
      </c>
      <c r="D4" s="99">
        <v>9788</v>
      </c>
      <c r="E4" s="99">
        <v>2069</v>
      </c>
      <c r="F4" s="99" t="s">
        <v>407</v>
      </c>
      <c r="G4" s="99">
        <v>40</v>
      </c>
      <c r="H4" s="99">
        <v>31</v>
      </c>
      <c r="I4" s="99">
        <v>224</v>
      </c>
      <c r="J4" s="99">
        <v>932</v>
      </c>
      <c r="K4" s="99">
        <v>15</v>
      </c>
      <c r="L4" s="99">
        <v>1763</v>
      </c>
      <c r="M4" s="99">
        <v>767</v>
      </c>
      <c r="N4" s="99">
        <v>431</v>
      </c>
      <c r="O4" s="99">
        <v>334</v>
      </c>
      <c r="P4" s="159">
        <v>334</v>
      </c>
      <c r="Q4" s="99">
        <v>35</v>
      </c>
      <c r="R4" s="99">
        <v>76</v>
      </c>
      <c r="S4" s="99">
        <v>54</v>
      </c>
      <c r="T4" s="99">
        <v>60</v>
      </c>
      <c r="U4" s="99">
        <v>8</v>
      </c>
      <c r="V4" s="99">
        <v>61</v>
      </c>
      <c r="W4" s="99">
        <v>56</v>
      </c>
      <c r="X4" s="99">
        <v>30</v>
      </c>
      <c r="Y4" s="99">
        <v>171</v>
      </c>
      <c r="Z4" s="99">
        <v>79</v>
      </c>
      <c r="AA4" s="99" t="s">
        <v>676</v>
      </c>
      <c r="AB4" s="99" t="s">
        <v>676</v>
      </c>
      <c r="AC4" s="99" t="s">
        <v>676</v>
      </c>
      <c r="AD4" s="98" t="s">
        <v>385</v>
      </c>
      <c r="AE4" s="100">
        <v>0.21138128320392316</v>
      </c>
      <c r="AF4" s="100">
        <v>0.13</v>
      </c>
      <c r="AG4" s="98">
        <v>408.6636697997548</v>
      </c>
      <c r="AH4" s="98">
        <v>316.71434409481</v>
      </c>
      <c r="AI4" s="100">
        <v>0.023</v>
      </c>
      <c r="AJ4" s="100">
        <v>0.721921</v>
      </c>
      <c r="AK4" s="100">
        <v>0.576923</v>
      </c>
      <c r="AL4" s="100">
        <v>0.792004</v>
      </c>
      <c r="AM4" s="100">
        <v>0.616559</v>
      </c>
      <c r="AN4" s="100">
        <v>0.672387</v>
      </c>
      <c r="AO4" s="98">
        <v>3412.3416428279525</v>
      </c>
      <c r="AP4" s="158">
        <v>1.643033905</v>
      </c>
      <c r="AQ4" s="100">
        <v>0.10479041916167664</v>
      </c>
      <c r="AR4" s="100">
        <v>0.4605263157894737</v>
      </c>
      <c r="AS4" s="98">
        <v>551.6959542296689</v>
      </c>
      <c r="AT4" s="98">
        <v>612.9955046996322</v>
      </c>
      <c r="AU4" s="98">
        <v>81.73273395995096</v>
      </c>
      <c r="AV4" s="98">
        <v>623.2120964446261</v>
      </c>
      <c r="AW4" s="98">
        <v>572.1291377196567</v>
      </c>
      <c r="AX4" s="98">
        <v>306.4977523498161</v>
      </c>
      <c r="AY4" s="98">
        <v>1747.0371883939517</v>
      </c>
      <c r="AZ4" s="98">
        <v>807.1107478545157</v>
      </c>
      <c r="BA4" s="100" t="s">
        <v>676</v>
      </c>
      <c r="BB4" s="100" t="s">
        <v>676</v>
      </c>
      <c r="BC4" s="100" t="s">
        <v>676</v>
      </c>
      <c r="BD4" s="158">
        <v>1.471532288</v>
      </c>
      <c r="BE4" s="158">
        <v>1.8290351870000001</v>
      </c>
      <c r="BF4" s="162">
        <v>1291</v>
      </c>
      <c r="BG4" s="162">
        <v>26</v>
      </c>
      <c r="BH4" s="162">
        <v>2226</v>
      </c>
      <c r="BI4" s="162">
        <v>1244</v>
      </c>
      <c r="BJ4" s="162">
        <v>641</v>
      </c>
      <c r="BK4" s="97"/>
      <c r="BL4" s="97"/>
      <c r="BM4" s="97"/>
      <c r="BN4" s="97"/>
    </row>
    <row r="5" spans="1:66" ht="12.75">
      <c r="A5" s="79" t="s">
        <v>575</v>
      </c>
      <c r="B5" s="79" t="s">
        <v>288</v>
      </c>
      <c r="C5" s="79" t="s">
        <v>272</v>
      </c>
      <c r="D5" s="99">
        <v>6167</v>
      </c>
      <c r="E5" s="99">
        <v>1262</v>
      </c>
      <c r="F5" s="99" t="s">
        <v>406</v>
      </c>
      <c r="G5" s="99">
        <v>41</v>
      </c>
      <c r="H5" s="99">
        <v>20</v>
      </c>
      <c r="I5" s="99">
        <v>139</v>
      </c>
      <c r="J5" s="99">
        <v>681</v>
      </c>
      <c r="K5" s="99">
        <v>8</v>
      </c>
      <c r="L5" s="99">
        <v>1246</v>
      </c>
      <c r="M5" s="99">
        <v>523</v>
      </c>
      <c r="N5" s="99">
        <v>264</v>
      </c>
      <c r="O5" s="99">
        <v>158</v>
      </c>
      <c r="P5" s="159">
        <v>158</v>
      </c>
      <c r="Q5" s="99">
        <v>23</v>
      </c>
      <c r="R5" s="99">
        <v>39</v>
      </c>
      <c r="S5" s="99">
        <v>32</v>
      </c>
      <c r="T5" s="99">
        <v>21</v>
      </c>
      <c r="U5" s="99">
        <v>8</v>
      </c>
      <c r="V5" s="99">
        <v>29</v>
      </c>
      <c r="W5" s="99">
        <v>32</v>
      </c>
      <c r="X5" s="99">
        <v>24</v>
      </c>
      <c r="Y5" s="99">
        <v>96</v>
      </c>
      <c r="Z5" s="99">
        <v>53</v>
      </c>
      <c r="AA5" s="99" t="s">
        <v>676</v>
      </c>
      <c r="AB5" s="99" t="s">
        <v>676</v>
      </c>
      <c r="AC5" s="99" t="s">
        <v>676</v>
      </c>
      <c r="AD5" s="98" t="s">
        <v>385</v>
      </c>
      <c r="AE5" s="100">
        <v>0.20463758715745095</v>
      </c>
      <c r="AF5" s="100">
        <v>0.12</v>
      </c>
      <c r="AG5" s="98">
        <v>664.8289281660451</v>
      </c>
      <c r="AH5" s="98">
        <v>324.3067942273391</v>
      </c>
      <c r="AI5" s="100">
        <v>0.023</v>
      </c>
      <c r="AJ5" s="100">
        <v>0.710856</v>
      </c>
      <c r="AK5" s="100">
        <v>0.571429</v>
      </c>
      <c r="AL5" s="100">
        <v>0.811726</v>
      </c>
      <c r="AM5" s="100">
        <v>0.585011</v>
      </c>
      <c r="AN5" s="100">
        <v>0.593258</v>
      </c>
      <c r="AO5" s="98">
        <v>2562.0236743959786</v>
      </c>
      <c r="AP5" s="158">
        <v>1.195111008</v>
      </c>
      <c r="AQ5" s="100">
        <v>0.14556962025316456</v>
      </c>
      <c r="AR5" s="100">
        <v>0.5897435897435898</v>
      </c>
      <c r="AS5" s="98">
        <v>518.8908707637426</v>
      </c>
      <c r="AT5" s="98">
        <v>340.522133938706</v>
      </c>
      <c r="AU5" s="98">
        <v>129.72271769093564</v>
      </c>
      <c r="AV5" s="98">
        <v>470.24485162964163</v>
      </c>
      <c r="AW5" s="98">
        <v>518.8908707637426</v>
      </c>
      <c r="AX5" s="98">
        <v>389.1681530728069</v>
      </c>
      <c r="AY5" s="98">
        <v>1556.6726122912276</v>
      </c>
      <c r="AZ5" s="98">
        <v>859.4130047024485</v>
      </c>
      <c r="BA5" s="100" t="s">
        <v>676</v>
      </c>
      <c r="BB5" s="100" t="s">
        <v>676</v>
      </c>
      <c r="BC5" s="100" t="s">
        <v>676</v>
      </c>
      <c r="BD5" s="158">
        <v>1.016026077</v>
      </c>
      <c r="BE5" s="158">
        <v>1.396671143</v>
      </c>
      <c r="BF5" s="162">
        <v>958</v>
      </c>
      <c r="BG5" s="162">
        <v>14</v>
      </c>
      <c r="BH5" s="162">
        <v>1535</v>
      </c>
      <c r="BI5" s="162">
        <v>894</v>
      </c>
      <c r="BJ5" s="162">
        <v>445</v>
      </c>
      <c r="BK5" s="97"/>
      <c r="BL5" s="97"/>
      <c r="BM5" s="97"/>
      <c r="BN5" s="97"/>
    </row>
    <row r="6" spans="1:66" ht="12.75">
      <c r="A6" s="79" t="s">
        <v>580</v>
      </c>
      <c r="B6" s="79" t="s">
        <v>293</v>
      </c>
      <c r="C6" s="79" t="s">
        <v>272</v>
      </c>
      <c r="D6" s="99">
        <v>10980</v>
      </c>
      <c r="E6" s="99">
        <v>3168</v>
      </c>
      <c r="F6" s="99" t="s">
        <v>406</v>
      </c>
      <c r="G6" s="99">
        <v>97</v>
      </c>
      <c r="H6" s="99">
        <v>41</v>
      </c>
      <c r="I6" s="99">
        <v>258</v>
      </c>
      <c r="J6" s="99">
        <v>1320</v>
      </c>
      <c r="K6" s="99">
        <v>27</v>
      </c>
      <c r="L6" s="99">
        <v>1958</v>
      </c>
      <c r="M6" s="99">
        <v>988</v>
      </c>
      <c r="N6" s="99">
        <v>634</v>
      </c>
      <c r="O6" s="99">
        <v>330</v>
      </c>
      <c r="P6" s="159">
        <v>330</v>
      </c>
      <c r="Q6" s="99">
        <v>43</v>
      </c>
      <c r="R6" s="99">
        <v>74</v>
      </c>
      <c r="S6" s="99">
        <v>67</v>
      </c>
      <c r="T6" s="99">
        <v>50</v>
      </c>
      <c r="U6" s="99">
        <v>9</v>
      </c>
      <c r="V6" s="99">
        <v>73</v>
      </c>
      <c r="W6" s="99">
        <v>125</v>
      </c>
      <c r="X6" s="99">
        <v>51</v>
      </c>
      <c r="Y6" s="99">
        <v>207</v>
      </c>
      <c r="Z6" s="99">
        <v>78</v>
      </c>
      <c r="AA6" s="99" t="s">
        <v>676</v>
      </c>
      <c r="AB6" s="99" t="s">
        <v>676</v>
      </c>
      <c r="AC6" s="99" t="s">
        <v>676</v>
      </c>
      <c r="AD6" s="98" t="s">
        <v>385</v>
      </c>
      <c r="AE6" s="100">
        <v>0.28852459016393445</v>
      </c>
      <c r="AF6" s="100">
        <v>0.1</v>
      </c>
      <c r="AG6" s="98">
        <v>883.4244080145719</v>
      </c>
      <c r="AH6" s="98">
        <v>373.40619307832424</v>
      </c>
      <c r="AI6" s="100">
        <v>0.023</v>
      </c>
      <c r="AJ6" s="100">
        <v>0.753855</v>
      </c>
      <c r="AK6" s="100">
        <v>0.55102</v>
      </c>
      <c r="AL6" s="100">
        <v>0.823035</v>
      </c>
      <c r="AM6" s="100">
        <v>0.537833</v>
      </c>
      <c r="AN6" s="100">
        <v>0.60903</v>
      </c>
      <c r="AO6" s="98">
        <v>3005.464480874317</v>
      </c>
      <c r="AP6" s="158">
        <v>1.21662674</v>
      </c>
      <c r="AQ6" s="100">
        <v>0.1303030303030303</v>
      </c>
      <c r="AR6" s="100">
        <v>0.581081081081081</v>
      </c>
      <c r="AS6" s="98">
        <v>610.2003642987249</v>
      </c>
      <c r="AT6" s="98">
        <v>455.3734061930783</v>
      </c>
      <c r="AU6" s="98">
        <v>81.9672131147541</v>
      </c>
      <c r="AV6" s="98">
        <v>664.8451730418943</v>
      </c>
      <c r="AW6" s="98">
        <v>1138.4335154826958</v>
      </c>
      <c r="AX6" s="98">
        <v>464.4808743169399</v>
      </c>
      <c r="AY6" s="98">
        <v>1885.2459016393443</v>
      </c>
      <c r="AZ6" s="98">
        <v>710.3825136612022</v>
      </c>
      <c r="BA6" s="100" t="s">
        <v>676</v>
      </c>
      <c r="BB6" s="100" t="s">
        <v>676</v>
      </c>
      <c r="BC6" s="100" t="s">
        <v>676</v>
      </c>
      <c r="BD6" s="158">
        <v>1.088887863</v>
      </c>
      <c r="BE6" s="158">
        <v>1.3552334590000001</v>
      </c>
      <c r="BF6" s="162">
        <v>1751</v>
      </c>
      <c r="BG6" s="162">
        <v>49</v>
      </c>
      <c r="BH6" s="162">
        <v>2379</v>
      </c>
      <c r="BI6" s="162">
        <v>1837</v>
      </c>
      <c r="BJ6" s="162">
        <v>1041</v>
      </c>
      <c r="BK6" s="97"/>
      <c r="BL6" s="97"/>
      <c r="BM6" s="97"/>
      <c r="BN6" s="97"/>
    </row>
    <row r="7" spans="1:66" ht="12.75">
      <c r="A7" s="79" t="s">
        <v>574</v>
      </c>
      <c r="B7" s="79" t="s">
        <v>287</v>
      </c>
      <c r="C7" s="79" t="s">
        <v>272</v>
      </c>
      <c r="D7" s="99">
        <v>3978</v>
      </c>
      <c r="E7" s="99">
        <v>1060</v>
      </c>
      <c r="F7" s="99" t="s">
        <v>406</v>
      </c>
      <c r="G7" s="99">
        <v>31</v>
      </c>
      <c r="H7" s="99">
        <v>18</v>
      </c>
      <c r="I7" s="99">
        <v>158</v>
      </c>
      <c r="J7" s="99">
        <v>551</v>
      </c>
      <c r="K7" s="99">
        <v>534</v>
      </c>
      <c r="L7" s="99">
        <v>817</v>
      </c>
      <c r="M7" s="99">
        <v>368</v>
      </c>
      <c r="N7" s="99">
        <v>236</v>
      </c>
      <c r="O7" s="99">
        <v>83</v>
      </c>
      <c r="P7" s="159">
        <v>83</v>
      </c>
      <c r="Q7" s="99">
        <v>15</v>
      </c>
      <c r="R7" s="99">
        <v>40</v>
      </c>
      <c r="S7" s="99">
        <v>19</v>
      </c>
      <c r="T7" s="99">
        <v>13</v>
      </c>
      <c r="U7" s="99" t="s">
        <v>676</v>
      </c>
      <c r="V7" s="99">
        <v>17</v>
      </c>
      <c r="W7" s="99">
        <v>31</v>
      </c>
      <c r="X7" s="99">
        <v>15</v>
      </c>
      <c r="Y7" s="99">
        <v>55</v>
      </c>
      <c r="Z7" s="99">
        <v>27</v>
      </c>
      <c r="AA7" s="99" t="s">
        <v>676</v>
      </c>
      <c r="AB7" s="99" t="s">
        <v>676</v>
      </c>
      <c r="AC7" s="99" t="s">
        <v>676</v>
      </c>
      <c r="AD7" s="98" t="s">
        <v>385</v>
      </c>
      <c r="AE7" s="100">
        <v>0.26646556058320764</v>
      </c>
      <c r="AF7" s="100">
        <v>0.1</v>
      </c>
      <c r="AG7" s="98">
        <v>779.2860734037205</v>
      </c>
      <c r="AH7" s="98">
        <v>452.4886877828054</v>
      </c>
      <c r="AI7" s="100">
        <v>0.04</v>
      </c>
      <c r="AJ7" s="100">
        <v>0.78156</v>
      </c>
      <c r="AK7" s="100">
        <v>0.771676</v>
      </c>
      <c r="AL7" s="100">
        <v>0.851929</v>
      </c>
      <c r="AM7" s="100">
        <v>0.510402</v>
      </c>
      <c r="AN7" s="100">
        <v>0.598985</v>
      </c>
      <c r="AO7" s="98">
        <v>2086.4756158873806</v>
      </c>
      <c r="AP7" s="158">
        <v>0.8559121704</v>
      </c>
      <c r="AQ7" s="100">
        <v>0.18072289156626506</v>
      </c>
      <c r="AR7" s="100">
        <v>0.375</v>
      </c>
      <c r="AS7" s="98">
        <v>477.6269482151835</v>
      </c>
      <c r="AT7" s="98">
        <v>326.797385620915</v>
      </c>
      <c r="AU7" s="98" t="s">
        <v>676</v>
      </c>
      <c r="AV7" s="98">
        <v>427.35042735042737</v>
      </c>
      <c r="AW7" s="98">
        <v>779.2860734037205</v>
      </c>
      <c r="AX7" s="98">
        <v>377.0739064856712</v>
      </c>
      <c r="AY7" s="98">
        <v>1382.6043237807944</v>
      </c>
      <c r="AZ7" s="98">
        <v>678.7330316742082</v>
      </c>
      <c r="BA7" s="100" t="s">
        <v>676</v>
      </c>
      <c r="BB7" s="100" t="s">
        <v>676</v>
      </c>
      <c r="BC7" s="100" t="s">
        <v>676</v>
      </c>
      <c r="BD7" s="158">
        <v>0.6817292786</v>
      </c>
      <c r="BE7" s="158">
        <v>1.061031876</v>
      </c>
      <c r="BF7" s="162">
        <v>705</v>
      </c>
      <c r="BG7" s="162">
        <v>692</v>
      </c>
      <c r="BH7" s="162">
        <v>959</v>
      </c>
      <c r="BI7" s="162">
        <v>721</v>
      </c>
      <c r="BJ7" s="162">
        <v>394</v>
      </c>
      <c r="BK7" s="97"/>
      <c r="BL7" s="97"/>
      <c r="BM7" s="97"/>
      <c r="BN7" s="97"/>
    </row>
    <row r="8" spans="1:66" ht="12.75">
      <c r="A8" s="79" t="s">
        <v>583</v>
      </c>
      <c r="B8" s="79" t="s">
        <v>296</v>
      </c>
      <c r="C8" s="79" t="s">
        <v>272</v>
      </c>
      <c r="D8" s="99">
        <v>7187</v>
      </c>
      <c r="E8" s="99">
        <v>1156</v>
      </c>
      <c r="F8" s="99" t="s">
        <v>407</v>
      </c>
      <c r="G8" s="99">
        <v>43</v>
      </c>
      <c r="H8" s="99">
        <v>17</v>
      </c>
      <c r="I8" s="99">
        <v>136</v>
      </c>
      <c r="J8" s="99">
        <v>629</v>
      </c>
      <c r="K8" s="99">
        <v>16</v>
      </c>
      <c r="L8" s="99">
        <v>1432</v>
      </c>
      <c r="M8" s="99">
        <v>384</v>
      </c>
      <c r="N8" s="99">
        <v>261</v>
      </c>
      <c r="O8" s="99">
        <v>153</v>
      </c>
      <c r="P8" s="159">
        <v>153</v>
      </c>
      <c r="Q8" s="99">
        <v>19</v>
      </c>
      <c r="R8" s="99">
        <v>40</v>
      </c>
      <c r="S8" s="99">
        <v>22</v>
      </c>
      <c r="T8" s="99">
        <v>19</v>
      </c>
      <c r="U8" s="99">
        <v>6</v>
      </c>
      <c r="V8" s="99">
        <v>43</v>
      </c>
      <c r="W8" s="99">
        <v>57</v>
      </c>
      <c r="X8" s="99">
        <v>22</v>
      </c>
      <c r="Y8" s="99">
        <v>82</v>
      </c>
      <c r="Z8" s="99">
        <v>47</v>
      </c>
      <c r="AA8" s="99" t="s">
        <v>676</v>
      </c>
      <c r="AB8" s="99" t="s">
        <v>676</v>
      </c>
      <c r="AC8" s="99" t="s">
        <v>676</v>
      </c>
      <c r="AD8" s="98" t="s">
        <v>385</v>
      </c>
      <c r="AE8" s="100">
        <v>0.16084597189369695</v>
      </c>
      <c r="AF8" s="100">
        <v>0.13</v>
      </c>
      <c r="AG8" s="98">
        <v>598.3024906080423</v>
      </c>
      <c r="AH8" s="98">
        <v>236.53819396131905</v>
      </c>
      <c r="AI8" s="100">
        <v>0.019</v>
      </c>
      <c r="AJ8" s="100">
        <v>0.703579</v>
      </c>
      <c r="AK8" s="100">
        <v>0.615385</v>
      </c>
      <c r="AL8" s="100">
        <v>0.769892</v>
      </c>
      <c r="AM8" s="100">
        <v>0.486692</v>
      </c>
      <c r="AN8" s="100">
        <v>0.548319</v>
      </c>
      <c r="AO8" s="98">
        <v>2128.8437456518714</v>
      </c>
      <c r="AP8" s="158">
        <v>1.138362198</v>
      </c>
      <c r="AQ8" s="100">
        <v>0.12418300653594772</v>
      </c>
      <c r="AR8" s="100">
        <v>0.475</v>
      </c>
      <c r="AS8" s="98">
        <v>306.1082510087658</v>
      </c>
      <c r="AT8" s="98">
        <v>264.36621678029775</v>
      </c>
      <c r="AU8" s="98">
        <v>83.48406845693613</v>
      </c>
      <c r="AV8" s="98">
        <v>598.3024906080423</v>
      </c>
      <c r="AW8" s="98">
        <v>793.0986503408933</v>
      </c>
      <c r="AX8" s="98">
        <v>306.1082510087658</v>
      </c>
      <c r="AY8" s="98">
        <v>1140.9489355781272</v>
      </c>
      <c r="AZ8" s="98">
        <v>653.9585362459998</v>
      </c>
      <c r="BA8" s="100" t="s">
        <v>676</v>
      </c>
      <c r="BB8" s="100" t="s">
        <v>676</v>
      </c>
      <c r="BC8" s="100" t="s">
        <v>676</v>
      </c>
      <c r="BD8" s="158">
        <v>0.9651316070999999</v>
      </c>
      <c r="BE8" s="158">
        <v>1.333709564</v>
      </c>
      <c r="BF8" s="162">
        <v>894</v>
      </c>
      <c r="BG8" s="162">
        <v>26</v>
      </c>
      <c r="BH8" s="162">
        <v>1860</v>
      </c>
      <c r="BI8" s="162">
        <v>789</v>
      </c>
      <c r="BJ8" s="162">
        <v>476</v>
      </c>
      <c r="BK8" s="97"/>
      <c r="BL8" s="97"/>
      <c r="BM8" s="97"/>
      <c r="BN8" s="97"/>
    </row>
    <row r="9" spans="1:66" ht="12.75">
      <c r="A9" s="79" t="s">
        <v>573</v>
      </c>
      <c r="B9" s="79" t="s">
        <v>285</v>
      </c>
      <c r="C9" s="79" t="s">
        <v>272</v>
      </c>
      <c r="D9" s="99">
        <v>12671</v>
      </c>
      <c r="E9" s="99">
        <v>3400</v>
      </c>
      <c r="F9" s="99" t="s">
        <v>407</v>
      </c>
      <c r="G9" s="99">
        <v>35</v>
      </c>
      <c r="H9" s="99">
        <v>52</v>
      </c>
      <c r="I9" s="99">
        <v>360</v>
      </c>
      <c r="J9" s="99">
        <v>1472</v>
      </c>
      <c r="K9" s="99">
        <v>35</v>
      </c>
      <c r="L9" s="99">
        <v>2116</v>
      </c>
      <c r="M9" s="99">
        <v>1181</v>
      </c>
      <c r="N9" s="99">
        <v>623</v>
      </c>
      <c r="O9" s="99">
        <v>319</v>
      </c>
      <c r="P9" s="159">
        <v>319</v>
      </c>
      <c r="Q9" s="99">
        <v>40</v>
      </c>
      <c r="R9" s="99">
        <v>85</v>
      </c>
      <c r="S9" s="99">
        <v>75</v>
      </c>
      <c r="T9" s="99">
        <v>76</v>
      </c>
      <c r="U9" s="99">
        <v>11</v>
      </c>
      <c r="V9" s="99">
        <v>54</v>
      </c>
      <c r="W9" s="99">
        <v>120</v>
      </c>
      <c r="X9" s="99">
        <v>33</v>
      </c>
      <c r="Y9" s="99">
        <v>138</v>
      </c>
      <c r="Z9" s="99">
        <v>92</v>
      </c>
      <c r="AA9" s="99" t="s">
        <v>676</v>
      </c>
      <c r="AB9" s="99" t="s">
        <v>676</v>
      </c>
      <c r="AC9" s="99" t="s">
        <v>676</v>
      </c>
      <c r="AD9" s="98" t="s">
        <v>385</v>
      </c>
      <c r="AE9" s="100">
        <v>0.26832925578091704</v>
      </c>
      <c r="AF9" s="100">
        <v>0.13</v>
      </c>
      <c r="AG9" s="98">
        <v>276.2212927156499</v>
      </c>
      <c r="AH9" s="98">
        <v>410.3859206061084</v>
      </c>
      <c r="AI9" s="100">
        <v>0.027999999999999997</v>
      </c>
      <c r="AJ9" s="100">
        <v>0.734165</v>
      </c>
      <c r="AK9" s="100">
        <v>0.614035</v>
      </c>
      <c r="AL9" s="100">
        <v>0.748497</v>
      </c>
      <c r="AM9" s="100">
        <v>0.593766</v>
      </c>
      <c r="AN9" s="100">
        <v>0.616832</v>
      </c>
      <c r="AO9" s="98">
        <v>2517.5597821797805</v>
      </c>
      <c r="AP9" s="158">
        <v>1.058374557</v>
      </c>
      <c r="AQ9" s="100">
        <v>0.12539184952978055</v>
      </c>
      <c r="AR9" s="100">
        <v>0.47058823529411764</v>
      </c>
      <c r="AS9" s="98">
        <v>591.9027701049641</v>
      </c>
      <c r="AT9" s="98">
        <v>599.7948070396969</v>
      </c>
      <c r="AU9" s="98">
        <v>86.8124062820614</v>
      </c>
      <c r="AV9" s="98">
        <v>426.16999447557413</v>
      </c>
      <c r="AW9" s="98">
        <v>947.0444321679425</v>
      </c>
      <c r="AX9" s="98">
        <v>260.4372188461842</v>
      </c>
      <c r="AY9" s="98">
        <v>1089.101096993134</v>
      </c>
      <c r="AZ9" s="98">
        <v>726.0673979954227</v>
      </c>
      <c r="BA9" s="101" t="s">
        <v>676</v>
      </c>
      <c r="BB9" s="101" t="s">
        <v>676</v>
      </c>
      <c r="BC9" s="101" t="s">
        <v>676</v>
      </c>
      <c r="BD9" s="158">
        <v>0.945405426</v>
      </c>
      <c r="BE9" s="158">
        <v>1.181126862</v>
      </c>
      <c r="BF9" s="162">
        <v>2005</v>
      </c>
      <c r="BG9" s="162">
        <v>57</v>
      </c>
      <c r="BH9" s="162">
        <v>2827</v>
      </c>
      <c r="BI9" s="162">
        <v>1989</v>
      </c>
      <c r="BJ9" s="162">
        <v>1010</v>
      </c>
      <c r="BK9" s="97"/>
      <c r="BL9" s="97"/>
      <c r="BM9" s="97"/>
      <c r="BN9" s="97"/>
    </row>
    <row r="10" spans="1:66" ht="12.75">
      <c r="A10" s="79" t="s">
        <v>619</v>
      </c>
      <c r="B10" s="79" t="s">
        <v>335</v>
      </c>
      <c r="C10" s="79" t="s">
        <v>272</v>
      </c>
      <c r="D10" s="99">
        <v>14696</v>
      </c>
      <c r="E10" s="99">
        <v>3113</v>
      </c>
      <c r="F10" s="99" t="s">
        <v>407</v>
      </c>
      <c r="G10" s="99">
        <v>76</v>
      </c>
      <c r="H10" s="99">
        <v>40</v>
      </c>
      <c r="I10" s="99">
        <v>260</v>
      </c>
      <c r="J10" s="99">
        <v>1558</v>
      </c>
      <c r="K10" s="99">
        <v>19</v>
      </c>
      <c r="L10" s="99">
        <v>2710</v>
      </c>
      <c r="M10" s="99">
        <v>1122</v>
      </c>
      <c r="N10" s="99">
        <v>720</v>
      </c>
      <c r="O10" s="99">
        <v>284</v>
      </c>
      <c r="P10" s="159">
        <v>284</v>
      </c>
      <c r="Q10" s="99">
        <v>36</v>
      </c>
      <c r="R10" s="99">
        <v>70</v>
      </c>
      <c r="S10" s="99">
        <v>55</v>
      </c>
      <c r="T10" s="99">
        <v>68</v>
      </c>
      <c r="U10" s="99">
        <v>6</v>
      </c>
      <c r="V10" s="99">
        <v>29</v>
      </c>
      <c r="W10" s="99">
        <v>65</v>
      </c>
      <c r="X10" s="99">
        <v>85</v>
      </c>
      <c r="Y10" s="99">
        <v>162</v>
      </c>
      <c r="Z10" s="99">
        <v>94</v>
      </c>
      <c r="AA10" s="99" t="s">
        <v>676</v>
      </c>
      <c r="AB10" s="99" t="s">
        <v>676</v>
      </c>
      <c r="AC10" s="99" t="s">
        <v>676</v>
      </c>
      <c r="AD10" s="98" t="s">
        <v>385</v>
      </c>
      <c r="AE10" s="100">
        <v>0.2118263473053892</v>
      </c>
      <c r="AF10" s="100">
        <v>0.15</v>
      </c>
      <c r="AG10" s="98">
        <v>517.1475231355471</v>
      </c>
      <c r="AH10" s="98">
        <v>272.18290691344583</v>
      </c>
      <c r="AI10" s="100">
        <v>0.018000000000000002</v>
      </c>
      <c r="AJ10" s="100">
        <v>0.720963</v>
      </c>
      <c r="AK10" s="100">
        <v>0.404255</v>
      </c>
      <c r="AL10" s="100">
        <v>0.795888</v>
      </c>
      <c r="AM10" s="100">
        <v>0.55</v>
      </c>
      <c r="AN10" s="100">
        <v>0.616438</v>
      </c>
      <c r="AO10" s="98">
        <v>1932.4986390854654</v>
      </c>
      <c r="AP10" s="158">
        <v>0.9136185455</v>
      </c>
      <c r="AQ10" s="100">
        <v>0.1267605633802817</v>
      </c>
      <c r="AR10" s="100">
        <v>0.5142857142857142</v>
      </c>
      <c r="AS10" s="98">
        <v>374.251497005988</v>
      </c>
      <c r="AT10" s="98">
        <v>462.71094175285793</v>
      </c>
      <c r="AU10" s="98">
        <v>40.827436037016874</v>
      </c>
      <c r="AV10" s="98">
        <v>197.33260751224822</v>
      </c>
      <c r="AW10" s="98">
        <v>442.2972237343495</v>
      </c>
      <c r="AX10" s="98">
        <v>578.3886771910724</v>
      </c>
      <c r="AY10" s="98">
        <v>1102.3407729994556</v>
      </c>
      <c r="AZ10" s="98">
        <v>639.6298312465977</v>
      </c>
      <c r="BA10" s="100" t="s">
        <v>676</v>
      </c>
      <c r="BB10" s="100" t="s">
        <v>676</v>
      </c>
      <c r="BC10" s="100" t="s">
        <v>676</v>
      </c>
      <c r="BD10" s="158">
        <v>0.8104414368</v>
      </c>
      <c r="BE10" s="158">
        <v>1.026291962</v>
      </c>
      <c r="BF10" s="162">
        <v>2161</v>
      </c>
      <c r="BG10" s="162">
        <v>47</v>
      </c>
      <c r="BH10" s="162">
        <v>3405</v>
      </c>
      <c r="BI10" s="162">
        <v>2040</v>
      </c>
      <c r="BJ10" s="162">
        <v>1168</v>
      </c>
      <c r="BK10" s="97"/>
      <c r="BL10" s="97"/>
      <c r="BM10" s="97"/>
      <c r="BN10" s="97"/>
    </row>
    <row r="11" spans="1:66" ht="12.75">
      <c r="A11" s="79" t="s">
        <v>663</v>
      </c>
      <c r="B11" s="79" t="s">
        <v>379</v>
      </c>
      <c r="C11" s="79" t="s">
        <v>272</v>
      </c>
      <c r="D11" s="99">
        <v>2247</v>
      </c>
      <c r="E11" s="99">
        <v>642</v>
      </c>
      <c r="F11" s="99" t="s">
        <v>406</v>
      </c>
      <c r="G11" s="99">
        <v>19</v>
      </c>
      <c r="H11" s="99">
        <v>7</v>
      </c>
      <c r="I11" s="99">
        <v>48</v>
      </c>
      <c r="J11" s="99">
        <v>307</v>
      </c>
      <c r="K11" s="99">
        <v>282</v>
      </c>
      <c r="L11" s="99">
        <v>357</v>
      </c>
      <c r="M11" s="99">
        <v>206</v>
      </c>
      <c r="N11" s="99">
        <v>141</v>
      </c>
      <c r="O11" s="99">
        <v>26</v>
      </c>
      <c r="P11" s="159">
        <v>26</v>
      </c>
      <c r="Q11" s="99" t="s">
        <v>676</v>
      </c>
      <c r="R11" s="99">
        <v>15</v>
      </c>
      <c r="S11" s="99" t="s">
        <v>676</v>
      </c>
      <c r="T11" s="99">
        <v>9</v>
      </c>
      <c r="U11" s="99" t="s">
        <v>676</v>
      </c>
      <c r="V11" s="99" t="s">
        <v>676</v>
      </c>
      <c r="W11" s="99">
        <v>22</v>
      </c>
      <c r="X11" s="99" t="s">
        <v>676</v>
      </c>
      <c r="Y11" s="99">
        <v>19</v>
      </c>
      <c r="Z11" s="99">
        <v>12</v>
      </c>
      <c r="AA11" s="99" t="s">
        <v>676</v>
      </c>
      <c r="AB11" s="99" t="s">
        <v>676</v>
      </c>
      <c r="AC11" s="99" t="s">
        <v>676</v>
      </c>
      <c r="AD11" s="98" t="s">
        <v>385</v>
      </c>
      <c r="AE11" s="100">
        <v>0.2857142857142857</v>
      </c>
      <c r="AF11" s="100">
        <v>0.09</v>
      </c>
      <c r="AG11" s="98">
        <v>845.5718736092568</v>
      </c>
      <c r="AH11" s="98">
        <v>311.52647975077883</v>
      </c>
      <c r="AI11" s="100">
        <v>0.021</v>
      </c>
      <c r="AJ11" s="100">
        <v>0.78117</v>
      </c>
      <c r="AK11" s="100">
        <v>0.754011</v>
      </c>
      <c r="AL11" s="100">
        <v>0.762821</v>
      </c>
      <c r="AM11" s="100">
        <v>0.495192</v>
      </c>
      <c r="AN11" s="100">
        <v>0.566265</v>
      </c>
      <c r="AO11" s="98">
        <v>1157.0983533600356</v>
      </c>
      <c r="AP11" s="158">
        <v>0.4719329834</v>
      </c>
      <c r="AQ11" s="100" t="s">
        <v>676</v>
      </c>
      <c r="AR11" s="100" t="s">
        <v>676</v>
      </c>
      <c r="AS11" s="98" t="s">
        <v>676</v>
      </c>
      <c r="AT11" s="98">
        <v>400.5340453938585</v>
      </c>
      <c r="AU11" s="98" t="s">
        <v>676</v>
      </c>
      <c r="AV11" s="98" t="s">
        <v>676</v>
      </c>
      <c r="AW11" s="98">
        <v>979.0832220738763</v>
      </c>
      <c r="AX11" s="98" t="s">
        <v>676</v>
      </c>
      <c r="AY11" s="98">
        <v>845.5718736092568</v>
      </c>
      <c r="AZ11" s="98">
        <v>534.045393858478</v>
      </c>
      <c r="BA11" s="100" t="s">
        <v>676</v>
      </c>
      <c r="BB11" s="100" t="s">
        <v>676</v>
      </c>
      <c r="BC11" s="100" t="s">
        <v>676</v>
      </c>
      <c r="BD11" s="158">
        <v>0.308282299</v>
      </c>
      <c r="BE11" s="158">
        <v>0.6914911652000001</v>
      </c>
      <c r="BF11" s="162">
        <v>393</v>
      </c>
      <c r="BG11" s="162">
        <v>374</v>
      </c>
      <c r="BH11" s="162">
        <v>468</v>
      </c>
      <c r="BI11" s="162">
        <v>416</v>
      </c>
      <c r="BJ11" s="162">
        <v>249</v>
      </c>
      <c r="BK11" s="97"/>
      <c r="BL11" s="97"/>
      <c r="BM11" s="97"/>
      <c r="BN11" s="97"/>
    </row>
    <row r="12" spans="1:66" ht="12.75">
      <c r="A12" s="79" t="s">
        <v>595</v>
      </c>
      <c r="B12" s="79" t="s">
        <v>309</v>
      </c>
      <c r="C12" s="79" t="s">
        <v>272</v>
      </c>
      <c r="D12" s="99">
        <v>7270</v>
      </c>
      <c r="E12" s="99">
        <v>1891</v>
      </c>
      <c r="F12" s="99" t="s">
        <v>408</v>
      </c>
      <c r="G12" s="99">
        <v>48</v>
      </c>
      <c r="H12" s="99">
        <v>19</v>
      </c>
      <c r="I12" s="99">
        <v>205</v>
      </c>
      <c r="J12" s="99">
        <v>831</v>
      </c>
      <c r="K12" s="99">
        <v>15</v>
      </c>
      <c r="L12" s="99">
        <v>1387</v>
      </c>
      <c r="M12" s="99">
        <v>608</v>
      </c>
      <c r="N12" s="99">
        <v>394</v>
      </c>
      <c r="O12" s="99">
        <v>279</v>
      </c>
      <c r="P12" s="159">
        <v>279</v>
      </c>
      <c r="Q12" s="99">
        <v>30</v>
      </c>
      <c r="R12" s="99">
        <v>54</v>
      </c>
      <c r="S12" s="99">
        <v>44</v>
      </c>
      <c r="T12" s="99">
        <v>62</v>
      </c>
      <c r="U12" s="99">
        <v>10</v>
      </c>
      <c r="V12" s="99">
        <v>52</v>
      </c>
      <c r="W12" s="99">
        <v>53</v>
      </c>
      <c r="X12" s="99">
        <v>58</v>
      </c>
      <c r="Y12" s="99">
        <v>87</v>
      </c>
      <c r="Z12" s="99">
        <v>72</v>
      </c>
      <c r="AA12" s="99" t="s">
        <v>676</v>
      </c>
      <c r="AB12" s="99" t="s">
        <v>676</v>
      </c>
      <c r="AC12" s="99" t="s">
        <v>676</v>
      </c>
      <c r="AD12" s="98" t="s">
        <v>385</v>
      </c>
      <c r="AE12" s="100">
        <v>0.26011004126547455</v>
      </c>
      <c r="AF12" s="100">
        <v>0.07</v>
      </c>
      <c r="AG12" s="98">
        <v>660.2475928473177</v>
      </c>
      <c r="AH12" s="98">
        <v>261.3480055020633</v>
      </c>
      <c r="AI12" s="100">
        <v>0.027999999999999997</v>
      </c>
      <c r="AJ12" s="100">
        <v>0.711473</v>
      </c>
      <c r="AK12" s="100">
        <v>0.555556</v>
      </c>
      <c r="AL12" s="100">
        <v>0.831037</v>
      </c>
      <c r="AM12" s="100">
        <v>0.51308</v>
      </c>
      <c r="AN12" s="100">
        <v>0.58457</v>
      </c>
      <c r="AO12" s="98">
        <v>3837.6891334250345</v>
      </c>
      <c r="AP12" s="158">
        <v>1.6029055790000002</v>
      </c>
      <c r="AQ12" s="100">
        <v>0.10752688172043011</v>
      </c>
      <c r="AR12" s="100">
        <v>0.5555555555555556</v>
      </c>
      <c r="AS12" s="98">
        <v>605.2269601100413</v>
      </c>
      <c r="AT12" s="98">
        <v>852.8198074277855</v>
      </c>
      <c r="AU12" s="98">
        <v>137.5515818431912</v>
      </c>
      <c r="AV12" s="98">
        <v>715.2682255845942</v>
      </c>
      <c r="AW12" s="98">
        <v>729.0233837689134</v>
      </c>
      <c r="AX12" s="98">
        <v>797.799174690509</v>
      </c>
      <c r="AY12" s="98">
        <v>1196.6987620357634</v>
      </c>
      <c r="AZ12" s="98">
        <v>990.3713892709766</v>
      </c>
      <c r="BA12" s="100" t="s">
        <v>676</v>
      </c>
      <c r="BB12" s="100" t="s">
        <v>676</v>
      </c>
      <c r="BC12" s="100" t="s">
        <v>676</v>
      </c>
      <c r="BD12" s="158">
        <v>1.4203199770000001</v>
      </c>
      <c r="BE12" s="158">
        <v>1.8024536130000002</v>
      </c>
      <c r="BF12" s="162">
        <v>1168</v>
      </c>
      <c r="BG12" s="162">
        <v>27</v>
      </c>
      <c r="BH12" s="162">
        <v>1669</v>
      </c>
      <c r="BI12" s="162">
        <v>1185</v>
      </c>
      <c r="BJ12" s="162">
        <v>674</v>
      </c>
      <c r="BK12" s="97"/>
      <c r="BL12" s="97"/>
      <c r="BM12" s="97"/>
      <c r="BN12" s="97"/>
    </row>
    <row r="13" spans="1:66" ht="12.75">
      <c r="A13" s="79" t="s">
        <v>646</v>
      </c>
      <c r="B13" s="79" t="s">
        <v>362</v>
      </c>
      <c r="C13" s="79" t="s">
        <v>272</v>
      </c>
      <c r="D13" s="99">
        <v>5278</v>
      </c>
      <c r="E13" s="99">
        <v>785</v>
      </c>
      <c r="F13" s="99" t="s">
        <v>407</v>
      </c>
      <c r="G13" s="99">
        <v>18</v>
      </c>
      <c r="H13" s="99">
        <v>12</v>
      </c>
      <c r="I13" s="99">
        <v>82</v>
      </c>
      <c r="J13" s="99">
        <v>477</v>
      </c>
      <c r="K13" s="99">
        <v>8</v>
      </c>
      <c r="L13" s="99">
        <v>1023</v>
      </c>
      <c r="M13" s="99">
        <v>316</v>
      </c>
      <c r="N13" s="99">
        <v>186</v>
      </c>
      <c r="O13" s="99">
        <v>92</v>
      </c>
      <c r="P13" s="159">
        <v>92</v>
      </c>
      <c r="Q13" s="99">
        <v>16</v>
      </c>
      <c r="R13" s="99">
        <v>30</v>
      </c>
      <c r="S13" s="99">
        <v>18</v>
      </c>
      <c r="T13" s="99">
        <v>6</v>
      </c>
      <c r="U13" s="99" t="s">
        <v>676</v>
      </c>
      <c r="V13" s="99">
        <v>12</v>
      </c>
      <c r="W13" s="99">
        <v>29</v>
      </c>
      <c r="X13" s="99">
        <v>22</v>
      </c>
      <c r="Y13" s="99">
        <v>60</v>
      </c>
      <c r="Z13" s="99">
        <v>27</v>
      </c>
      <c r="AA13" s="99" t="s">
        <v>676</v>
      </c>
      <c r="AB13" s="99" t="s">
        <v>676</v>
      </c>
      <c r="AC13" s="99" t="s">
        <v>676</v>
      </c>
      <c r="AD13" s="98" t="s">
        <v>385</v>
      </c>
      <c r="AE13" s="100">
        <v>0.14873057976506251</v>
      </c>
      <c r="AF13" s="100">
        <v>0.15</v>
      </c>
      <c r="AG13" s="98">
        <v>341.0382720727548</v>
      </c>
      <c r="AH13" s="98">
        <v>227.35884804850323</v>
      </c>
      <c r="AI13" s="100">
        <v>0.016</v>
      </c>
      <c r="AJ13" s="100">
        <v>0.702504</v>
      </c>
      <c r="AK13" s="100">
        <v>0.32</v>
      </c>
      <c r="AL13" s="100">
        <v>0.75</v>
      </c>
      <c r="AM13" s="100">
        <v>0.509677</v>
      </c>
      <c r="AN13" s="100">
        <v>0.542274</v>
      </c>
      <c r="AO13" s="98">
        <v>1743.0845017051913</v>
      </c>
      <c r="AP13" s="158">
        <v>0.9604359436</v>
      </c>
      <c r="AQ13" s="100">
        <v>0.17391304347826086</v>
      </c>
      <c r="AR13" s="100">
        <v>0.5333333333333333</v>
      </c>
      <c r="AS13" s="98">
        <v>341.0382720727548</v>
      </c>
      <c r="AT13" s="98">
        <v>113.67942402425162</v>
      </c>
      <c r="AU13" s="98" t="s">
        <v>676</v>
      </c>
      <c r="AV13" s="98">
        <v>227.35884804850323</v>
      </c>
      <c r="AW13" s="98">
        <v>549.4505494505495</v>
      </c>
      <c r="AX13" s="98">
        <v>416.82455475558925</v>
      </c>
      <c r="AY13" s="98">
        <v>1136.794240242516</v>
      </c>
      <c r="AZ13" s="98">
        <v>511.55740810913227</v>
      </c>
      <c r="BA13" s="100" t="s">
        <v>676</v>
      </c>
      <c r="BB13" s="100" t="s">
        <v>676</v>
      </c>
      <c r="BC13" s="100" t="s">
        <v>676</v>
      </c>
      <c r="BD13" s="158">
        <v>0.7742469025</v>
      </c>
      <c r="BE13" s="158">
        <v>1.177889404</v>
      </c>
      <c r="BF13" s="162">
        <v>679</v>
      </c>
      <c r="BG13" s="162">
        <v>25</v>
      </c>
      <c r="BH13" s="162">
        <v>1364</v>
      </c>
      <c r="BI13" s="162">
        <v>620</v>
      </c>
      <c r="BJ13" s="162">
        <v>343</v>
      </c>
      <c r="BK13" s="97"/>
      <c r="BL13" s="97"/>
      <c r="BM13" s="97"/>
      <c r="BN13" s="97"/>
    </row>
    <row r="14" spans="1:66" ht="12.75">
      <c r="A14" s="79" t="s">
        <v>681</v>
      </c>
      <c r="B14" s="79" t="s">
        <v>310</v>
      </c>
      <c r="C14" s="79" t="s">
        <v>272</v>
      </c>
      <c r="D14" s="99">
        <v>13940</v>
      </c>
      <c r="E14" s="99">
        <v>3256</v>
      </c>
      <c r="F14" s="99" t="s">
        <v>408</v>
      </c>
      <c r="G14" s="99">
        <v>97</v>
      </c>
      <c r="H14" s="99">
        <v>40</v>
      </c>
      <c r="I14" s="99">
        <v>418</v>
      </c>
      <c r="J14" s="99">
        <v>1697</v>
      </c>
      <c r="K14" s="99">
        <v>1630</v>
      </c>
      <c r="L14" s="99">
        <v>2702</v>
      </c>
      <c r="M14" s="99">
        <v>1247</v>
      </c>
      <c r="N14" s="99">
        <v>645</v>
      </c>
      <c r="O14" s="99">
        <v>468</v>
      </c>
      <c r="P14" s="159">
        <v>468</v>
      </c>
      <c r="Q14" s="99">
        <v>59</v>
      </c>
      <c r="R14" s="99">
        <v>119</v>
      </c>
      <c r="S14" s="99">
        <v>106</v>
      </c>
      <c r="T14" s="99">
        <v>68</v>
      </c>
      <c r="U14" s="99">
        <v>10</v>
      </c>
      <c r="V14" s="99">
        <v>108</v>
      </c>
      <c r="W14" s="99">
        <v>96</v>
      </c>
      <c r="X14" s="99">
        <v>37</v>
      </c>
      <c r="Y14" s="99">
        <v>199</v>
      </c>
      <c r="Z14" s="99">
        <v>100</v>
      </c>
      <c r="AA14" s="99" t="s">
        <v>676</v>
      </c>
      <c r="AB14" s="99" t="s">
        <v>676</v>
      </c>
      <c r="AC14" s="99" t="s">
        <v>676</v>
      </c>
      <c r="AD14" s="98" t="s">
        <v>385</v>
      </c>
      <c r="AE14" s="100">
        <v>0.23357245337159255</v>
      </c>
      <c r="AF14" s="100">
        <v>0.09</v>
      </c>
      <c r="AG14" s="98">
        <v>695.8393113342898</v>
      </c>
      <c r="AH14" s="98">
        <v>286.94404591104734</v>
      </c>
      <c r="AI14" s="100">
        <v>0.03</v>
      </c>
      <c r="AJ14" s="100">
        <v>0.815865</v>
      </c>
      <c r="AK14" s="100">
        <v>0.818684</v>
      </c>
      <c r="AL14" s="100">
        <v>0.827819</v>
      </c>
      <c r="AM14" s="100">
        <v>0.635576</v>
      </c>
      <c r="AN14" s="100">
        <v>0.675393</v>
      </c>
      <c r="AO14" s="98">
        <v>3357.2453371592537</v>
      </c>
      <c r="AP14" s="158">
        <v>1.4979489140000002</v>
      </c>
      <c r="AQ14" s="100">
        <v>0.12606837606837606</v>
      </c>
      <c r="AR14" s="100">
        <v>0.4957983193277311</v>
      </c>
      <c r="AS14" s="98">
        <v>760.4017216642754</v>
      </c>
      <c r="AT14" s="98">
        <v>487.8048780487805</v>
      </c>
      <c r="AU14" s="98">
        <v>71.73601147776183</v>
      </c>
      <c r="AV14" s="98">
        <v>774.7489239598278</v>
      </c>
      <c r="AW14" s="98">
        <v>688.6657101865136</v>
      </c>
      <c r="AX14" s="98">
        <v>265.4232424677188</v>
      </c>
      <c r="AY14" s="98">
        <v>1427.5466284074605</v>
      </c>
      <c r="AZ14" s="98">
        <v>717.3601147776184</v>
      </c>
      <c r="BA14" s="100" t="s">
        <v>676</v>
      </c>
      <c r="BB14" s="100" t="s">
        <v>676</v>
      </c>
      <c r="BC14" s="100" t="s">
        <v>676</v>
      </c>
      <c r="BD14" s="158">
        <v>1.3652897640000001</v>
      </c>
      <c r="BE14" s="158">
        <v>1.640015564</v>
      </c>
      <c r="BF14" s="162">
        <v>2080</v>
      </c>
      <c r="BG14" s="162">
        <v>1991</v>
      </c>
      <c r="BH14" s="162">
        <v>3264</v>
      </c>
      <c r="BI14" s="162">
        <v>1962</v>
      </c>
      <c r="BJ14" s="162">
        <v>955</v>
      </c>
      <c r="BK14" s="97"/>
      <c r="BL14" s="97"/>
      <c r="BM14" s="97"/>
      <c r="BN14" s="97"/>
    </row>
    <row r="15" spans="1:66" ht="12.75">
      <c r="A15" s="79" t="s">
        <v>668</v>
      </c>
      <c r="B15" s="79" t="s">
        <v>566</v>
      </c>
      <c r="C15" s="79" t="s">
        <v>272</v>
      </c>
      <c r="D15" s="99">
        <v>2460</v>
      </c>
      <c r="E15" s="99">
        <v>503</v>
      </c>
      <c r="F15" s="99" t="s">
        <v>406</v>
      </c>
      <c r="G15" s="99">
        <v>14</v>
      </c>
      <c r="H15" s="99" t="s">
        <v>676</v>
      </c>
      <c r="I15" s="99">
        <v>56</v>
      </c>
      <c r="J15" s="99">
        <v>311</v>
      </c>
      <c r="K15" s="99">
        <v>308</v>
      </c>
      <c r="L15" s="99">
        <v>439</v>
      </c>
      <c r="M15" s="99">
        <v>167</v>
      </c>
      <c r="N15" s="99">
        <v>121</v>
      </c>
      <c r="O15" s="99">
        <v>55</v>
      </c>
      <c r="P15" s="159">
        <v>55</v>
      </c>
      <c r="Q15" s="99">
        <v>9</v>
      </c>
      <c r="R15" s="99">
        <v>18</v>
      </c>
      <c r="S15" s="99" t="s">
        <v>676</v>
      </c>
      <c r="T15" s="99">
        <v>13</v>
      </c>
      <c r="U15" s="99" t="s">
        <v>676</v>
      </c>
      <c r="V15" s="99">
        <v>13</v>
      </c>
      <c r="W15" s="99">
        <v>19</v>
      </c>
      <c r="X15" s="99" t="s">
        <v>676</v>
      </c>
      <c r="Y15" s="99">
        <v>16</v>
      </c>
      <c r="Z15" s="99">
        <v>13</v>
      </c>
      <c r="AA15" s="99" t="s">
        <v>676</v>
      </c>
      <c r="AB15" s="99" t="s">
        <v>676</v>
      </c>
      <c r="AC15" s="99" t="s">
        <v>676</v>
      </c>
      <c r="AD15" s="98" t="s">
        <v>385</v>
      </c>
      <c r="AE15" s="100">
        <v>0.20447154471544715</v>
      </c>
      <c r="AF15" s="100">
        <v>0.1</v>
      </c>
      <c r="AG15" s="98">
        <v>569.1056910569106</v>
      </c>
      <c r="AH15" s="98" t="s">
        <v>676</v>
      </c>
      <c r="AI15" s="100">
        <v>0.023</v>
      </c>
      <c r="AJ15" s="100">
        <v>0.816273</v>
      </c>
      <c r="AK15" s="100">
        <v>0.839237</v>
      </c>
      <c r="AL15" s="100">
        <v>0.754296</v>
      </c>
      <c r="AM15" s="100">
        <v>0.448925</v>
      </c>
      <c r="AN15" s="100">
        <v>0.626943</v>
      </c>
      <c r="AO15" s="98">
        <v>2235.7723577235774</v>
      </c>
      <c r="AP15" s="158">
        <v>1.0495771790000001</v>
      </c>
      <c r="AQ15" s="100">
        <v>0.16363636363636364</v>
      </c>
      <c r="AR15" s="100">
        <v>0.5</v>
      </c>
      <c r="AS15" s="98" t="s">
        <v>676</v>
      </c>
      <c r="AT15" s="98">
        <v>528.4552845528456</v>
      </c>
      <c r="AU15" s="98" t="s">
        <v>676</v>
      </c>
      <c r="AV15" s="98">
        <v>528.4552845528456</v>
      </c>
      <c r="AW15" s="98">
        <v>772.3577235772358</v>
      </c>
      <c r="AX15" s="98" t="s">
        <v>676</v>
      </c>
      <c r="AY15" s="98">
        <v>650.4065040650406</v>
      </c>
      <c r="AZ15" s="98">
        <v>528.4552845528456</v>
      </c>
      <c r="BA15" s="100" t="s">
        <v>676</v>
      </c>
      <c r="BB15" s="100" t="s">
        <v>676</v>
      </c>
      <c r="BC15" s="100" t="s">
        <v>676</v>
      </c>
      <c r="BD15" s="158">
        <v>0.7906851959</v>
      </c>
      <c r="BE15" s="158">
        <v>1.366168976</v>
      </c>
      <c r="BF15" s="162">
        <v>381</v>
      </c>
      <c r="BG15" s="162">
        <v>367</v>
      </c>
      <c r="BH15" s="162">
        <v>582</v>
      </c>
      <c r="BI15" s="162">
        <v>372</v>
      </c>
      <c r="BJ15" s="162">
        <v>193</v>
      </c>
      <c r="BK15" s="97"/>
      <c r="BL15" s="97"/>
      <c r="BM15" s="97"/>
      <c r="BN15" s="97"/>
    </row>
    <row r="16" spans="1:66" ht="12.75">
      <c r="A16" s="79" t="s">
        <v>577</v>
      </c>
      <c r="B16" s="79" t="s">
        <v>290</v>
      </c>
      <c r="C16" s="79" t="s">
        <v>272</v>
      </c>
      <c r="D16" s="99">
        <v>2817</v>
      </c>
      <c r="E16" s="99">
        <v>649</v>
      </c>
      <c r="F16" s="99" t="s">
        <v>406</v>
      </c>
      <c r="G16" s="99">
        <v>18</v>
      </c>
      <c r="H16" s="99">
        <v>8</v>
      </c>
      <c r="I16" s="99">
        <v>64</v>
      </c>
      <c r="J16" s="99">
        <v>374</v>
      </c>
      <c r="K16" s="99">
        <v>27</v>
      </c>
      <c r="L16" s="99">
        <v>536</v>
      </c>
      <c r="M16" s="99">
        <v>257</v>
      </c>
      <c r="N16" s="99">
        <v>184</v>
      </c>
      <c r="O16" s="99">
        <v>52</v>
      </c>
      <c r="P16" s="159">
        <v>52</v>
      </c>
      <c r="Q16" s="99">
        <v>12</v>
      </c>
      <c r="R16" s="99">
        <v>22</v>
      </c>
      <c r="S16" s="99" t="s">
        <v>676</v>
      </c>
      <c r="T16" s="99">
        <v>8</v>
      </c>
      <c r="U16" s="99" t="s">
        <v>676</v>
      </c>
      <c r="V16" s="99" t="s">
        <v>676</v>
      </c>
      <c r="W16" s="99">
        <v>11</v>
      </c>
      <c r="X16" s="99">
        <v>20</v>
      </c>
      <c r="Y16" s="99">
        <v>34</v>
      </c>
      <c r="Z16" s="99">
        <v>16</v>
      </c>
      <c r="AA16" s="99" t="s">
        <v>676</v>
      </c>
      <c r="AB16" s="99" t="s">
        <v>676</v>
      </c>
      <c r="AC16" s="99" t="s">
        <v>676</v>
      </c>
      <c r="AD16" s="98" t="s">
        <v>385</v>
      </c>
      <c r="AE16" s="100">
        <v>0.230386936457224</v>
      </c>
      <c r="AF16" s="100">
        <v>0.11</v>
      </c>
      <c r="AG16" s="98">
        <v>638.9776357827476</v>
      </c>
      <c r="AH16" s="98">
        <v>283.99006034788783</v>
      </c>
      <c r="AI16" s="100">
        <v>0.023</v>
      </c>
      <c r="AJ16" s="100">
        <v>0.832962</v>
      </c>
      <c r="AK16" s="100">
        <v>0.75</v>
      </c>
      <c r="AL16" s="100">
        <v>0.828439</v>
      </c>
      <c r="AM16" s="100">
        <v>0.555076</v>
      </c>
      <c r="AN16" s="100">
        <v>0.652482</v>
      </c>
      <c r="AO16" s="98">
        <v>1845.9353922612709</v>
      </c>
      <c r="AP16" s="158">
        <v>0.8219451141</v>
      </c>
      <c r="AQ16" s="100">
        <v>0.23076923076923078</v>
      </c>
      <c r="AR16" s="100">
        <v>0.5454545454545454</v>
      </c>
      <c r="AS16" s="98" t="s">
        <v>676</v>
      </c>
      <c r="AT16" s="98">
        <v>283.99006034788783</v>
      </c>
      <c r="AU16" s="98" t="s">
        <v>676</v>
      </c>
      <c r="AV16" s="98" t="s">
        <v>676</v>
      </c>
      <c r="AW16" s="98">
        <v>390.4863329783458</v>
      </c>
      <c r="AX16" s="98">
        <v>709.9751508697195</v>
      </c>
      <c r="AY16" s="98">
        <v>1206.9577564785232</v>
      </c>
      <c r="AZ16" s="98">
        <v>567.9801206957757</v>
      </c>
      <c r="BA16" s="100" t="s">
        <v>676</v>
      </c>
      <c r="BB16" s="100" t="s">
        <v>676</v>
      </c>
      <c r="BC16" s="100" t="s">
        <v>676</v>
      </c>
      <c r="BD16" s="158">
        <v>0.6138679504</v>
      </c>
      <c r="BE16" s="158">
        <v>1.0778717039999999</v>
      </c>
      <c r="BF16" s="162">
        <v>449</v>
      </c>
      <c r="BG16" s="162">
        <v>36</v>
      </c>
      <c r="BH16" s="162">
        <v>647</v>
      </c>
      <c r="BI16" s="162">
        <v>463</v>
      </c>
      <c r="BJ16" s="162">
        <v>282</v>
      </c>
      <c r="BK16" s="97"/>
      <c r="BL16" s="97"/>
      <c r="BM16" s="97"/>
      <c r="BN16" s="97"/>
    </row>
    <row r="17" spans="1:66" ht="12.75">
      <c r="A17" s="79" t="s">
        <v>641</v>
      </c>
      <c r="B17" s="79" t="s">
        <v>357</v>
      </c>
      <c r="C17" s="79" t="s">
        <v>272</v>
      </c>
      <c r="D17" s="99">
        <v>6394</v>
      </c>
      <c r="E17" s="99">
        <v>1143</v>
      </c>
      <c r="F17" s="99" t="s">
        <v>406</v>
      </c>
      <c r="G17" s="99">
        <v>32</v>
      </c>
      <c r="H17" s="99">
        <v>22</v>
      </c>
      <c r="I17" s="99">
        <v>118</v>
      </c>
      <c r="J17" s="99">
        <v>598</v>
      </c>
      <c r="K17" s="99">
        <v>17</v>
      </c>
      <c r="L17" s="99">
        <v>1262</v>
      </c>
      <c r="M17" s="99">
        <v>384</v>
      </c>
      <c r="N17" s="99">
        <v>252</v>
      </c>
      <c r="O17" s="99">
        <v>120</v>
      </c>
      <c r="P17" s="159">
        <v>120</v>
      </c>
      <c r="Q17" s="99">
        <v>14</v>
      </c>
      <c r="R17" s="99">
        <v>28</v>
      </c>
      <c r="S17" s="99">
        <v>39</v>
      </c>
      <c r="T17" s="99">
        <v>10</v>
      </c>
      <c r="U17" s="99">
        <v>6</v>
      </c>
      <c r="V17" s="99">
        <v>27</v>
      </c>
      <c r="W17" s="99">
        <v>66</v>
      </c>
      <c r="X17" s="99">
        <v>15</v>
      </c>
      <c r="Y17" s="99">
        <v>78</v>
      </c>
      <c r="Z17" s="99">
        <v>37</v>
      </c>
      <c r="AA17" s="99" t="s">
        <v>676</v>
      </c>
      <c r="AB17" s="99" t="s">
        <v>676</v>
      </c>
      <c r="AC17" s="99" t="s">
        <v>676</v>
      </c>
      <c r="AD17" s="98" t="s">
        <v>385</v>
      </c>
      <c r="AE17" s="100">
        <v>0.17876133875508288</v>
      </c>
      <c r="AF17" s="100">
        <v>0.09</v>
      </c>
      <c r="AG17" s="98">
        <v>500.4691898654989</v>
      </c>
      <c r="AH17" s="98">
        <v>344.0725680325305</v>
      </c>
      <c r="AI17" s="100">
        <v>0.018000000000000002</v>
      </c>
      <c r="AJ17" s="100">
        <v>0.703529</v>
      </c>
      <c r="AK17" s="100">
        <v>0.653846</v>
      </c>
      <c r="AL17" s="100">
        <v>0.820546</v>
      </c>
      <c r="AM17" s="100">
        <v>0.501961</v>
      </c>
      <c r="AN17" s="100">
        <v>0.572727</v>
      </c>
      <c r="AO17" s="98">
        <v>1876.759461995621</v>
      </c>
      <c r="AP17" s="158">
        <v>0.955976181</v>
      </c>
      <c r="AQ17" s="100">
        <v>0.11666666666666667</v>
      </c>
      <c r="AR17" s="100">
        <v>0.5</v>
      </c>
      <c r="AS17" s="98">
        <v>609.9468251485767</v>
      </c>
      <c r="AT17" s="98">
        <v>156.3966218329684</v>
      </c>
      <c r="AU17" s="98">
        <v>93.83797309978104</v>
      </c>
      <c r="AV17" s="98">
        <v>422.27087894901473</v>
      </c>
      <c r="AW17" s="98">
        <v>1032.2177040975914</v>
      </c>
      <c r="AX17" s="98">
        <v>234.59493274945262</v>
      </c>
      <c r="AY17" s="98">
        <v>1219.8936502971535</v>
      </c>
      <c r="AZ17" s="98">
        <v>578.6675007819831</v>
      </c>
      <c r="BA17" s="100" t="s">
        <v>676</v>
      </c>
      <c r="BB17" s="100" t="s">
        <v>676</v>
      </c>
      <c r="BC17" s="100" t="s">
        <v>676</v>
      </c>
      <c r="BD17" s="158">
        <v>0.7925992583999999</v>
      </c>
      <c r="BE17" s="158">
        <v>1.143113174</v>
      </c>
      <c r="BF17" s="162">
        <v>850</v>
      </c>
      <c r="BG17" s="162">
        <v>26</v>
      </c>
      <c r="BH17" s="162">
        <v>1538</v>
      </c>
      <c r="BI17" s="162">
        <v>765</v>
      </c>
      <c r="BJ17" s="162">
        <v>440</v>
      </c>
      <c r="BK17" s="97"/>
      <c r="BL17" s="97"/>
      <c r="BM17" s="97"/>
      <c r="BN17" s="97"/>
    </row>
    <row r="18" spans="1:66" ht="12.75">
      <c r="A18" s="79" t="s">
        <v>613</v>
      </c>
      <c r="B18" s="79" t="s">
        <v>329</v>
      </c>
      <c r="C18" s="79" t="s">
        <v>272</v>
      </c>
      <c r="D18" s="99">
        <v>13070</v>
      </c>
      <c r="E18" s="99">
        <v>2780</v>
      </c>
      <c r="F18" s="99" t="s">
        <v>407</v>
      </c>
      <c r="G18" s="99">
        <v>72</v>
      </c>
      <c r="H18" s="99">
        <v>39</v>
      </c>
      <c r="I18" s="99">
        <v>290</v>
      </c>
      <c r="J18" s="99">
        <v>1316</v>
      </c>
      <c r="K18" s="99">
        <v>30</v>
      </c>
      <c r="L18" s="99">
        <v>2441</v>
      </c>
      <c r="M18" s="99">
        <v>910</v>
      </c>
      <c r="N18" s="99">
        <v>589</v>
      </c>
      <c r="O18" s="99">
        <v>271</v>
      </c>
      <c r="P18" s="159">
        <v>271</v>
      </c>
      <c r="Q18" s="99">
        <v>27</v>
      </c>
      <c r="R18" s="99">
        <v>57</v>
      </c>
      <c r="S18" s="99">
        <v>59</v>
      </c>
      <c r="T18" s="99">
        <v>67</v>
      </c>
      <c r="U18" s="99">
        <v>7</v>
      </c>
      <c r="V18" s="99">
        <v>34</v>
      </c>
      <c r="W18" s="99">
        <v>73</v>
      </c>
      <c r="X18" s="99">
        <v>89</v>
      </c>
      <c r="Y18" s="99">
        <v>118</v>
      </c>
      <c r="Z18" s="99">
        <v>67</v>
      </c>
      <c r="AA18" s="99" t="s">
        <v>676</v>
      </c>
      <c r="AB18" s="99" t="s">
        <v>676</v>
      </c>
      <c r="AC18" s="99" t="s">
        <v>676</v>
      </c>
      <c r="AD18" s="98" t="s">
        <v>385</v>
      </c>
      <c r="AE18" s="100">
        <v>0.2127008416220352</v>
      </c>
      <c r="AF18" s="100">
        <v>0.14</v>
      </c>
      <c r="AG18" s="98">
        <v>550.8798775822494</v>
      </c>
      <c r="AH18" s="98">
        <v>298.39326702371847</v>
      </c>
      <c r="AI18" s="100">
        <v>0.022000000000000002</v>
      </c>
      <c r="AJ18" s="100">
        <v>0.746032</v>
      </c>
      <c r="AK18" s="100">
        <v>0.6</v>
      </c>
      <c r="AL18" s="100">
        <v>0.79279</v>
      </c>
      <c r="AM18" s="100">
        <v>0.511523</v>
      </c>
      <c r="AN18" s="100">
        <v>0.590772</v>
      </c>
      <c r="AO18" s="98">
        <v>2073.4506503443</v>
      </c>
      <c r="AP18" s="158">
        <v>0.9953792572000001</v>
      </c>
      <c r="AQ18" s="100">
        <v>0.0996309963099631</v>
      </c>
      <c r="AR18" s="100">
        <v>0.47368421052631576</v>
      </c>
      <c r="AS18" s="98">
        <v>451.41545524100997</v>
      </c>
      <c r="AT18" s="98">
        <v>512.6243305279265</v>
      </c>
      <c r="AU18" s="98">
        <v>53.55776587605203</v>
      </c>
      <c r="AV18" s="98">
        <v>260.13771996939556</v>
      </c>
      <c r="AW18" s="98">
        <v>558.530986993114</v>
      </c>
      <c r="AX18" s="98">
        <v>680.9487375669472</v>
      </c>
      <c r="AY18" s="98">
        <v>902.8309104820199</v>
      </c>
      <c r="AZ18" s="98">
        <v>512.6243305279265</v>
      </c>
      <c r="BA18" s="100" t="s">
        <v>676</v>
      </c>
      <c r="BB18" s="100" t="s">
        <v>676</v>
      </c>
      <c r="BC18" s="100" t="s">
        <v>676</v>
      </c>
      <c r="BD18" s="158">
        <v>0.8803864288</v>
      </c>
      <c r="BE18" s="158">
        <v>1.121219635</v>
      </c>
      <c r="BF18" s="162">
        <v>1764</v>
      </c>
      <c r="BG18" s="162">
        <v>50</v>
      </c>
      <c r="BH18" s="162">
        <v>3079</v>
      </c>
      <c r="BI18" s="162">
        <v>1779</v>
      </c>
      <c r="BJ18" s="162">
        <v>997</v>
      </c>
      <c r="BK18" s="97"/>
      <c r="BL18" s="97"/>
      <c r="BM18" s="97"/>
      <c r="BN18" s="97"/>
    </row>
    <row r="19" spans="1:66" ht="12.75">
      <c r="A19" s="79" t="s">
        <v>612</v>
      </c>
      <c r="B19" s="79" t="s">
        <v>328</v>
      </c>
      <c r="C19" s="79" t="s">
        <v>272</v>
      </c>
      <c r="D19" s="99">
        <v>5120</v>
      </c>
      <c r="E19" s="99">
        <v>1029</v>
      </c>
      <c r="F19" s="99" t="s">
        <v>407</v>
      </c>
      <c r="G19" s="99">
        <v>37</v>
      </c>
      <c r="H19" s="99">
        <v>18</v>
      </c>
      <c r="I19" s="99">
        <v>67</v>
      </c>
      <c r="J19" s="99">
        <v>560</v>
      </c>
      <c r="K19" s="99">
        <v>6</v>
      </c>
      <c r="L19" s="99">
        <v>912</v>
      </c>
      <c r="M19" s="99">
        <v>425</v>
      </c>
      <c r="N19" s="99">
        <v>233</v>
      </c>
      <c r="O19" s="99">
        <v>145</v>
      </c>
      <c r="P19" s="159">
        <v>145</v>
      </c>
      <c r="Q19" s="99">
        <v>11</v>
      </c>
      <c r="R19" s="99">
        <v>28</v>
      </c>
      <c r="S19" s="99">
        <v>23</v>
      </c>
      <c r="T19" s="99">
        <v>23</v>
      </c>
      <c r="U19" s="99" t="s">
        <v>676</v>
      </c>
      <c r="V19" s="99">
        <v>38</v>
      </c>
      <c r="W19" s="99">
        <v>34</v>
      </c>
      <c r="X19" s="99">
        <v>11</v>
      </c>
      <c r="Y19" s="99">
        <v>60</v>
      </c>
      <c r="Z19" s="99">
        <v>36</v>
      </c>
      <c r="AA19" s="99" t="s">
        <v>676</v>
      </c>
      <c r="AB19" s="99" t="s">
        <v>676</v>
      </c>
      <c r="AC19" s="99" t="s">
        <v>676</v>
      </c>
      <c r="AD19" s="98" t="s">
        <v>385</v>
      </c>
      <c r="AE19" s="100">
        <v>0.2009765625</v>
      </c>
      <c r="AF19" s="100">
        <v>0.14</v>
      </c>
      <c r="AG19" s="98">
        <v>722.65625</v>
      </c>
      <c r="AH19" s="98">
        <v>351.5625</v>
      </c>
      <c r="AI19" s="100">
        <v>0.013000000000000001</v>
      </c>
      <c r="AJ19" s="100">
        <v>0.732026</v>
      </c>
      <c r="AK19" s="100">
        <v>0.461538</v>
      </c>
      <c r="AL19" s="100">
        <v>0.733119</v>
      </c>
      <c r="AM19" s="100">
        <v>0.567423</v>
      </c>
      <c r="AN19" s="100">
        <v>0.598972</v>
      </c>
      <c r="AO19" s="98">
        <v>2832.03125</v>
      </c>
      <c r="AP19" s="158">
        <v>1.3499523930000001</v>
      </c>
      <c r="AQ19" s="100">
        <v>0.07586206896551724</v>
      </c>
      <c r="AR19" s="100">
        <v>0.39285714285714285</v>
      </c>
      <c r="AS19" s="98">
        <v>449.21875</v>
      </c>
      <c r="AT19" s="98">
        <v>449.21875</v>
      </c>
      <c r="AU19" s="98" t="s">
        <v>676</v>
      </c>
      <c r="AV19" s="98">
        <v>742.1875</v>
      </c>
      <c r="AW19" s="98">
        <v>664.0625</v>
      </c>
      <c r="AX19" s="98">
        <v>214.84375</v>
      </c>
      <c r="AY19" s="98">
        <v>1171.875</v>
      </c>
      <c r="AZ19" s="98">
        <v>703.125</v>
      </c>
      <c r="BA19" s="100" t="s">
        <v>676</v>
      </c>
      <c r="BB19" s="100" t="s">
        <v>676</v>
      </c>
      <c r="BC19" s="100" t="s">
        <v>676</v>
      </c>
      <c r="BD19" s="158">
        <v>1.139172287</v>
      </c>
      <c r="BE19" s="158">
        <v>1.588426666</v>
      </c>
      <c r="BF19" s="162">
        <v>765</v>
      </c>
      <c r="BG19" s="162">
        <v>13</v>
      </c>
      <c r="BH19" s="162">
        <v>1244</v>
      </c>
      <c r="BI19" s="162">
        <v>749</v>
      </c>
      <c r="BJ19" s="162">
        <v>389</v>
      </c>
      <c r="BK19" s="97"/>
      <c r="BL19" s="97"/>
      <c r="BM19" s="97"/>
      <c r="BN19" s="97"/>
    </row>
    <row r="20" spans="1:66" ht="12.75">
      <c r="A20" s="79" t="s">
        <v>664</v>
      </c>
      <c r="B20" s="79" t="s">
        <v>380</v>
      </c>
      <c r="C20" s="79" t="s">
        <v>272</v>
      </c>
      <c r="D20" s="99">
        <v>2584</v>
      </c>
      <c r="E20" s="99">
        <v>416</v>
      </c>
      <c r="F20" s="99" t="s">
        <v>405</v>
      </c>
      <c r="G20" s="99">
        <v>12</v>
      </c>
      <c r="H20" s="99">
        <v>9</v>
      </c>
      <c r="I20" s="99">
        <v>34</v>
      </c>
      <c r="J20" s="99">
        <v>215</v>
      </c>
      <c r="K20" s="99">
        <v>10</v>
      </c>
      <c r="L20" s="99">
        <v>485</v>
      </c>
      <c r="M20" s="99">
        <v>134</v>
      </c>
      <c r="N20" s="99">
        <v>74</v>
      </c>
      <c r="O20" s="99">
        <v>61</v>
      </c>
      <c r="P20" s="159">
        <v>61</v>
      </c>
      <c r="Q20" s="99" t="s">
        <v>676</v>
      </c>
      <c r="R20" s="99">
        <v>9</v>
      </c>
      <c r="S20" s="99">
        <v>9</v>
      </c>
      <c r="T20" s="99">
        <v>13</v>
      </c>
      <c r="U20" s="99" t="s">
        <v>676</v>
      </c>
      <c r="V20" s="99">
        <v>11</v>
      </c>
      <c r="W20" s="99">
        <v>10</v>
      </c>
      <c r="X20" s="99" t="s">
        <v>676</v>
      </c>
      <c r="Y20" s="99">
        <v>27</v>
      </c>
      <c r="Z20" s="99">
        <v>14</v>
      </c>
      <c r="AA20" s="99" t="s">
        <v>676</v>
      </c>
      <c r="AB20" s="99" t="s">
        <v>676</v>
      </c>
      <c r="AC20" s="99" t="s">
        <v>676</v>
      </c>
      <c r="AD20" s="98" t="s">
        <v>385</v>
      </c>
      <c r="AE20" s="100">
        <v>0.1609907120743034</v>
      </c>
      <c r="AF20" s="100">
        <v>0.19</v>
      </c>
      <c r="AG20" s="98">
        <v>464.39628482972137</v>
      </c>
      <c r="AH20" s="98">
        <v>348.297213622291</v>
      </c>
      <c r="AI20" s="100">
        <v>0.013000000000000001</v>
      </c>
      <c r="AJ20" s="100">
        <v>0.700326</v>
      </c>
      <c r="AK20" s="100">
        <v>0.769231</v>
      </c>
      <c r="AL20" s="100">
        <v>0.801653</v>
      </c>
      <c r="AM20" s="100">
        <v>0.563025</v>
      </c>
      <c r="AN20" s="100">
        <v>0.61157</v>
      </c>
      <c r="AO20" s="98">
        <v>2360.6811145510837</v>
      </c>
      <c r="AP20" s="158">
        <v>1.332110596</v>
      </c>
      <c r="AQ20" s="100" t="s">
        <v>676</v>
      </c>
      <c r="AR20" s="100" t="s">
        <v>676</v>
      </c>
      <c r="AS20" s="98">
        <v>348.297213622291</v>
      </c>
      <c r="AT20" s="98">
        <v>503.09597523219816</v>
      </c>
      <c r="AU20" s="98" t="s">
        <v>676</v>
      </c>
      <c r="AV20" s="98">
        <v>425.6965944272446</v>
      </c>
      <c r="AW20" s="98">
        <v>386.9969040247678</v>
      </c>
      <c r="AX20" s="98" t="s">
        <v>676</v>
      </c>
      <c r="AY20" s="98">
        <v>1044.891640866873</v>
      </c>
      <c r="AZ20" s="98">
        <v>541.795665634675</v>
      </c>
      <c r="BA20" s="100" t="s">
        <v>676</v>
      </c>
      <c r="BB20" s="100" t="s">
        <v>676</v>
      </c>
      <c r="BC20" s="100" t="s">
        <v>676</v>
      </c>
      <c r="BD20" s="158">
        <v>1.018959045</v>
      </c>
      <c r="BE20" s="158">
        <v>1.7111517330000001</v>
      </c>
      <c r="BF20" s="162">
        <v>307</v>
      </c>
      <c r="BG20" s="162">
        <v>13</v>
      </c>
      <c r="BH20" s="162">
        <v>605</v>
      </c>
      <c r="BI20" s="162">
        <v>238</v>
      </c>
      <c r="BJ20" s="162">
        <v>121</v>
      </c>
      <c r="BK20" s="97"/>
      <c r="BL20" s="97"/>
      <c r="BM20" s="97"/>
      <c r="BN20" s="97"/>
    </row>
    <row r="21" spans="1:66" ht="12.75">
      <c r="A21" s="79" t="s">
        <v>576</v>
      </c>
      <c r="B21" s="79" t="s">
        <v>289</v>
      </c>
      <c r="C21" s="79" t="s">
        <v>272</v>
      </c>
      <c r="D21" s="99">
        <v>7802</v>
      </c>
      <c r="E21" s="99">
        <v>2840</v>
      </c>
      <c r="F21" s="99" t="s">
        <v>408</v>
      </c>
      <c r="G21" s="99">
        <v>69</v>
      </c>
      <c r="H21" s="99">
        <v>38</v>
      </c>
      <c r="I21" s="99">
        <v>138</v>
      </c>
      <c r="J21" s="99">
        <v>1045</v>
      </c>
      <c r="K21" s="99">
        <v>995</v>
      </c>
      <c r="L21" s="99">
        <v>1225</v>
      </c>
      <c r="M21" s="99">
        <v>756</v>
      </c>
      <c r="N21" s="99">
        <v>495</v>
      </c>
      <c r="O21" s="99">
        <v>301</v>
      </c>
      <c r="P21" s="159">
        <v>301</v>
      </c>
      <c r="Q21" s="99">
        <v>41</v>
      </c>
      <c r="R21" s="99">
        <v>74</v>
      </c>
      <c r="S21" s="99">
        <v>33</v>
      </c>
      <c r="T21" s="99">
        <v>58</v>
      </c>
      <c r="U21" s="99">
        <v>7</v>
      </c>
      <c r="V21" s="99">
        <v>72</v>
      </c>
      <c r="W21" s="99">
        <v>74</v>
      </c>
      <c r="X21" s="99">
        <v>30</v>
      </c>
      <c r="Y21" s="99">
        <v>134</v>
      </c>
      <c r="Z21" s="99">
        <v>51</v>
      </c>
      <c r="AA21" s="99" t="s">
        <v>676</v>
      </c>
      <c r="AB21" s="99" t="s">
        <v>676</v>
      </c>
      <c r="AC21" s="99" t="s">
        <v>676</v>
      </c>
      <c r="AD21" s="98" t="s">
        <v>385</v>
      </c>
      <c r="AE21" s="100">
        <v>0.3640092284029736</v>
      </c>
      <c r="AF21" s="100">
        <v>0.08</v>
      </c>
      <c r="AG21" s="98">
        <v>884.3886183029992</v>
      </c>
      <c r="AH21" s="98">
        <v>487.0546013842604</v>
      </c>
      <c r="AI21" s="100">
        <v>0.018000000000000002</v>
      </c>
      <c r="AJ21" s="100">
        <v>0.810706</v>
      </c>
      <c r="AK21" s="100">
        <v>0.817584</v>
      </c>
      <c r="AL21" s="100">
        <v>0.789304</v>
      </c>
      <c r="AM21" s="100">
        <v>0.563338</v>
      </c>
      <c r="AN21" s="100">
        <v>0.661765</v>
      </c>
      <c r="AO21" s="98">
        <v>3857.9851320174316</v>
      </c>
      <c r="AP21" s="158">
        <v>1.395751343</v>
      </c>
      <c r="AQ21" s="100">
        <v>0.1362126245847176</v>
      </c>
      <c r="AR21" s="100">
        <v>0.5540540540540541</v>
      </c>
      <c r="AS21" s="98">
        <v>422.9684696231735</v>
      </c>
      <c r="AT21" s="98">
        <v>743.399128428608</v>
      </c>
      <c r="AU21" s="98">
        <v>89.72058446552167</v>
      </c>
      <c r="AV21" s="98">
        <v>922.8402973596513</v>
      </c>
      <c r="AW21" s="98">
        <v>948.4747500640862</v>
      </c>
      <c r="AX21" s="98">
        <v>384.5167905665214</v>
      </c>
      <c r="AY21" s="98">
        <v>1717.5083311971289</v>
      </c>
      <c r="AZ21" s="98">
        <v>653.6785439630864</v>
      </c>
      <c r="BA21" s="100" t="s">
        <v>676</v>
      </c>
      <c r="BB21" s="100" t="s">
        <v>676</v>
      </c>
      <c r="BC21" s="100" t="s">
        <v>676</v>
      </c>
      <c r="BD21" s="158">
        <v>1.2425095369999999</v>
      </c>
      <c r="BE21" s="158">
        <v>1.5626737979999998</v>
      </c>
      <c r="BF21" s="162">
        <v>1289</v>
      </c>
      <c r="BG21" s="162">
        <v>1217</v>
      </c>
      <c r="BH21" s="162">
        <v>1552</v>
      </c>
      <c r="BI21" s="162">
        <v>1342</v>
      </c>
      <c r="BJ21" s="162">
        <v>748</v>
      </c>
      <c r="BK21" s="97"/>
      <c r="BL21" s="97"/>
      <c r="BM21" s="97"/>
      <c r="BN21" s="97"/>
    </row>
    <row r="22" spans="1:66" ht="12.75">
      <c r="A22" s="79" t="s">
        <v>629</v>
      </c>
      <c r="B22" s="79" t="s">
        <v>345</v>
      </c>
      <c r="C22" s="79" t="s">
        <v>272</v>
      </c>
      <c r="D22" s="99">
        <v>11653</v>
      </c>
      <c r="E22" s="99">
        <v>2789</v>
      </c>
      <c r="F22" s="99" t="s">
        <v>406</v>
      </c>
      <c r="G22" s="99">
        <v>72</v>
      </c>
      <c r="H22" s="99">
        <v>35</v>
      </c>
      <c r="I22" s="99">
        <v>259</v>
      </c>
      <c r="J22" s="99">
        <v>1284</v>
      </c>
      <c r="K22" s="99">
        <v>1235</v>
      </c>
      <c r="L22" s="99">
        <v>2173</v>
      </c>
      <c r="M22" s="99">
        <v>879</v>
      </c>
      <c r="N22" s="99">
        <v>582</v>
      </c>
      <c r="O22" s="99">
        <v>177</v>
      </c>
      <c r="P22" s="159">
        <v>177</v>
      </c>
      <c r="Q22" s="99">
        <v>27</v>
      </c>
      <c r="R22" s="99">
        <v>74</v>
      </c>
      <c r="S22" s="99">
        <v>30</v>
      </c>
      <c r="T22" s="99">
        <v>38</v>
      </c>
      <c r="U22" s="99">
        <v>11</v>
      </c>
      <c r="V22" s="99">
        <v>17</v>
      </c>
      <c r="W22" s="99">
        <v>76</v>
      </c>
      <c r="X22" s="99">
        <v>64</v>
      </c>
      <c r="Y22" s="99">
        <v>93</v>
      </c>
      <c r="Z22" s="99">
        <v>56</v>
      </c>
      <c r="AA22" s="99" t="s">
        <v>676</v>
      </c>
      <c r="AB22" s="99" t="s">
        <v>676</v>
      </c>
      <c r="AC22" s="99" t="s">
        <v>676</v>
      </c>
      <c r="AD22" s="98" t="s">
        <v>385</v>
      </c>
      <c r="AE22" s="100">
        <v>0.2393375096541663</v>
      </c>
      <c r="AF22" s="100">
        <v>0.09</v>
      </c>
      <c r="AG22" s="98">
        <v>617.8666437827169</v>
      </c>
      <c r="AH22" s="98">
        <v>300.3518407277096</v>
      </c>
      <c r="AI22" s="100">
        <v>0.022000000000000002</v>
      </c>
      <c r="AJ22" s="100">
        <v>0.810095</v>
      </c>
      <c r="AK22" s="100">
        <v>0.803513</v>
      </c>
      <c r="AL22" s="100">
        <v>0.802437</v>
      </c>
      <c r="AM22" s="100">
        <v>0.560587</v>
      </c>
      <c r="AN22" s="100">
        <v>0.654668</v>
      </c>
      <c r="AO22" s="98">
        <v>1518.9221659658458</v>
      </c>
      <c r="AP22" s="158">
        <v>0.6883506011999999</v>
      </c>
      <c r="AQ22" s="100">
        <v>0.15254237288135594</v>
      </c>
      <c r="AR22" s="100">
        <v>0.36486486486486486</v>
      </c>
      <c r="AS22" s="98">
        <v>257.4444349094654</v>
      </c>
      <c r="AT22" s="98">
        <v>326.09628421865614</v>
      </c>
      <c r="AU22" s="98">
        <v>94.3962928001373</v>
      </c>
      <c r="AV22" s="98">
        <v>145.88517978203038</v>
      </c>
      <c r="AW22" s="98">
        <v>652.1925684373123</v>
      </c>
      <c r="AX22" s="98">
        <v>549.2147944735261</v>
      </c>
      <c r="AY22" s="98">
        <v>798.0777482193427</v>
      </c>
      <c r="AZ22" s="98">
        <v>480.56294516433536</v>
      </c>
      <c r="BA22" s="100" t="s">
        <v>676</v>
      </c>
      <c r="BB22" s="100" t="s">
        <v>676</v>
      </c>
      <c r="BC22" s="100" t="s">
        <v>676</v>
      </c>
      <c r="BD22" s="158">
        <v>0.5906750107</v>
      </c>
      <c r="BE22" s="158">
        <v>0.7975653076</v>
      </c>
      <c r="BF22" s="162">
        <v>1585</v>
      </c>
      <c r="BG22" s="162">
        <v>1537</v>
      </c>
      <c r="BH22" s="162">
        <v>2708</v>
      </c>
      <c r="BI22" s="162">
        <v>1568</v>
      </c>
      <c r="BJ22" s="162">
        <v>889</v>
      </c>
      <c r="BK22" s="97"/>
      <c r="BL22" s="97"/>
      <c r="BM22" s="97"/>
      <c r="BN22" s="97"/>
    </row>
    <row r="23" spans="1:66" ht="12.75">
      <c r="A23" s="79" t="s">
        <v>634</v>
      </c>
      <c r="B23" s="79" t="s">
        <v>350</v>
      </c>
      <c r="C23" s="79" t="s">
        <v>272</v>
      </c>
      <c r="D23" s="99">
        <v>6536</v>
      </c>
      <c r="E23" s="99">
        <v>1426</v>
      </c>
      <c r="F23" s="99" t="s">
        <v>406</v>
      </c>
      <c r="G23" s="99">
        <v>44</v>
      </c>
      <c r="H23" s="99">
        <v>12</v>
      </c>
      <c r="I23" s="99">
        <v>134</v>
      </c>
      <c r="J23" s="99">
        <v>762</v>
      </c>
      <c r="K23" s="99">
        <v>20</v>
      </c>
      <c r="L23" s="99">
        <v>1268</v>
      </c>
      <c r="M23" s="99">
        <v>521</v>
      </c>
      <c r="N23" s="99">
        <v>322</v>
      </c>
      <c r="O23" s="99">
        <v>145</v>
      </c>
      <c r="P23" s="159">
        <v>145</v>
      </c>
      <c r="Q23" s="99">
        <v>18</v>
      </c>
      <c r="R23" s="99">
        <v>28</v>
      </c>
      <c r="S23" s="99">
        <v>13</v>
      </c>
      <c r="T23" s="99">
        <v>58</v>
      </c>
      <c r="U23" s="99" t="s">
        <v>676</v>
      </c>
      <c r="V23" s="99">
        <v>20</v>
      </c>
      <c r="W23" s="99">
        <v>46</v>
      </c>
      <c r="X23" s="99">
        <v>40</v>
      </c>
      <c r="Y23" s="99">
        <v>77</v>
      </c>
      <c r="Z23" s="99">
        <v>38</v>
      </c>
      <c r="AA23" s="99" t="s">
        <v>676</v>
      </c>
      <c r="AB23" s="99" t="s">
        <v>676</v>
      </c>
      <c r="AC23" s="99" t="s">
        <v>676</v>
      </c>
      <c r="AD23" s="98" t="s">
        <v>385</v>
      </c>
      <c r="AE23" s="100">
        <v>0.2181762545899633</v>
      </c>
      <c r="AF23" s="100">
        <v>0.11</v>
      </c>
      <c r="AG23" s="98">
        <v>673.1946144430844</v>
      </c>
      <c r="AH23" s="98">
        <v>183.5985312117503</v>
      </c>
      <c r="AI23" s="100">
        <v>0.021</v>
      </c>
      <c r="AJ23" s="100">
        <v>0.714152</v>
      </c>
      <c r="AK23" s="100">
        <v>0.571429</v>
      </c>
      <c r="AL23" s="100">
        <v>0.813864</v>
      </c>
      <c r="AM23" s="100">
        <v>0.502896</v>
      </c>
      <c r="AN23" s="100">
        <v>0.557093</v>
      </c>
      <c r="AO23" s="98">
        <v>2218.482252141983</v>
      </c>
      <c r="AP23" s="158">
        <v>1.015694427</v>
      </c>
      <c r="AQ23" s="100">
        <v>0.12413793103448276</v>
      </c>
      <c r="AR23" s="100">
        <v>0.6428571428571429</v>
      </c>
      <c r="AS23" s="98">
        <v>198.89840881272949</v>
      </c>
      <c r="AT23" s="98">
        <v>887.3929008567932</v>
      </c>
      <c r="AU23" s="98" t="s">
        <v>676</v>
      </c>
      <c r="AV23" s="98">
        <v>305.99755201958385</v>
      </c>
      <c r="AW23" s="98">
        <v>703.7943696450428</v>
      </c>
      <c r="AX23" s="98">
        <v>611.9951040391677</v>
      </c>
      <c r="AY23" s="98">
        <v>1178.090575275398</v>
      </c>
      <c r="AZ23" s="98">
        <v>581.3953488372093</v>
      </c>
      <c r="BA23" s="100" t="s">
        <v>676</v>
      </c>
      <c r="BB23" s="100" t="s">
        <v>676</v>
      </c>
      <c r="BC23" s="100" t="s">
        <v>676</v>
      </c>
      <c r="BD23" s="158">
        <v>0.85710495</v>
      </c>
      <c r="BE23" s="158">
        <v>1.195120773</v>
      </c>
      <c r="BF23" s="162">
        <v>1067</v>
      </c>
      <c r="BG23" s="162">
        <v>35</v>
      </c>
      <c r="BH23" s="162">
        <v>1558</v>
      </c>
      <c r="BI23" s="162">
        <v>1036</v>
      </c>
      <c r="BJ23" s="162">
        <v>578</v>
      </c>
      <c r="BK23" s="97"/>
      <c r="BL23" s="97"/>
      <c r="BM23" s="97"/>
      <c r="BN23" s="97"/>
    </row>
    <row r="24" spans="1:66" ht="12.75">
      <c r="A24" s="79" t="s">
        <v>601</v>
      </c>
      <c r="B24" s="79" t="s">
        <v>316</v>
      </c>
      <c r="C24" s="79" t="s">
        <v>272</v>
      </c>
      <c r="D24" s="99">
        <v>15003</v>
      </c>
      <c r="E24" s="99">
        <v>2784</v>
      </c>
      <c r="F24" s="99" t="s">
        <v>407</v>
      </c>
      <c r="G24" s="99">
        <v>63</v>
      </c>
      <c r="H24" s="99">
        <v>30</v>
      </c>
      <c r="I24" s="99">
        <v>236</v>
      </c>
      <c r="J24" s="99">
        <v>1675</v>
      </c>
      <c r="K24" s="99">
        <v>1588</v>
      </c>
      <c r="L24" s="99">
        <v>2923</v>
      </c>
      <c r="M24" s="99">
        <v>955</v>
      </c>
      <c r="N24" s="99">
        <v>621</v>
      </c>
      <c r="O24" s="99">
        <v>298</v>
      </c>
      <c r="P24" s="159">
        <v>298</v>
      </c>
      <c r="Q24" s="99">
        <v>37</v>
      </c>
      <c r="R24" s="99">
        <v>66</v>
      </c>
      <c r="S24" s="99">
        <v>95</v>
      </c>
      <c r="T24" s="99">
        <v>46</v>
      </c>
      <c r="U24" s="99">
        <v>6</v>
      </c>
      <c r="V24" s="99">
        <v>53</v>
      </c>
      <c r="W24" s="99">
        <v>115</v>
      </c>
      <c r="X24" s="99">
        <v>63</v>
      </c>
      <c r="Y24" s="99">
        <v>154</v>
      </c>
      <c r="Z24" s="99">
        <v>68</v>
      </c>
      <c r="AA24" s="99" t="s">
        <v>676</v>
      </c>
      <c r="AB24" s="99" t="s">
        <v>676</v>
      </c>
      <c r="AC24" s="99" t="s">
        <v>676</v>
      </c>
      <c r="AD24" s="98" t="s">
        <v>385</v>
      </c>
      <c r="AE24" s="100">
        <v>0.1855628874225155</v>
      </c>
      <c r="AF24" s="100">
        <v>0.13</v>
      </c>
      <c r="AG24" s="98">
        <v>419.9160167966407</v>
      </c>
      <c r="AH24" s="98">
        <v>199.96000799840033</v>
      </c>
      <c r="AI24" s="100">
        <v>0.016</v>
      </c>
      <c r="AJ24" s="100">
        <v>0.858974</v>
      </c>
      <c r="AK24" s="100">
        <v>0.821946</v>
      </c>
      <c r="AL24" s="100">
        <v>0.829455</v>
      </c>
      <c r="AM24" s="100">
        <v>0.529967</v>
      </c>
      <c r="AN24" s="100">
        <v>0.590304</v>
      </c>
      <c r="AO24" s="98">
        <v>1986.2694127841098</v>
      </c>
      <c r="AP24" s="158">
        <v>1.018952103</v>
      </c>
      <c r="AQ24" s="100">
        <v>0.12416107382550336</v>
      </c>
      <c r="AR24" s="100">
        <v>0.5606060606060606</v>
      </c>
      <c r="AS24" s="98">
        <v>633.2066919949343</v>
      </c>
      <c r="AT24" s="98">
        <v>306.60534559754717</v>
      </c>
      <c r="AU24" s="98">
        <v>39.992001599680066</v>
      </c>
      <c r="AV24" s="98">
        <v>353.2626807971739</v>
      </c>
      <c r="AW24" s="98">
        <v>766.5133639938679</v>
      </c>
      <c r="AX24" s="98">
        <v>419.9160167966407</v>
      </c>
      <c r="AY24" s="98">
        <v>1026.4613743917882</v>
      </c>
      <c r="AZ24" s="98">
        <v>453.2426847963741</v>
      </c>
      <c r="BA24" s="100" t="s">
        <v>676</v>
      </c>
      <c r="BB24" s="100" t="s">
        <v>676</v>
      </c>
      <c r="BC24" s="100" t="s">
        <v>676</v>
      </c>
      <c r="BD24" s="158">
        <v>0.9065345001</v>
      </c>
      <c r="BE24" s="158">
        <v>1.1414585879999999</v>
      </c>
      <c r="BF24" s="162">
        <v>1950</v>
      </c>
      <c r="BG24" s="162">
        <v>1932</v>
      </c>
      <c r="BH24" s="162">
        <v>3524</v>
      </c>
      <c r="BI24" s="162">
        <v>1802</v>
      </c>
      <c r="BJ24" s="162">
        <v>1052</v>
      </c>
      <c r="BK24" s="97"/>
      <c r="BL24" s="97"/>
      <c r="BM24" s="97"/>
      <c r="BN24" s="97"/>
    </row>
    <row r="25" spans="1:66" ht="12.75">
      <c r="A25" s="79" t="s">
        <v>649</v>
      </c>
      <c r="B25" s="79" t="s">
        <v>365</v>
      </c>
      <c r="C25" s="79" t="s">
        <v>272</v>
      </c>
      <c r="D25" s="99">
        <v>2513</v>
      </c>
      <c r="E25" s="99">
        <v>577</v>
      </c>
      <c r="F25" s="99" t="s">
        <v>407</v>
      </c>
      <c r="G25" s="99">
        <v>13</v>
      </c>
      <c r="H25" s="99" t="s">
        <v>676</v>
      </c>
      <c r="I25" s="99">
        <v>35</v>
      </c>
      <c r="J25" s="99">
        <v>261</v>
      </c>
      <c r="K25" s="99">
        <v>8</v>
      </c>
      <c r="L25" s="99">
        <v>503</v>
      </c>
      <c r="M25" s="99">
        <v>198</v>
      </c>
      <c r="N25" s="99">
        <v>105</v>
      </c>
      <c r="O25" s="99">
        <v>71</v>
      </c>
      <c r="P25" s="159">
        <v>71</v>
      </c>
      <c r="Q25" s="99">
        <v>8</v>
      </c>
      <c r="R25" s="99">
        <v>17</v>
      </c>
      <c r="S25" s="99">
        <v>24</v>
      </c>
      <c r="T25" s="99">
        <v>10</v>
      </c>
      <c r="U25" s="99" t="s">
        <v>676</v>
      </c>
      <c r="V25" s="99">
        <v>12</v>
      </c>
      <c r="W25" s="99">
        <v>8</v>
      </c>
      <c r="X25" s="99">
        <v>7</v>
      </c>
      <c r="Y25" s="99">
        <v>17</v>
      </c>
      <c r="Z25" s="99">
        <v>19</v>
      </c>
      <c r="AA25" s="99" t="s">
        <v>676</v>
      </c>
      <c r="AB25" s="99" t="s">
        <v>676</v>
      </c>
      <c r="AC25" s="99" t="s">
        <v>676</v>
      </c>
      <c r="AD25" s="98" t="s">
        <v>385</v>
      </c>
      <c r="AE25" s="100">
        <v>0.22960604854755273</v>
      </c>
      <c r="AF25" s="100">
        <v>0.13</v>
      </c>
      <c r="AG25" s="98">
        <v>517.3099880620772</v>
      </c>
      <c r="AH25" s="98" t="s">
        <v>676</v>
      </c>
      <c r="AI25" s="100">
        <v>0.013999999999999999</v>
      </c>
      <c r="AJ25" s="100">
        <v>0.667519</v>
      </c>
      <c r="AK25" s="100">
        <v>0.615385</v>
      </c>
      <c r="AL25" s="100">
        <v>0.762121</v>
      </c>
      <c r="AM25" s="100">
        <v>0.568966</v>
      </c>
      <c r="AN25" s="100">
        <v>0.606936</v>
      </c>
      <c r="AO25" s="98">
        <v>2825.308396339037</v>
      </c>
      <c r="AP25" s="158">
        <v>1.23479538</v>
      </c>
      <c r="AQ25" s="100">
        <v>0.11267605633802817</v>
      </c>
      <c r="AR25" s="100">
        <v>0.47058823529411764</v>
      </c>
      <c r="AS25" s="98">
        <v>955.033824114604</v>
      </c>
      <c r="AT25" s="98">
        <v>397.9307600477517</v>
      </c>
      <c r="AU25" s="98" t="s">
        <v>676</v>
      </c>
      <c r="AV25" s="98">
        <v>477.516912057302</v>
      </c>
      <c r="AW25" s="98">
        <v>318.34460803820133</v>
      </c>
      <c r="AX25" s="98">
        <v>278.55153203342616</v>
      </c>
      <c r="AY25" s="98">
        <v>676.4822920811779</v>
      </c>
      <c r="AZ25" s="98">
        <v>756.0684440907282</v>
      </c>
      <c r="BA25" s="100" t="s">
        <v>676</v>
      </c>
      <c r="BB25" s="100" t="s">
        <v>676</v>
      </c>
      <c r="BC25" s="100" t="s">
        <v>676</v>
      </c>
      <c r="BD25" s="158">
        <v>0.9643854523000001</v>
      </c>
      <c r="BE25" s="158">
        <v>1.557526398</v>
      </c>
      <c r="BF25" s="162">
        <v>391</v>
      </c>
      <c r="BG25" s="162">
        <v>13</v>
      </c>
      <c r="BH25" s="162">
        <v>660</v>
      </c>
      <c r="BI25" s="162">
        <v>348</v>
      </c>
      <c r="BJ25" s="162">
        <v>173</v>
      </c>
      <c r="BK25" s="97"/>
      <c r="BL25" s="97"/>
      <c r="BM25" s="97"/>
      <c r="BN25" s="97"/>
    </row>
    <row r="26" spans="1:66" ht="12.75">
      <c r="A26" s="79" t="s">
        <v>618</v>
      </c>
      <c r="B26" s="79" t="s">
        <v>334</v>
      </c>
      <c r="C26" s="79" t="s">
        <v>272</v>
      </c>
      <c r="D26" s="99">
        <v>3068</v>
      </c>
      <c r="E26" s="99">
        <v>770</v>
      </c>
      <c r="F26" s="99" t="s">
        <v>406</v>
      </c>
      <c r="G26" s="99">
        <v>20</v>
      </c>
      <c r="H26" s="99">
        <v>9</v>
      </c>
      <c r="I26" s="99">
        <v>82</v>
      </c>
      <c r="J26" s="99">
        <v>378</v>
      </c>
      <c r="K26" s="99">
        <v>8</v>
      </c>
      <c r="L26" s="99">
        <v>608</v>
      </c>
      <c r="M26" s="99">
        <v>272</v>
      </c>
      <c r="N26" s="99">
        <v>181</v>
      </c>
      <c r="O26" s="99">
        <v>94</v>
      </c>
      <c r="P26" s="159">
        <v>94</v>
      </c>
      <c r="Q26" s="99">
        <v>7</v>
      </c>
      <c r="R26" s="99">
        <v>17</v>
      </c>
      <c r="S26" s="99">
        <v>23</v>
      </c>
      <c r="T26" s="99">
        <v>18</v>
      </c>
      <c r="U26" s="99" t="s">
        <v>676</v>
      </c>
      <c r="V26" s="99">
        <v>9</v>
      </c>
      <c r="W26" s="99">
        <v>27</v>
      </c>
      <c r="X26" s="99">
        <v>17</v>
      </c>
      <c r="Y26" s="99">
        <v>32</v>
      </c>
      <c r="Z26" s="99">
        <v>27</v>
      </c>
      <c r="AA26" s="99" t="s">
        <v>676</v>
      </c>
      <c r="AB26" s="99" t="s">
        <v>676</v>
      </c>
      <c r="AC26" s="99" t="s">
        <v>676</v>
      </c>
      <c r="AD26" s="98" t="s">
        <v>385</v>
      </c>
      <c r="AE26" s="100">
        <v>0.25097783572359844</v>
      </c>
      <c r="AF26" s="100">
        <v>0.1</v>
      </c>
      <c r="AG26" s="98">
        <v>651.8904823989569</v>
      </c>
      <c r="AH26" s="98">
        <v>293.3507170795306</v>
      </c>
      <c r="AI26" s="100">
        <v>0.027000000000000003</v>
      </c>
      <c r="AJ26" s="100">
        <v>0.7</v>
      </c>
      <c r="AK26" s="100">
        <v>0.615385</v>
      </c>
      <c r="AL26" s="100">
        <v>0.809587</v>
      </c>
      <c r="AM26" s="100">
        <v>0.526112</v>
      </c>
      <c r="AN26" s="100">
        <v>0.609428</v>
      </c>
      <c r="AO26" s="98">
        <v>3063.8852672750977</v>
      </c>
      <c r="AP26" s="158">
        <v>1.287664185</v>
      </c>
      <c r="AQ26" s="100">
        <v>0.07446808510638298</v>
      </c>
      <c r="AR26" s="100">
        <v>0.4117647058823529</v>
      </c>
      <c r="AS26" s="98">
        <v>749.6740547588005</v>
      </c>
      <c r="AT26" s="98">
        <v>586.7014341590613</v>
      </c>
      <c r="AU26" s="98" t="s">
        <v>676</v>
      </c>
      <c r="AV26" s="98">
        <v>293.3507170795306</v>
      </c>
      <c r="AW26" s="98">
        <v>880.0521512385919</v>
      </c>
      <c r="AX26" s="98">
        <v>554.1069100391135</v>
      </c>
      <c r="AY26" s="98">
        <v>1043.0247718383312</v>
      </c>
      <c r="AZ26" s="98">
        <v>880.0521512385919</v>
      </c>
      <c r="BA26" s="100" t="s">
        <v>676</v>
      </c>
      <c r="BB26" s="100" t="s">
        <v>676</v>
      </c>
      <c r="BC26" s="100" t="s">
        <v>676</v>
      </c>
      <c r="BD26" s="158">
        <v>1.04056366</v>
      </c>
      <c r="BE26" s="158">
        <v>1.5757748409999999</v>
      </c>
      <c r="BF26" s="162">
        <v>540</v>
      </c>
      <c r="BG26" s="162">
        <v>13</v>
      </c>
      <c r="BH26" s="162">
        <v>751</v>
      </c>
      <c r="BI26" s="162">
        <v>517</v>
      </c>
      <c r="BJ26" s="162">
        <v>297</v>
      </c>
      <c r="BK26" s="97"/>
      <c r="BL26" s="97"/>
      <c r="BM26" s="97"/>
      <c r="BN26" s="97"/>
    </row>
    <row r="27" spans="1:66" ht="12.75">
      <c r="A27" s="79" t="s">
        <v>638</v>
      </c>
      <c r="B27" s="79" t="s">
        <v>354</v>
      </c>
      <c r="C27" s="79" t="s">
        <v>272</v>
      </c>
      <c r="D27" s="99">
        <v>7974</v>
      </c>
      <c r="E27" s="99">
        <v>1977</v>
      </c>
      <c r="F27" s="99" t="s">
        <v>406</v>
      </c>
      <c r="G27" s="99">
        <v>51</v>
      </c>
      <c r="H27" s="99">
        <v>23</v>
      </c>
      <c r="I27" s="99">
        <v>178</v>
      </c>
      <c r="J27" s="99">
        <v>1013</v>
      </c>
      <c r="K27" s="99">
        <v>23</v>
      </c>
      <c r="L27" s="99">
        <v>1486</v>
      </c>
      <c r="M27" s="99">
        <v>823</v>
      </c>
      <c r="N27" s="99">
        <v>424</v>
      </c>
      <c r="O27" s="99">
        <v>172</v>
      </c>
      <c r="P27" s="159">
        <v>172</v>
      </c>
      <c r="Q27" s="99">
        <v>23</v>
      </c>
      <c r="R27" s="99">
        <v>47</v>
      </c>
      <c r="S27" s="99">
        <v>37</v>
      </c>
      <c r="T27" s="99">
        <v>24</v>
      </c>
      <c r="U27" s="99" t="s">
        <v>676</v>
      </c>
      <c r="V27" s="99">
        <v>37</v>
      </c>
      <c r="W27" s="99">
        <v>46</v>
      </c>
      <c r="X27" s="99">
        <v>20</v>
      </c>
      <c r="Y27" s="99">
        <v>89</v>
      </c>
      <c r="Z27" s="99">
        <v>63</v>
      </c>
      <c r="AA27" s="99" t="s">
        <v>676</v>
      </c>
      <c r="AB27" s="99" t="s">
        <v>676</v>
      </c>
      <c r="AC27" s="99" t="s">
        <v>676</v>
      </c>
      <c r="AD27" s="98" t="s">
        <v>385</v>
      </c>
      <c r="AE27" s="100">
        <v>0.24793077501881114</v>
      </c>
      <c r="AF27" s="100">
        <v>0.12</v>
      </c>
      <c r="AG27" s="98">
        <v>639.5786305492852</v>
      </c>
      <c r="AH27" s="98">
        <v>288.43742162026587</v>
      </c>
      <c r="AI27" s="100">
        <v>0.022000000000000002</v>
      </c>
      <c r="AJ27" s="100">
        <v>0.7571</v>
      </c>
      <c r="AK27" s="100">
        <v>0.589744</v>
      </c>
      <c r="AL27" s="100">
        <v>0.788747</v>
      </c>
      <c r="AM27" s="100">
        <v>0.648542</v>
      </c>
      <c r="AN27" s="100">
        <v>0.705491</v>
      </c>
      <c r="AO27" s="98">
        <v>2157.010283421119</v>
      </c>
      <c r="AP27" s="158">
        <v>0.921882019</v>
      </c>
      <c r="AQ27" s="100">
        <v>0.13372093023255813</v>
      </c>
      <c r="AR27" s="100">
        <v>0.48936170212765956</v>
      </c>
      <c r="AS27" s="98">
        <v>464.0080260847755</v>
      </c>
      <c r="AT27" s="98">
        <v>300.97817908201654</v>
      </c>
      <c r="AU27" s="98" t="s">
        <v>676</v>
      </c>
      <c r="AV27" s="98">
        <v>464.0080260847755</v>
      </c>
      <c r="AW27" s="98">
        <v>576.8748432405317</v>
      </c>
      <c r="AX27" s="98">
        <v>250.8151492350138</v>
      </c>
      <c r="AY27" s="98">
        <v>1116.1274140958114</v>
      </c>
      <c r="AZ27" s="98">
        <v>790.0677200902935</v>
      </c>
      <c r="BA27" s="100" t="s">
        <v>676</v>
      </c>
      <c r="BB27" s="100" t="s">
        <v>676</v>
      </c>
      <c r="BC27" s="100" t="s">
        <v>676</v>
      </c>
      <c r="BD27" s="158">
        <v>0.7892552184999999</v>
      </c>
      <c r="BE27" s="158">
        <v>1.070417633</v>
      </c>
      <c r="BF27" s="162">
        <v>1338</v>
      </c>
      <c r="BG27" s="162">
        <v>39</v>
      </c>
      <c r="BH27" s="162">
        <v>1884</v>
      </c>
      <c r="BI27" s="162">
        <v>1269</v>
      </c>
      <c r="BJ27" s="162">
        <v>601</v>
      </c>
      <c r="BK27" s="97"/>
      <c r="BL27" s="97"/>
      <c r="BM27" s="97"/>
      <c r="BN27" s="97"/>
    </row>
    <row r="28" spans="1:66" ht="12.75">
      <c r="A28" s="79" t="s">
        <v>662</v>
      </c>
      <c r="B28" s="79" t="s">
        <v>378</v>
      </c>
      <c r="C28" s="79" t="s">
        <v>272</v>
      </c>
      <c r="D28" s="99">
        <v>2349</v>
      </c>
      <c r="E28" s="99">
        <v>639</v>
      </c>
      <c r="F28" s="99" t="s">
        <v>408</v>
      </c>
      <c r="G28" s="99">
        <v>20</v>
      </c>
      <c r="H28" s="99" t="s">
        <v>676</v>
      </c>
      <c r="I28" s="99">
        <v>45</v>
      </c>
      <c r="J28" s="99">
        <v>270</v>
      </c>
      <c r="K28" s="99">
        <v>7</v>
      </c>
      <c r="L28" s="99">
        <v>439</v>
      </c>
      <c r="M28" s="99">
        <v>158</v>
      </c>
      <c r="N28" s="99">
        <v>107</v>
      </c>
      <c r="O28" s="99">
        <v>50</v>
      </c>
      <c r="P28" s="159">
        <v>50</v>
      </c>
      <c r="Q28" s="99" t="s">
        <v>676</v>
      </c>
      <c r="R28" s="99">
        <v>13</v>
      </c>
      <c r="S28" s="99">
        <v>7</v>
      </c>
      <c r="T28" s="99" t="s">
        <v>676</v>
      </c>
      <c r="U28" s="99" t="s">
        <v>676</v>
      </c>
      <c r="V28" s="99">
        <v>13</v>
      </c>
      <c r="W28" s="99">
        <v>19</v>
      </c>
      <c r="X28" s="99">
        <v>19</v>
      </c>
      <c r="Y28" s="99">
        <v>33</v>
      </c>
      <c r="Z28" s="99">
        <v>15</v>
      </c>
      <c r="AA28" s="99" t="s">
        <v>676</v>
      </c>
      <c r="AB28" s="99" t="s">
        <v>676</v>
      </c>
      <c r="AC28" s="99" t="s">
        <v>676</v>
      </c>
      <c r="AD28" s="98" t="s">
        <v>385</v>
      </c>
      <c r="AE28" s="100">
        <v>0.2720306513409962</v>
      </c>
      <c r="AF28" s="100">
        <v>0.08</v>
      </c>
      <c r="AG28" s="98">
        <v>851.4261387824606</v>
      </c>
      <c r="AH28" s="98" t="s">
        <v>676</v>
      </c>
      <c r="AI28" s="100">
        <v>0.019</v>
      </c>
      <c r="AJ28" s="100">
        <v>0.727763</v>
      </c>
      <c r="AK28" s="100">
        <v>0.5</v>
      </c>
      <c r="AL28" s="100">
        <v>0.806985</v>
      </c>
      <c r="AM28" s="100">
        <v>0.468843</v>
      </c>
      <c r="AN28" s="100">
        <v>0.597765</v>
      </c>
      <c r="AO28" s="98">
        <v>2128.5653469561516</v>
      </c>
      <c r="AP28" s="158">
        <v>0.8752607727</v>
      </c>
      <c r="AQ28" s="100" t="s">
        <v>676</v>
      </c>
      <c r="AR28" s="100" t="s">
        <v>676</v>
      </c>
      <c r="AS28" s="98">
        <v>297.9991485738612</v>
      </c>
      <c r="AT28" s="98" t="s">
        <v>676</v>
      </c>
      <c r="AU28" s="98" t="s">
        <v>676</v>
      </c>
      <c r="AV28" s="98">
        <v>553.4269902085994</v>
      </c>
      <c r="AW28" s="98">
        <v>808.8548318433376</v>
      </c>
      <c r="AX28" s="98">
        <v>808.8548318433376</v>
      </c>
      <c r="AY28" s="98">
        <v>1404.85312899106</v>
      </c>
      <c r="AZ28" s="98">
        <v>638.5696040868455</v>
      </c>
      <c r="BA28" s="100" t="s">
        <v>676</v>
      </c>
      <c r="BB28" s="100" t="s">
        <v>676</v>
      </c>
      <c r="BC28" s="100" t="s">
        <v>676</v>
      </c>
      <c r="BD28" s="158">
        <v>0.6496353911999999</v>
      </c>
      <c r="BE28" s="158">
        <v>1.153922272</v>
      </c>
      <c r="BF28" s="162">
        <v>371</v>
      </c>
      <c r="BG28" s="162">
        <v>14</v>
      </c>
      <c r="BH28" s="162">
        <v>544</v>
      </c>
      <c r="BI28" s="162">
        <v>337</v>
      </c>
      <c r="BJ28" s="162">
        <v>179</v>
      </c>
      <c r="BK28" s="97"/>
      <c r="BL28" s="97"/>
      <c r="BM28" s="97"/>
      <c r="BN28" s="97"/>
    </row>
    <row r="29" spans="1:66" ht="12.75">
      <c r="A29" s="79" t="s">
        <v>630</v>
      </c>
      <c r="B29" s="79" t="s">
        <v>346</v>
      </c>
      <c r="C29" s="79" t="s">
        <v>272</v>
      </c>
      <c r="D29" s="99">
        <v>4590</v>
      </c>
      <c r="E29" s="99">
        <v>1025</v>
      </c>
      <c r="F29" s="99" t="s">
        <v>408</v>
      </c>
      <c r="G29" s="99">
        <v>22</v>
      </c>
      <c r="H29" s="99">
        <v>7</v>
      </c>
      <c r="I29" s="99">
        <v>102</v>
      </c>
      <c r="J29" s="99">
        <v>618</v>
      </c>
      <c r="K29" s="99">
        <v>597</v>
      </c>
      <c r="L29" s="99">
        <v>981</v>
      </c>
      <c r="M29" s="99">
        <v>458</v>
      </c>
      <c r="N29" s="99">
        <v>309</v>
      </c>
      <c r="O29" s="99">
        <v>178</v>
      </c>
      <c r="P29" s="159">
        <v>178</v>
      </c>
      <c r="Q29" s="99">
        <v>24</v>
      </c>
      <c r="R29" s="99">
        <v>35</v>
      </c>
      <c r="S29" s="99">
        <v>30</v>
      </c>
      <c r="T29" s="99">
        <v>38</v>
      </c>
      <c r="U29" s="99" t="s">
        <v>676</v>
      </c>
      <c r="V29" s="99">
        <v>47</v>
      </c>
      <c r="W29" s="99">
        <v>51</v>
      </c>
      <c r="X29" s="99">
        <v>15</v>
      </c>
      <c r="Y29" s="99">
        <v>55</v>
      </c>
      <c r="Z29" s="99">
        <v>27</v>
      </c>
      <c r="AA29" s="99" t="s">
        <v>676</v>
      </c>
      <c r="AB29" s="99" t="s">
        <v>676</v>
      </c>
      <c r="AC29" s="99" t="s">
        <v>676</v>
      </c>
      <c r="AD29" s="98" t="s">
        <v>385</v>
      </c>
      <c r="AE29" s="100">
        <v>0.2233115468409586</v>
      </c>
      <c r="AF29" s="100">
        <v>0.08</v>
      </c>
      <c r="AG29" s="98">
        <v>479.3028322440087</v>
      </c>
      <c r="AH29" s="98">
        <v>152.5054466230937</v>
      </c>
      <c r="AI29" s="100">
        <v>0.022000000000000002</v>
      </c>
      <c r="AJ29" s="100">
        <v>0.791293</v>
      </c>
      <c r="AK29" s="100">
        <v>0.801342</v>
      </c>
      <c r="AL29" s="100">
        <v>0.89263</v>
      </c>
      <c r="AM29" s="100">
        <v>0.577554</v>
      </c>
      <c r="AN29" s="100">
        <v>0.680617</v>
      </c>
      <c r="AO29" s="98">
        <v>3877.995642701525</v>
      </c>
      <c r="AP29" s="158">
        <v>1.710925446</v>
      </c>
      <c r="AQ29" s="100">
        <v>0.1348314606741573</v>
      </c>
      <c r="AR29" s="100">
        <v>0.6857142857142857</v>
      </c>
      <c r="AS29" s="98">
        <v>653.59477124183</v>
      </c>
      <c r="AT29" s="98">
        <v>827.8867102396514</v>
      </c>
      <c r="AU29" s="98" t="s">
        <v>676</v>
      </c>
      <c r="AV29" s="98">
        <v>1023.9651416122005</v>
      </c>
      <c r="AW29" s="98">
        <v>1111.111111111111</v>
      </c>
      <c r="AX29" s="98">
        <v>326.797385620915</v>
      </c>
      <c r="AY29" s="98">
        <v>1198.2570806100218</v>
      </c>
      <c r="AZ29" s="98">
        <v>588.2352941176471</v>
      </c>
      <c r="BA29" s="100" t="s">
        <v>676</v>
      </c>
      <c r="BB29" s="100" t="s">
        <v>676</v>
      </c>
      <c r="BC29" s="100" t="s">
        <v>676</v>
      </c>
      <c r="BD29" s="158">
        <v>1.468805084</v>
      </c>
      <c r="BE29" s="158">
        <v>1.9815635679999999</v>
      </c>
      <c r="BF29" s="162">
        <v>781</v>
      </c>
      <c r="BG29" s="162">
        <v>745</v>
      </c>
      <c r="BH29" s="162">
        <v>1099</v>
      </c>
      <c r="BI29" s="162">
        <v>793</v>
      </c>
      <c r="BJ29" s="162">
        <v>454</v>
      </c>
      <c r="BK29" s="97"/>
      <c r="BL29" s="97"/>
      <c r="BM29" s="97"/>
      <c r="BN29" s="97"/>
    </row>
    <row r="30" spans="1:66" ht="12.75">
      <c r="A30" s="79" t="s">
        <v>608</v>
      </c>
      <c r="B30" s="79" t="s">
        <v>323</v>
      </c>
      <c r="C30" s="79" t="s">
        <v>272</v>
      </c>
      <c r="D30" s="99">
        <v>7258</v>
      </c>
      <c r="E30" s="99">
        <v>1496</v>
      </c>
      <c r="F30" s="99" t="s">
        <v>406</v>
      </c>
      <c r="G30" s="99">
        <v>38</v>
      </c>
      <c r="H30" s="99">
        <v>17</v>
      </c>
      <c r="I30" s="99">
        <v>167</v>
      </c>
      <c r="J30" s="99">
        <v>912</v>
      </c>
      <c r="K30" s="99">
        <v>897</v>
      </c>
      <c r="L30" s="99">
        <v>1368</v>
      </c>
      <c r="M30" s="99">
        <v>624</v>
      </c>
      <c r="N30" s="99">
        <v>411</v>
      </c>
      <c r="O30" s="99">
        <v>211</v>
      </c>
      <c r="P30" s="159">
        <v>211</v>
      </c>
      <c r="Q30" s="99">
        <v>26</v>
      </c>
      <c r="R30" s="99">
        <v>50</v>
      </c>
      <c r="S30" s="99">
        <v>41</v>
      </c>
      <c r="T30" s="99">
        <v>38</v>
      </c>
      <c r="U30" s="99">
        <v>6</v>
      </c>
      <c r="V30" s="99">
        <v>32</v>
      </c>
      <c r="W30" s="99">
        <v>74</v>
      </c>
      <c r="X30" s="99">
        <v>22</v>
      </c>
      <c r="Y30" s="99">
        <v>110</v>
      </c>
      <c r="Z30" s="99">
        <v>59</v>
      </c>
      <c r="AA30" s="99" t="s">
        <v>676</v>
      </c>
      <c r="AB30" s="99" t="s">
        <v>676</v>
      </c>
      <c r="AC30" s="99" t="s">
        <v>676</v>
      </c>
      <c r="AD30" s="98" t="s">
        <v>385</v>
      </c>
      <c r="AE30" s="100">
        <v>0.20611738771011298</v>
      </c>
      <c r="AF30" s="100">
        <v>0.1</v>
      </c>
      <c r="AG30" s="98">
        <v>523.5602094240837</v>
      </c>
      <c r="AH30" s="98">
        <v>234.22430421603747</v>
      </c>
      <c r="AI30" s="100">
        <v>0.023</v>
      </c>
      <c r="AJ30" s="100">
        <v>0.826836</v>
      </c>
      <c r="AK30" s="100">
        <v>0.828255</v>
      </c>
      <c r="AL30" s="100">
        <v>0.780822</v>
      </c>
      <c r="AM30" s="100">
        <v>0.58427</v>
      </c>
      <c r="AN30" s="100">
        <v>0.666126</v>
      </c>
      <c r="AO30" s="98">
        <v>2907.136952328465</v>
      </c>
      <c r="AP30" s="158">
        <v>1.362271576</v>
      </c>
      <c r="AQ30" s="100">
        <v>0.12322274881516587</v>
      </c>
      <c r="AR30" s="100">
        <v>0.52</v>
      </c>
      <c r="AS30" s="98">
        <v>564.8939101680904</v>
      </c>
      <c r="AT30" s="98">
        <v>523.5602094240837</v>
      </c>
      <c r="AU30" s="98">
        <v>82.66740148801323</v>
      </c>
      <c r="AV30" s="98">
        <v>440.89280793607054</v>
      </c>
      <c r="AW30" s="98">
        <v>1019.5646183521632</v>
      </c>
      <c r="AX30" s="98">
        <v>303.1138054560485</v>
      </c>
      <c r="AY30" s="98">
        <v>1515.5690272802424</v>
      </c>
      <c r="AZ30" s="98">
        <v>812.8961146321301</v>
      </c>
      <c r="BA30" s="100" t="s">
        <v>676</v>
      </c>
      <c r="BB30" s="100" t="s">
        <v>676</v>
      </c>
      <c r="BC30" s="100" t="s">
        <v>676</v>
      </c>
      <c r="BD30" s="158">
        <v>1.184650345</v>
      </c>
      <c r="BE30" s="158">
        <v>1.5590103149999999</v>
      </c>
      <c r="BF30" s="162">
        <v>1103</v>
      </c>
      <c r="BG30" s="162">
        <v>1083</v>
      </c>
      <c r="BH30" s="162">
        <v>1752</v>
      </c>
      <c r="BI30" s="162">
        <v>1068</v>
      </c>
      <c r="BJ30" s="162">
        <v>617</v>
      </c>
      <c r="BK30" s="97"/>
      <c r="BL30" s="97"/>
      <c r="BM30" s="97"/>
      <c r="BN30" s="97"/>
    </row>
    <row r="31" spans="1:66" ht="12.75">
      <c r="A31" s="79" t="s">
        <v>650</v>
      </c>
      <c r="B31" s="79" t="s">
        <v>366</v>
      </c>
      <c r="C31" s="79" t="s">
        <v>272</v>
      </c>
      <c r="D31" s="99">
        <v>3556</v>
      </c>
      <c r="E31" s="99">
        <v>1177</v>
      </c>
      <c r="F31" s="99" t="s">
        <v>406</v>
      </c>
      <c r="G31" s="99">
        <v>37</v>
      </c>
      <c r="H31" s="99">
        <v>12</v>
      </c>
      <c r="I31" s="99">
        <v>140</v>
      </c>
      <c r="J31" s="99">
        <v>545</v>
      </c>
      <c r="K31" s="99">
        <v>10</v>
      </c>
      <c r="L31" s="99">
        <v>604</v>
      </c>
      <c r="M31" s="99">
        <v>483</v>
      </c>
      <c r="N31" s="99">
        <v>236</v>
      </c>
      <c r="O31" s="99">
        <v>101</v>
      </c>
      <c r="P31" s="159">
        <v>101</v>
      </c>
      <c r="Q31" s="99">
        <v>17</v>
      </c>
      <c r="R31" s="99">
        <v>31</v>
      </c>
      <c r="S31" s="99">
        <v>14</v>
      </c>
      <c r="T31" s="99">
        <v>25</v>
      </c>
      <c r="U31" s="99" t="s">
        <v>676</v>
      </c>
      <c r="V31" s="99">
        <v>22</v>
      </c>
      <c r="W31" s="99">
        <v>11</v>
      </c>
      <c r="X31" s="99" t="s">
        <v>676</v>
      </c>
      <c r="Y31" s="99">
        <v>14</v>
      </c>
      <c r="Z31" s="99">
        <v>25</v>
      </c>
      <c r="AA31" s="99" t="s">
        <v>676</v>
      </c>
      <c r="AB31" s="99" t="s">
        <v>676</v>
      </c>
      <c r="AC31" s="99" t="s">
        <v>676</v>
      </c>
      <c r="AD31" s="98" t="s">
        <v>385</v>
      </c>
      <c r="AE31" s="100">
        <v>0.33098987626546683</v>
      </c>
      <c r="AF31" s="100">
        <v>0.09</v>
      </c>
      <c r="AG31" s="98">
        <v>1040.4949381327333</v>
      </c>
      <c r="AH31" s="98">
        <v>337.4578177727784</v>
      </c>
      <c r="AI31" s="100">
        <v>0.039</v>
      </c>
      <c r="AJ31" s="100">
        <v>0.793304</v>
      </c>
      <c r="AK31" s="100">
        <v>0.714286</v>
      </c>
      <c r="AL31" s="100">
        <v>0.809651</v>
      </c>
      <c r="AM31" s="100">
        <v>0.650943</v>
      </c>
      <c r="AN31" s="100">
        <v>0.672365</v>
      </c>
      <c r="AO31" s="98">
        <v>2840.269966254218</v>
      </c>
      <c r="AP31" s="158">
        <v>1.0396395870000001</v>
      </c>
      <c r="AQ31" s="100">
        <v>0.16831683168316833</v>
      </c>
      <c r="AR31" s="100">
        <v>0.5483870967741935</v>
      </c>
      <c r="AS31" s="98">
        <v>393.7007874015748</v>
      </c>
      <c r="AT31" s="98">
        <v>703.037120359955</v>
      </c>
      <c r="AU31" s="98" t="s">
        <v>676</v>
      </c>
      <c r="AV31" s="98">
        <v>618.6726659167604</v>
      </c>
      <c r="AW31" s="98">
        <v>309.3363329583802</v>
      </c>
      <c r="AX31" s="98" t="s">
        <v>676</v>
      </c>
      <c r="AY31" s="98">
        <v>393.7007874015748</v>
      </c>
      <c r="AZ31" s="98">
        <v>703.037120359955</v>
      </c>
      <c r="BA31" s="100" t="s">
        <v>676</v>
      </c>
      <c r="BB31" s="100" t="s">
        <v>676</v>
      </c>
      <c r="BC31" s="100" t="s">
        <v>676</v>
      </c>
      <c r="BD31" s="158">
        <v>0.8468035126</v>
      </c>
      <c r="BE31" s="158">
        <v>1.263256378</v>
      </c>
      <c r="BF31" s="162">
        <v>687</v>
      </c>
      <c r="BG31" s="162">
        <v>14</v>
      </c>
      <c r="BH31" s="162">
        <v>746</v>
      </c>
      <c r="BI31" s="162">
        <v>742</v>
      </c>
      <c r="BJ31" s="162">
        <v>351</v>
      </c>
      <c r="BK31" s="97"/>
      <c r="BL31" s="97"/>
      <c r="BM31" s="97"/>
      <c r="BN31" s="97"/>
    </row>
    <row r="32" spans="1:66" ht="12.75">
      <c r="A32" s="79" t="s">
        <v>621</v>
      </c>
      <c r="B32" s="79" t="s">
        <v>337</v>
      </c>
      <c r="C32" s="79" t="s">
        <v>272</v>
      </c>
      <c r="D32" s="99">
        <v>10383</v>
      </c>
      <c r="E32" s="99">
        <v>2115</v>
      </c>
      <c r="F32" s="99" t="s">
        <v>407</v>
      </c>
      <c r="G32" s="99">
        <v>31</v>
      </c>
      <c r="H32" s="99">
        <v>27</v>
      </c>
      <c r="I32" s="99">
        <v>124</v>
      </c>
      <c r="J32" s="99">
        <v>1139</v>
      </c>
      <c r="K32" s="99">
        <v>814</v>
      </c>
      <c r="L32" s="99">
        <v>1924</v>
      </c>
      <c r="M32" s="99">
        <v>698</v>
      </c>
      <c r="N32" s="99">
        <v>482</v>
      </c>
      <c r="O32" s="99">
        <v>124</v>
      </c>
      <c r="P32" s="159">
        <v>124</v>
      </c>
      <c r="Q32" s="99">
        <v>22</v>
      </c>
      <c r="R32" s="99">
        <v>48</v>
      </c>
      <c r="S32" s="99">
        <v>33</v>
      </c>
      <c r="T32" s="99">
        <v>22</v>
      </c>
      <c r="U32" s="99">
        <v>7</v>
      </c>
      <c r="V32" s="99">
        <v>22</v>
      </c>
      <c r="W32" s="99">
        <v>77</v>
      </c>
      <c r="X32" s="99">
        <v>26</v>
      </c>
      <c r="Y32" s="99">
        <v>82</v>
      </c>
      <c r="Z32" s="99">
        <v>73</v>
      </c>
      <c r="AA32" s="99" t="s">
        <v>676</v>
      </c>
      <c r="AB32" s="99" t="s">
        <v>676</v>
      </c>
      <c r="AC32" s="99" t="s">
        <v>676</v>
      </c>
      <c r="AD32" s="98" t="s">
        <v>385</v>
      </c>
      <c r="AE32" s="100">
        <v>0.20369835307714534</v>
      </c>
      <c r="AF32" s="100">
        <v>0.13</v>
      </c>
      <c r="AG32" s="98">
        <v>298.56496195704517</v>
      </c>
      <c r="AH32" s="98">
        <v>260.0404507367813</v>
      </c>
      <c r="AI32" s="100">
        <v>0.012</v>
      </c>
      <c r="AJ32" s="100">
        <v>0.822977</v>
      </c>
      <c r="AK32" s="100">
        <v>0.806739</v>
      </c>
      <c r="AL32" s="100">
        <v>0.818723</v>
      </c>
      <c r="AM32" s="100">
        <v>0.530395</v>
      </c>
      <c r="AN32" s="100">
        <v>0.610127</v>
      </c>
      <c r="AO32" s="98">
        <v>1194.2598478281807</v>
      </c>
      <c r="AP32" s="158">
        <v>0.5920194626</v>
      </c>
      <c r="AQ32" s="100">
        <v>0.1774193548387097</v>
      </c>
      <c r="AR32" s="100">
        <v>0.4583333333333333</v>
      </c>
      <c r="AS32" s="98">
        <v>317.8272175671771</v>
      </c>
      <c r="AT32" s="98">
        <v>211.88481171145142</v>
      </c>
      <c r="AU32" s="98">
        <v>67.4178946354618</v>
      </c>
      <c r="AV32" s="98">
        <v>211.88481171145142</v>
      </c>
      <c r="AW32" s="98">
        <v>741.59684099008</v>
      </c>
      <c r="AX32" s="98">
        <v>250.4093229317153</v>
      </c>
      <c r="AY32" s="98">
        <v>789.7524800154098</v>
      </c>
      <c r="AZ32" s="98">
        <v>703.0723297698161</v>
      </c>
      <c r="BA32" s="100" t="s">
        <v>676</v>
      </c>
      <c r="BB32" s="100" t="s">
        <v>676</v>
      </c>
      <c r="BC32" s="100" t="s">
        <v>676</v>
      </c>
      <c r="BD32" s="158">
        <v>0.4924111557</v>
      </c>
      <c r="BE32" s="158">
        <v>0.7058605957</v>
      </c>
      <c r="BF32" s="162">
        <v>1384</v>
      </c>
      <c r="BG32" s="162">
        <v>1009</v>
      </c>
      <c r="BH32" s="162">
        <v>2350</v>
      </c>
      <c r="BI32" s="162">
        <v>1316</v>
      </c>
      <c r="BJ32" s="162">
        <v>790</v>
      </c>
      <c r="BK32" s="97"/>
      <c r="BL32" s="97"/>
      <c r="BM32" s="97"/>
      <c r="BN32" s="97"/>
    </row>
    <row r="33" spans="1:66" ht="12.75">
      <c r="A33" s="79" t="s">
        <v>604</v>
      </c>
      <c r="B33" s="79" t="s">
        <v>319</v>
      </c>
      <c r="C33" s="79" t="s">
        <v>272</v>
      </c>
      <c r="D33" s="99">
        <v>11638</v>
      </c>
      <c r="E33" s="99">
        <v>2761</v>
      </c>
      <c r="F33" s="99" t="s">
        <v>406</v>
      </c>
      <c r="G33" s="99">
        <v>89</v>
      </c>
      <c r="H33" s="99">
        <v>33</v>
      </c>
      <c r="I33" s="99">
        <v>248</v>
      </c>
      <c r="J33" s="99">
        <v>1311</v>
      </c>
      <c r="K33" s="99">
        <v>27</v>
      </c>
      <c r="L33" s="99">
        <v>2168</v>
      </c>
      <c r="M33" s="99">
        <v>902</v>
      </c>
      <c r="N33" s="99">
        <v>573</v>
      </c>
      <c r="O33" s="99">
        <v>349</v>
      </c>
      <c r="P33" s="159">
        <v>349</v>
      </c>
      <c r="Q33" s="99">
        <v>57</v>
      </c>
      <c r="R33" s="99">
        <v>102</v>
      </c>
      <c r="S33" s="99">
        <v>52</v>
      </c>
      <c r="T33" s="99">
        <v>69</v>
      </c>
      <c r="U33" s="99">
        <v>13</v>
      </c>
      <c r="V33" s="99">
        <v>56</v>
      </c>
      <c r="W33" s="99">
        <v>120</v>
      </c>
      <c r="X33" s="99">
        <v>31</v>
      </c>
      <c r="Y33" s="99">
        <v>201</v>
      </c>
      <c r="Z33" s="99">
        <v>105</v>
      </c>
      <c r="AA33" s="99" t="s">
        <v>676</v>
      </c>
      <c r="AB33" s="99" t="s">
        <v>676</v>
      </c>
      <c r="AC33" s="99" t="s">
        <v>676</v>
      </c>
      <c r="AD33" s="98" t="s">
        <v>385</v>
      </c>
      <c r="AE33" s="100">
        <v>0.23724007561436672</v>
      </c>
      <c r="AF33" s="100">
        <v>0.11</v>
      </c>
      <c r="AG33" s="98">
        <v>764.7362089706135</v>
      </c>
      <c r="AH33" s="98">
        <v>283.5538752362949</v>
      </c>
      <c r="AI33" s="100">
        <v>0.021</v>
      </c>
      <c r="AJ33" s="100">
        <v>0.803801</v>
      </c>
      <c r="AK33" s="100">
        <v>0.613636</v>
      </c>
      <c r="AL33" s="100">
        <v>0.788937</v>
      </c>
      <c r="AM33" s="100">
        <v>0.555419</v>
      </c>
      <c r="AN33" s="100">
        <v>0.615467</v>
      </c>
      <c r="AO33" s="98">
        <v>2998.7970441656644</v>
      </c>
      <c r="AP33" s="158">
        <v>1.362219696</v>
      </c>
      <c r="AQ33" s="100">
        <v>0.16332378223495703</v>
      </c>
      <c r="AR33" s="100">
        <v>0.5588235294117647</v>
      </c>
      <c r="AS33" s="98">
        <v>446.81216703901015</v>
      </c>
      <c r="AT33" s="98">
        <v>592.8853754940711</v>
      </c>
      <c r="AU33" s="98">
        <v>111.70304175975254</v>
      </c>
      <c r="AV33" s="98">
        <v>481.1823337343186</v>
      </c>
      <c r="AW33" s="98">
        <v>1031.1050008592542</v>
      </c>
      <c r="AX33" s="98">
        <v>266.36879188864066</v>
      </c>
      <c r="AY33" s="98">
        <v>1727.1008764392507</v>
      </c>
      <c r="AZ33" s="98">
        <v>902.2168757518474</v>
      </c>
      <c r="BA33" s="101" t="s">
        <v>676</v>
      </c>
      <c r="BB33" s="101" t="s">
        <v>676</v>
      </c>
      <c r="BC33" s="101" t="s">
        <v>676</v>
      </c>
      <c r="BD33" s="158">
        <v>1.223035202</v>
      </c>
      <c r="BE33" s="158">
        <v>1.5129043580000001</v>
      </c>
      <c r="BF33" s="162">
        <v>1631</v>
      </c>
      <c r="BG33" s="162">
        <v>44</v>
      </c>
      <c r="BH33" s="162">
        <v>2748</v>
      </c>
      <c r="BI33" s="162">
        <v>1624</v>
      </c>
      <c r="BJ33" s="162">
        <v>931</v>
      </c>
      <c r="BK33" s="97"/>
      <c r="BL33" s="97"/>
      <c r="BM33" s="97"/>
      <c r="BN33" s="97"/>
    </row>
    <row r="34" spans="1:66" ht="12.75">
      <c r="A34" s="79" t="s">
        <v>627</v>
      </c>
      <c r="B34" s="79" t="s">
        <v>343</v>
      </c>
      <c r="C34" s="79" t="s">
        <v>272</v>
      </c>
      <c r="D34" s="99">
        <v>16185</v>
      </c>
      <c r="E34" s="99">
        <v>3900</v>
      </c>
      <c r="F34" s="99" t="s">
        <v>408</v>
      </c>
      <c r="G34" s="99">
        <v>111</v>
      </c>
      <c r="H34" s="99">
        <v>45</v>
      </c>
      <c r="I34" s="99">
        <v>234</v>
      </c>
      <c r="J34" s="99">
        <v>1991</v>
      </c>
      <c r="K34" s="99">
        <v>48</v>
      </c>
      <c r="L34" s="99">
        <v>3135</v>
      </c>
      <c r="M34" s="99">
        <v>1462</v>
      </c>
      <c r="N34" s="99">
        <v>953</v>
      </c>
      <c r="O34" s="99">
        <v>410</v>
      </c>
      <c r="P34" s="159">
        <v>410</v>
      </c>
      <c r="Q34" s="99">
        <v>56</v>
      </c>
      <c r="R34" s="99">
        <v>95</v>
      </c>
      <c r="S34" s="99">
        <v>88</v>
      </c>
      <c r="T34" s="99">
        <v>72</v>
      </c>
      <c r="U34" s="99">
        <v>16</v>
      </c>
      <c r="V34" s="99">
        <v>79</v>
      </c>
      <c r="W34" s="99">
        <v>130</v>
      </c>
      <c r="X34" s="99">
        <v>78</v>
      </c>
      <c r="Y34" s="99">
        <v>205</v>
      </c>
      <c r="Z34" s="99">
        <v>92</v>
      </c>
      <c r="AA34" s="99" t="s">
        <v>676</v>
      </c>
      <c r="AB34" s="99" t="s">
        <v>676</v>
      </c>
      <c r="AC34" s="99" t="s">
        <v>676</v>
      </c>
      <c r="AD34" s="98" t="s">
        <v>385</v>
      </c>
      <c r="AE34" s="100">
        <v>0.24096385542168675</v>
      </c>
      <c r="AF34" s="100">
        <v>0.07</v>
      </c>
      <c r="AG34" s="98">
        <v>685.820203892493</v>
      </c>
      <c r="AH34" s="98">
        <v>278.0352177942539</v>
      </c>
      <c r="AI34" s="100">
        <v>0.013999999999999999</v>
      </c>
      <c r="AJ34" s="100">
        <v>0.789453</v>
      </c>
      <c r="AK34" s="100">
        <v>0.623377</v>
      </c>
      <c r="AL34" s="100">
        <v>0.826741</v>
      </c>
      <c r="AM34" s="100">
        <v>0.585737</v>
      </c>
      <c r="AN34" s="100">
        <v>0.666434</v>
      </c>
      <c r="AO34" s="98">
        <v>2533.2097621254247</v>
      </c>
      <c r="AP34" s="158">
        <v>1.1134444430000001</v>
      </c>
      <c r="AQ34" s="100">
        <v>0.13658536585365855</v>
      </c>
      <c r="AR34" s="100">
        <v>0.5894736842105263</v>
      </c>
      <c r="AS34" s="98">
        <v>543.7133147976522</v>
      </c>
      <c r="AT34" s="98">
        <v>444.8563484708063</v>
      </c>
      <c r="AU34" s="98">
        <v>98.85696632684585</v>
      </c>
      <c r="AV34" s="98">
        <v>488.10627123880136</v>
      </c>
      <c r="AW34" s="98">
        <v>803.2128514056225</v>
      </c>
      <c r="AX34" s="98">
        <v>481.9277108433735</v>
      </c>
      <c r="AY34" s="98">
        <v>1266.6048810627124</v>
      </c>
      <c r="AZ34" s="98">
        <v>568.4275563793636</v>
      </c>
      <c r="BA34" s="100" t="s">
        <v>676</v>
      </c>
      <c r="BB34" s="100" t="s">
        <v>676</v>
      </c>
      <c r="BC34" s="100" t="s">
        <v>676</v>
      </c>
      <c r="BD34" s="158">
        <v>1.008260269</v>
      </c>
      <c r="BE34" s="158">
        <v>1.226618652</v>
      </c>
      <c r="BF34" s="162">
        <v>2522</v>
      </c>
      <c r="BG34" s="162">
        <v>77</v>
      </c>
      <c r="BH34" s="162">
        <v>3792</v>
      </c>
      <c r="BI34" s="162">
        <v>2496</v>
      </c>
      <c r="BJ34" s="162">
        <v>1430</v>
      </c>
      <c r="BK34" s="97"/>
      <c r="BL34" s="97"/>
      <c r="BM34" s="97"/>
      <c r="BN34" s="97"/>
    </row>
    <row r="35" spans="1:66" ht="12.75">
      <c r="A35" s="79" t="s">
        <v>625</v>
      </c>
      <c r="B35" s="79" t="s">
        <v>341</v>
      </c>
      <c r="C35" s="79" t="s">
        <v>272</v>
      </c>
      <c r="D35" s="99">
        <v>14620</v>
      </c>
      <c r="E35" s="99">
        <v>2814</v>
      </c>
      <c r="F35" s="99" t="s">
        <v>406</v>
      </c>
      <c r="G35" s="99">
        <v>58</v>
      </c>
      <c r="H35" s="99">
        <v>36</v>
      </c>
      <c r="I35" s="99">
        <v>253</v>
      </c>
      <c r="J35" s="99">
        <v>1451</v>
      </c>
      <c r="K35" s="99">
        <v>56</v>
      </c>
      <c r="L35" s="99">
        <v>2759</v>
      </c>
      <c r="M35" s="99">
        <v>1045</v>
      </c>
      <c r="N35" s="99">
        <v>689</v>
      </c>
      <c r="O35" s="99">
        <v>375</v>
      </c>
      <c r="P35" s="159">
        <v>375</v>
      </c>
      <c r="Q35" s="99">
        <v>45</v>
      </c>
      <c r="R35" s="99">
        <v>73</v>
      </c>
      <c r="S35" s="99">
        <v>75</v>
      </c>
      <c r="T35" s="99">
        <v>80</v>
      </c>
      <c r="U35" s="99">
        <v>6</v>
      </c>
      <c r="V35" s="99">
        <v>68</v>
      </c>
      <c r="W35" s="99">
        <v>125</v>
      </c>
      <c r="X35" s="99">
        <v>59</v>
      </c>
      <c r="Y35" s="99">
        <v>150</v>
      </c>
      <c r="Z35" s="99">
        <v>102</v>
      </c>
      <c r="AA35" s="99" t="s">
        <v>676</v>
      </c>
      <c r="AB35" s="99" t="s">
        <v>676</v>
      </c>
      <c r="AC35" s="99" t="s">
        <v>676</v>
      </c>
      <c r="AD35" s="98" t="s">
        <v>385</v>
      </c>
      <c r="AE35" s="100">
        <v>0.19247606019151847</v>
      </c>
      <c r="AF35" s="100">
        <v>0.09</v>
      </c>
      <c r="AG35" s="98">
        <v>396.7168262653899</v>
      </c>
      <c r="AH35" s="98">
        <v>246.23803009575923</v>
      </c>
      <c r="AI35" s="100">
        <v>0.017</v>
      </c>
      <c r="AJ35" s="100">
        <v>0.717961</v>
      </c>
      <c r="AK35" s="100">
        <v>0.7</v>
      </c>
      <c r="AL35" s="100">
        <v>0.793728</v>
      </c>
      <c r="AM35" s="100">
        <v>0.539494</v>
      </c>
      <c r="AN35" s="100">
        <v>0.616279</v>
      </c>
      <c r="AO35" s="98">
        <v>2564.9794801641588</v>
      </c>
      <c r="AP35" s="158">
        <v>1.2701164249999999</v>
      </c>
      <c r="AQ35" s="100">
        <v>0.12</v>
      </c>
      <c r="AR35" s="100">
        <v>0.6164383561643836</v>
      </c>
      <c r="AS35" s="98">
        <v>512.9958960328318</v>
      </c>
      <c r="AT35" s="98">
        <v>547.1956224350205</v>
      </c>
      <c r="AU35" s="98">
        <v>41.03967168262654</v>
      </c>
      <c r="AV35" s="98">
        <v>465.1162790697674</v>
      </c>
      <c r="AW35" s="98">
        <v>854.9931600547195</v>
      </c>
      <c r="AX35" s="98">
        <v>403.55677154582764</v>
      </c>
      <c r="AY35" s="98">
        <v>1025.9917920656635</v>
      </c>
      <c r="AZ35" s="98">
        <v>697.6744186046511</v>
      </c>
      <c r="BA35" s="100" t="s">
        <v>676</v>
      </c>
      <c r="BB35" s="100" t="s">
        <v>676</v>
      </c>
      <c r="BC35" s="100" t="s">
        <v>676</v>
      </c>
      <c r="BD35" s="158">
        <v>1.144802704</v>
      </c>
      <c r="BE35" s="158">
        <v>1.4054031370000002</v>
      </c>
      <c r="BF35" s="162">
        <v>2021</v>
      </c>
      <c r="BG35" s="162">
        <v>80</v>
      </c>
      <c r="BH35" s="162">
        <v>3476</v>
      </c>
      <c r="BI35" s="162">
        <v>1937</v>
      </c>
      <c r="BJ35" s="162">
        <v>1118</v>
      </c>
      <c r="BK35" s="97"/>
      <c r="BL35" s="97"/>
      <c r="BM35" s="97"/>
      <c r="BN35" s="97"/>
    </row>
    <row r="36" spans="1:66" ht="12.75">
      <c r="A36" s="79" t="s">
        <v>600</v>
      </c>
      <c r="B36" s="79" t="s">
        <v>315</v>
      </c>
      <c r="C36" s="79" t="s">
        <v>272</v>
      </c>
      <c r="D36" s="99">
        <v>10666</v>
      </c>
      <c r="E36" s="99">
        <v>2231</v>
      </c>
      <c r="F36" s="99" t="s">
        <v>406</v>
      </c>
      <c r="G36" s="99">
        <v>70</v>
      </c>
      <c r="H36" s="99">
        <v>38</v>
      </c>
      <c r="I36" s="99">
        <v>191</v>
      </c>
      <c r="J36" s="99">
        <v>1043</v>
      </c>
      <c r="K36" s="99">
        <v>20</v>
      </c>
      <c r="L36" s="99">
        <v>2053</v>
      </c>
      <c r="M36" s="99">
        <v>843</v>
      </c>
      <c r="N36" s="99">
        <v>439</v>
      </c>
      <c r="O36" s="99">
        <v>223</v>
      </c>
      <c r="P36" s="159">
        <v>223</v>
      </c>
      <c r="Q36" s="99">
        <v>35</v>
      </c>
      <c r="R36" s="99">
        <v>68</v>
      </c>
      <c r="S36" s="99">
        <v>46</v>
      </c>
      <c r="T36" s="99">
        <v>29</v>
      </c>
      <c r="U36" s="99" t="s">
        <v>676</v>
      </c>
      <c r="V36" s="99">
        <v>46</v>
      </c>
      <c r="W36" s="99">
        <v>55</v>
      </c>
      <c r="X36" s="99">
        <v>32</v>
      </c>
      <c r="Y36" s="99">
        <v>134</v>
      </c>
      <c r="Z36" s="99">
        <v>66</v>
      </c>
      <c r="AA36" s="99" t="s">
        <v>676</v>
      </c>
      <c r="AB36" s="99" t="s">
        <v>676</v>
      </c>
      <c r="AC36" s="99" t="s">
        <v>676</v>
      </c>
      <c r="AD36" s="98" t="s">
        <v>385</v>
      </c>
      <c r="AE36" s="100">
        <v>0.20916932308269268</v>
      </c>
      <c r="AF36" s="100">
        <v>0.12</v>
      </c>
      <c r="AG36" s="98">
        <v>656.2910181886368</v>
      </c>
      <c r="AH36" s="98">
        <v>356.27226701668855</v>
      </c>
      <c r="AI36" s="100">
        <v>0.018000000000000002</v>
      </c>
      <c r="AJ36" s="100">
        <v>0.69487</v>
      </c>
      <c r="AK36" s="100">
        <v>0.666667</v>
      </c>
      <c r="AL36" s="100">
        <v>0.819234</v>
      </c>
      <c r="AM36" s="100">
        <v>0.619853</v>
      </c>
      <c r="AN36" s="100">
        <v>0.656203</v>
      </c>
      <c r="AO36" s="98">
        <v>2090.7556722295144</v>
      </c>
      <c r="AP36" s="158">
        <v>0.9872196959999999</v>
      </c>
      <c r="AQ36" s="100">
        <v>0.15695067264573992</v>
      </c>
      <c r="AR36" s="100">
        <v>0.5147058823529411</v>
      </c>
      <c r="AS36" s="98">
        <v>431.2769548096756</v>
      </c>
      <c r="AT36" s="98">
        <v>271.8919932495781</v>
      </c>
      <c r="AU36" s="98" t="s">
        <v>676</v>
      </c>
      <c r="AV36" s="98">
        <v>431.2769548096756</v>
      </c>
      <c r="AW36" s="98">
        <v>515.657228576786</v>
      </c>
      <c r="AX36" s="98">
        <v>300.0187511719482</v>
      </c>
      <c r="AY36" s="98">
        <v>1256.3285205325333</v>
      </c>
      <c r="AZ36" s="98">
        <v>618.7886742921432</v>
      </c>
      <c r="BA36" s="100" t="s">
        <v>676</v>
      </c>
      <c r="BB36" s="100" t="s">
        <v>676</v>
      </c>
      <c r="BC36" s="100" t="s">
        <v>676</v>
      </c>
      <c r="BD36" s="158">
        <v>0.8618907928</v>
      </c>
      <c r="BE36" s="158">
        <v>1.125649261</v>
      </c>
      <c r="BF36" s="162">
        <v>1501</v>
      </c>
      <c r="BG36" s="162">
        <v>30</v>
      </c>
      <c r="BH36" s="162">
        <v>2506</v>
      </c>
      <c r="BI36" s="162">
        <v>1360</v>
      </c>
      <c r="BJ36" s="162">
        <v>669</v>
      </c>
      <c r="BK36" s="97"/>
      <c r="BL36" s="97"/>
      <c r="BM36" s="97"/>
      <c r="BN36" s="97"/>
    </row>
    <row r="37" spans="1:66" ht="12.75">
      <c r="A37" s="79" t="s">
        <v>626</v>
      </c>
      <c r="B37" s="79" t="s">
        <v>342</v>
      </c>
      <c r="C37" s="79" t="s">
        <v>272</v>
      </c>
      <c r="D37" s="99">
        <v>8171</v>
      </c>
      <c r="E37" s="99">
        <v>2256</v>
      </c>
      <c r="F37" s="99" t="s">
        <v>406</v>
      </c>
      <c r="G37" s="99">
        <v>52</v>
      </c>
      <c r="H37" s="99">
        <v>25</v>
      </c>
      <c r="I37" s="99">
        <v>128</v>
      </c>
      <c r="J37" s="99">
        <v>1051</v>
      </c>
      <c r="K37" s="99">
        <v>23</v>
      </c>
      <c r="L37" s="99">
        <v>1441</v>
      </c>
      <c r="M37" s="99">
        <v>896</v>
      </c>
      <c r="N37" s="99">
        <v>449</v>
      </c>
      <c r="O37" s="99">
        <v>207</v>
      </c>
      <c r="P37" s="159">
        <v>207</v>
      </c>
      <c r="Q37" s="99">
        <v>29</v>
      </c>
      <c r="R37" s="99">
        <v>70</v>
      </c>
      <c r="S37" s="99">
        <v>43</v>
      </c>
      <c r="T37" s="99">
        <v>40</v>
      </c>
      <c r="U37" s="99">
        <v>7</v>
      </c>
      <c r="V37" s="99">
        <v>49</v>
      </c>
      <c r="W37" s="99">
        <v>64</v>
      </c>
      <c r="X37" s="99">
        <v>39</v>
      </c>
      <c r="Y37" s="99">
        <v>103</v>
      </c>
      <c r="Z37" s="99">
        <v>76</v>
      </c>
      <c r="AA37" s="99" t="s">
        <v>676</v>
      </c>
      <c r="AB37" s="99" t="s">
        <v>676</v>
      </c>
      <c r="AC37" s="99" t="s">
        <v>676</v>
      </c>
      <c r="AD37" s="98" t="s">
        <v>385</v>
      </c>
      <c r="AE37" s="100">
        <v>0.27609839676906134</v>
      </c>
      <c r="AF37" s="100">
        <v>0.12</v>
      </c>
      <c r="AG37" s="98">
        <v>636.3970138293967</v>
      </c>
      <c r="AH37" s="98">
        <v>305.9601028025945</v>
      </c>
      <c r="AI37" s="100">
        <v>0.016</v>
      </c>
      <c r="AJ37" s="100">
        <v>0.768275</v>
      </c>
      <c r="AK37" s="100">
        <v>0.741935</v>
      </c>
      <c r="AL37" s="100">
        <v>0.786143</v>
      </c>
      <c r="AM37" s="100">
        <v>0.617931</v>
      </c>
      <c r="AN37" s="100">
        <v>0.657394</v>
      </c>
      <c r="AO37" s="98">
        <v>2533.3496512054826</v>
      </c>
      <c r="AP37" s="158">
        <v>1.036235504</v>
      </c>
      <c r="AQ37" s="100">
        <v>0.14009661835748793</v>
      </c>
      <c r="AR37" s="100">
        <v>0.4142857142857143</v>
      </c>
      <c r="AS37" s="98">
        <v>526.2513768204626</v>
      </c>
      <c r="AT37" s="98">
        <v>489.53616448415124</v>
      </c>
      <c r="AU37" s="98">
        <v>85.66882878472647</v>
      </c>
      <c r="AV37" s="98">
        <v>599.6818014930853</v>
      </c>
      <c r="AW37" s="98">
        <v>783.257863174642</v>
      </c>
      <c r="AX37" s="98">
        <v>477.2977603720475</v>
      </c>
      <c r="AY37" s="98">
        <v>1260.5556235466895</v>
      </c>
      <c r="AZ37" s="98">
        <v>930.1187125198874</v>
      </c>
      <c r="BA37" s="100" t="s">
        <v>676</v>
      </c>
      <c r="BB37" s="100" t="s">
        <v>676</v>
      </c>
      <c r="BC37" s="100" t="s">
        <v>676</v>
      </c>
      <c r="BD37" s="158">
        <v>0.8998719024999999</v>
      </c>
      <c r="BE37" s="158">
        <v>1.187425308</v>
      </c>
      <c r="BF37" s="162">
        <v>1368</v>
      </c>
      <c r="BG37" s="162">
        <v>31</v>
      </c>
      <c r="BH37" s="162">
        <v>1833</v>
      </c>
      <c r="BI37" s="162">
        <v>1450</v>
      </c>
      <c r="BJ37" s="162">
        <v>683</v>
      </c>
      <c r="BK37" s="97"/>
      <c r="BL37" s="97"/>
      <c r="BM37" s="97"/>
      <c r="BN37" s="97"/>
    </row>
    <row r="38" spans="1:66" ht="12.75">
      <c r="A38" s="79" t="s">
        <v>581</v>
      </c>
      <c r="B38" s="79" t="s">
        <v>294</v>
      </c>
      <c r="C38" s="79" t="s">
        <v>272</v>
      </c>
      <c r="D38" s="99">
        <v>7566</v>
      </c>
      <c r="E38" s="99">
        <v>1978</v>
      </c>
      <c r="F38" s="99" t="s">
        <v>407</v>
      </c>
      <c r="G38" s="99">
        <v>55</v>
      </c>
      <c r="H38" s="99">
        <v>25</v>
      </c>
      <c r="I38" s="99">
        <v>116</v>
      </c>
      <c r="J38" s="99">
        <v>849</v>
      </c>
      <c r="K38" s="99">
        <v>15</v>
      </c>
      <c r="L38" s="99">
        <v>1306</v>
      </c>
      <c r="M38" s="99">
        <v>707</v>
      </c>
      <c r="N38" s="99">
        <v>369</v>
      </c>
      <c r="O38" s="99">
        <v>174</v>
      </c>
      <c r="P38" s="159">
        <v>174</v>
      </c>
      <c r="Q38" s="99">
        <v>31</v>
      </c>
      <c r="R38" s="99">
        <v>61</v>
      </c>
      <c r="S38" s="99">
        <v>43</v>
      </c>
      <c r="T38" s="99">
        <v>34</v>
      </c>
      <c r="U38" s="99">
        <v>10</v>
      </c>
      <c r="V38" s="99">
        <v>30</v>
      </c>
      <c r="W38" s="99">
        <v>54</v>
      </c>
      <c r="X38" s="99">
        <v>23</v>
      </c>
      <c r="Y38" s="99">
        <v>90</v>
      </c>
      <c r="Z38" s="99">
        <v>79</v>
      </c>
      <c r="AA38" s="99" t="s">
        <v>676</v>
      </c>
      <c r="AB38" s="99" t="s">
        <v>676</v>
      </c>
      <c r="AC38" s="99" t="s">
        <v>676</v>
      </c>
      <c r="AD38" s="98" t="s">
        <v>385</v>
      </c>
      <c r="AE38" s="100">
        <v>0.26143272535025114</v>
      </c>
      <c r="AF38" s="100">
        <v>0.15</v>
      </c>
      <c r="AG38" s="98">
        <v>726.9362939466032</v>
      </c>
      <c r="AH38" s="98">
        <v>330.42558815754694</v>
      </c>
      <c r="AI38" s="100">
        <v>0.015</v>
      </c>
      <c r="AJ38" s="100">
        <v>0.751993</v>
      </c>
      <c r="AK38" s="100">
        <v>0.6</v>
      </c>
      <c r="AL38" s="100">
        <v>0.802704</v>
      </c>
      <c r="AM38" s="100">
        <v>0.622359</v>
      </c>
      <c r="AN38" s="100">
        <v>0.647368</v>
      </c>
      <c r="AO38" s="98">
        <v>2299.7620935765267</v>
      </c>
      <c r="AP38" s="158">
        <v>0.9931399536000001</v>
      </c>
      <c r="AQ38" s="100">
        <v>0.1781609195402299</v>
      </c>
      <c r="AR38" s="100">
        <v>0.5081967213114754</v>
      </c>
      <c r="AS38" s="98">
        <v>568.3320116309807</v>
      </c>
      <c r="AT38" s="98">
        <v>449.3787998942638</v>
      </c>
      <c r="AU38" s="98">
        <v>132.17023526301878</v>
      </c>
      <c r="AV38" s="98">
        <v>396.5107057890563</v>
      </c>
      <c r="AW38" s="98">
        <v>713.7192704203013</v>
      </c>
      <c r="AX38" s="98">
        <v>303.99154110494317</v>
      </c>
      <c r="AY38" s="98">
        <v>1189.532117367169</v>
      </c>
      <c r="AZ38" s="98">
        <v>1044.1448585778483</v>
      </c>
      <c r="BA38" s="100" t="s">
        <v>676</v>
      </c>
      <c r="BB38" s="100" t="s">
        <v>676</v>
      </c>
      <c r="BC38" s="100" t="s">
        <v>676</v>
      </c>
      <c r="BD38" s="158">
        <v>0.8510529327</v>
      </c>
      <c r="BE38" s="158">
        <v>1.152166061</v>
      </c>
      <c r="BF38" s="162">
        <v>1129</v>
      </c>
      <c r="BG38" s="162">
        <v>25</v>
      </c>
      <c r="BH38" s="162">
        <v>1627</v>
      </c>
      <c r="BI38" s="162">
        <v>1136</v>
      </c>
      <c r="BJ38" s="162">
        <v>570</v>
      </c>
      <c r="BK38" s="97"/>
      <c r="BL38" s="97"/>
      <c r="BM38" s="97"/>
      <c r="BN38" s="97"/>
    </row>
    <row r="39" spans="1:66" ht="12.75">
      <c r="A39" s="79" t="s">
        <v>596</v>
      </c>
      <c r="B39" s="79" t="s">
        <v>311</v>
      </c>
      <c r="C39" s="79" t="s">
        <v>272</v>
      </c>
      <c r="D39" s="99">
        <v>7890</v>
      </c>
      <c r="E39" s="99">
        <v>1463</v>
      </c>
      <c r="F39" s="99" t="s">
        <v>406</v>
      </c>
      <c r="G39" s="99">
        <v>26</v>
      </c>
      <c r="H39" s="99">
        <v>20</v>
      </c>
      <c r="I39" s="99">
        <v>174</v>
      </c>
      <c r="J39" s="99">
        <v>724</v>
      </c>
      <c r="K39" s="99">
        <v>17</v>
      </c>
      <c r="L39" s="99">
        <v>1550</v>
      </c>
      <c r="M39" s="99">
        <v>554</v>
      </c>
      <c r="N39" s="99">
        <v>298</v>
      </c>
      <c r="O39" s="99">
        <v>273</v>
      </c>
      <c r="P39" s="159">
        <v>273</v>
      </c>
      <c r="Q39" s="99">
        <v>24</v>
      </c>
      <c r="R39" s="99">
        <v>60</v>
      </c>
      <c r="S39" s="99">
        <v>31</v>
      </c>
      <c r="T39" s="99">
        <v>51</v>
      </c>
      <c r="U39" s="99">
        <v>7</v>
      </c>
      <c r="V39" s="99">
        <v>62</v>
      </c>
      <c r="W39" s="99">
        <v>55</v>
      </c>
      <c r="X39" s="99">
        <v>22</v>
      </c>
      <c r="Y39" s="99">
        <v>92</v>
      </c>
      <c r="Z39" s="99">
        <v>70</v>
      </c>
      <c r="AA39" s="99" t="s">
        <v>676</v>
      </c>
      <c r="AB39" s="99" t="s">
        <v>676</v>
      </c>
      <c r="AC39" s="99" t="s">
        <v>676</v>
      </c>
      <c r="AD39" s="98" t="s">
        <v>385</v>
      </c>
      <c r="AE39" s="100">
        <v>0.18542458808618503</v>
      </c>
      <c r="AF39" s="100">
        <v>0.12</v>
      </c>
      <c r="AG39" s="98">
        <v>329.531051964512</v>
      </c>
      <c r="AH39" s="98">
        <v>253.48542458808618</v>
      </c>
      <c r="AI39" s="100">
        <v>0.022000000000000002</v>
      </c>
      <c r="AJ39" s="100">
        <v>0.719682</v>
      </c>
      <c r="AK39" s="100">
        <v>0.68</v>
      </c>
      <c r="AL39" s="100">
        <v>0.800207</v>
      </c>
      <c r="AM39" s="100">
        <v>0.580713</v>
      </c>
      <c r="AN39" s="100">
        <v>0.596</v>
      </c>
      <c r="AO39" s="98">
        <v>3460.0760456273765</v>
      </c>
      <c r="AP39" s="158">
        <v>1.7577024840000002</v>
      </c>
      <c r="AQ39" s="100">
        <v>0.08791208791208792</v>
      </c>
      <c r="AR39" s="100">
        <v>0.4</v>
      </c>
      <c r="AS39" s="98">
        <v>392.9024081115336</v>
      </c>
      <c r="AT39" s="98">
        <v>646.3878326996198</v>
      </c>
      <c r="AU39" s="98">
        <v>88.71989860583017</v>
      </c>
      <c r="AV39" s="98">
        <v>785.8048162230672</v>
      </c>
      <c r="AW39" s="98">
        <v>697.084917617237</v>
      </c>
      <c r="AX39" s="98">
        <v>278.8339670468948</v>
      </c>
      <c r="AY39" s="98">
        <v>1166.0329531051964</v>
      </c>
      <c r="AZ39" s="98">
        <v>887.1989860583017</v>
      </c>
      <c r="BA39" s="100" t="s">
        <v>676</v>
      </c>
      <c r="BB39" s="100" t="s">
        <v>676</v>
      </c>
      <c r="BC39" s="100" t="s">
        <v>676</v>
      </c>
      <c r="BD39" s="158">
        <v>1.555363159</v>
      </c>
      <c r="BE39" s="158">
        <v>1.979055176</v>
      </c>
      <c r="BF39" s="162">
        <v>1006</v>
      </c>
      <c r="BG39" s="162">
        <v>25</v>
      </c>
      <c r="BH39" s="162">
        <v>1937</v>
      </c>
      <c r="BI39" s="162">
        <v>954</v>
      </c>
      <c r="BJ39" s="162">
        <v>500</v>
      </c>
      <c r="BK39" s="97"/>
      <c r="BL39" s="97"/>
      <c r="BM39" s="97"/>
      <c r="BN39" s="97"/>
    </row>
    <row r="40" spans="1:66" ht="12.75">
      <c r="A40" s="79" t="s">
        <v>682</v>
      </c>
      <c r="B40" s="79" t="s">
        <v>324</v>
      </c>
      <c r="C40" s="79" t="s">
        <v>272</v>
      </c>
      <c r="D40" s="99">
        <v>7385</v>
      </c>
      <c r="E40" s="99">
        <v>1168</v>
      </c>
      <c r="F40" s="99" t="s">
        <v>406</v>
      </c>
      <c r="G40" s="99">
        <v>29</v>
      </c>
      <c r="H40" s="99">
        <v>15</v>
      </c>
      <c r="I40" s="99">
        <v>95</v>
      </c>
      <c r="J40" s="99">
        <v>553</v>
      </c>
      <c r="K40" s="99">
        <v>235</v>
      </c>
      <c r="L40" s="99">
        <v>1355</v>
      </c>
      <c r="M40" s="99">
        <v>389</v>
      </c>
      <c r="N40" s="99">
        <v>218</v>
      </c>
      <c r="O40" s="99">
        <v>153</v>
      </c>
      <c r="P40" s="159">
        <v>153</v>
      </c>
      <c r="Q40" s="99">
        <v>15</v>
      </c>
      <c r="R40" s="99">
        <v>31</v>
      </c>
      <c r="S40" s="99">
        <v>51</v>
      </c>
      <c r="T40" s="99">
        <v>22</v>
      </c>
      <c r="U40" s="99" t="s">
        <v>676</v>
      </c>
      <c r="V40" s="99">
        <v>21</v>
      </c>
      <c r="W40" s="99">
        <v>38</v>
      </c>
      <c r="X40" s="99">
        <v>21</v>
      </c>
      <c r="Y40" s="99">
        <v>61</v>
      </c>
      <c r="Z40" s="99">
        <v>32</v>
      </c>
      <c r="AA40" s="99" t="s">
        <v>676</v>
      </c>
      <c r="AB40" s="99" t="s">
        <v>676</v>
      </c>
      <c r="AC40" s="99" t="s">
        <v>676</v>
      </c>
      <c r="AD40" s="98" t="s">
        <v>385</v>
      </c>
      <c r="AE40" s="100">
        <v>0.15815842924847665</v>
      </c>
      <c r="AF40" s="100">
        <v>0.1</v>
      </c>
      <c r="AG40" s="98">
        <v>392.6878808395396</v>
      </c>
      <c r="AH40" s="98">
        <v>203.1144211238998</v>
      </c>
      <c r="AI40" s="100">
        <v>0.013000000000000001</v>
      </c>
      <c r="AJ40" s="100">
        <v>0.708067</v>
      </c>
      <c r="AK40" s="100">
        <v>0.750799</v>
      </c>
      <c r="AL40" s="100">
        <v>0.73842</v>
      </c>
      <c r="AM40" s="100">
        <v>0.538036</v>
      </c>
      <c r="AN40" s="100">
        <v>0.563307</v>
      </c>
      <c r="AO40" s="98">
        <v>2071.767095463778</v>
      </c>
      <c r="AP40" s="158">
        <v>1.136885376</v>
      </c>
      <c r="AQ40" s="100">
        <v>0.09803921568627451</v>
      </c>
      <c r="AR40" s="100">
        <v>0.4838709677419355</v>
      </c>
      <c r="AS40" s="98">
        <v>690.5890318212593</v>
      </c>
      <c r="AT40" s="98">
        <v>297.9011509817197</v>
      </c>
      <c r="AU40" s="98" t="s">
        <v>676</v>
      </c>
      <c r="AV40" s="98">
        <v>284.3601895734597</v>
      </c>
      <c r="AW40" s="98">
        <v>514.5565335138795</v>
      </c>
      <c r="AX40" s="98">
        <v>284.3601895734597</v>
      </c>
      <c r="AY40" s="98">
        <v>825.9986459038591</v>
      </c>
      <c r="AZ40" s="98">
        <v>433.3107650643196</v>
      </c>
      <c r="BA40" s="100" t="s">
        <v>676</v>
      </c>
      <c r="BB40" s="100" t="s">
        <v>676</v>
      </c>
      <c r="BC40" s="100" t="s">
        <v>676</v>
      </c>
      <c r="BD40" s="158">
        <v>0.9638794708</v>
      </c>
      <c r="BE40" s="158">
        <v>1.3319792179999999</v>
      </c>
      <c r="BF40" s="162">
        <v>781</v>
      </c>
      <c r="BG40" s="162">
        <v>313</v>
      </c>
      <c r="BH40" s="162">
        <v>1835</v>
      </c>
      <c r="BI40" s="162">
        <v>723</v>
      </c>
      <c r="BJ40" s="162">
        <v>387</v>
      </c>
      <c r="BK40" s="97"/>
      <c r="BL40" s="97"/>
      <c r="BM40" s="97"/>
      <c r="BN40" s="97"/>
    </row>
    <row r="41" spans="1:66" ht="12.75">
      <c r="A41" s="79" t="s">
        <v>597</v>
      </c>
      <c r="B41" s="79" t="s">
        <v>312</v>
      </c>
      <c r="C41" s="79" t="s">
        <v>272</v>
      </c>
      <c r="D41" s="99">
        <v>5487</v>
      </c>
      <c r="E41" s="99">
        <v>1317</v>
      </c>
      <c r="F41" s="99" t="s">
        <v>406</v>
      </c>
      <c r="G41" s="99">
        <v>37</v>
      </c>
      <c r="H41" s="99">
        <v>18</v>
      </c>
      <c r="I41" s="99">
        <v>109</v>
      </c>
      <c r="J41" s="99">
        <v>628</v>
      </c>
      <c r="K41" s="99">
        <v>11</v>
      </c>
      <c r="L41" s="99">
        <v>1084</v>
      </c>
      <c r="M41" s="99">
        <v>424</v>
      </c>
      <c r="N41" s="99">
        <v>272</v>
      </c>
      <c r="O41" s="99">
        <v>156</v>
      </c>
      <c r="P41" s="159">
        <v>156</v>
      </c>
      <c r="Q41" s="99">
        <v>13</v>
      </c>
      <c r="R41" s="99">
        <v>29</v>
      </c>
      <c r="S41" s="99">
        <v>33</v>
      </c>
      <c r="T41" s="99">
        <v>33</v>
      </c>
      <c r="U41" s="99" t="s">
        <v>676</v>
      </c>
      <c r="V41" s="99">
        <v>16</v>
      </c>
      <c r="W41" s="99">
        <v>41</v>
      </c>
      <c r="X41" s="99">
        <v>21</v>
      </c>
      <c r="Y41" s="99">
        <v>55</v>
      </c>
      <c r="Z41" s="99">
        <v>35</v>
      </c>
      <c r="AA41" s="99" t="s">
        <v>676</v>
      </c>
      <c r="AB41" s="99" t="s">
        <v>676</v>
      </c>
      <c r="AC41" s="99" t="s">
        <v>676</v>
      </c>
      <c r="AD41" s="98" t="s">
        <v>385</v>
      </c>
      <c r="AE41" s="100">
        <v>0.24002186987424823</v>
      </c>
      <c r="AF41" s="100">
        <v>0.12</v>
      </c>
      <c r="AG41" s="98">
        <v>674.3211226535448</v>
      </c>
      <c r="AH41" s="98">
        <v>328.0481137233461</v>
      </c>
      <c r="AI41" s="100">
        <v>0.02</v>
      </c>
      <c r="AJ41" s="100">
        <v>0.744958</v>
      </c>
      <c r="AK41" s="100">
        <v>0.611111</v>
      </c>
      <c r="AL41" s="100">
        <v>0.859635</v>
      </c>
      <c r="AM41" s="100">
        <v>0.513939</v>
      </c>
      <c r="AN41" s="100">
        <v>0.593886</v>
      </c>
      <c r="AO41" s="98">
        <v>2843.0836522689992</v>
      </c>
      <c r="AP41" s="158">
        <v>1.2683338929999999</v>
      </c>
      <c r="AQ41" s="100">
        <v>0.08333333333333333</v>
      </c>
      <c r="AR41" s="100">
        <v>0.4482758620689655</v>
      </c>
      <c r="AS41" s="98">
        <v>601.4215418261344</v>
      </c>
      <c r="AT41" s="98">
        <v>601.4215418261344</v>
      </c>
      <c r="AU41" s="98" t="s">
        <v>676</v>
      </c>
      <c r="AV41" s="98">
        <v>291.598323309641</v>
      </c>
      <c r="AW41" s="98">
        <v>747.220703480955</v>
      </c>
      <c r="AX41" s="98">
        <v>382.7227993439038</v>
      </c>
      <c r="AY41" s="98">
        <v>1002.3692363768909</v>
      </c>
      <c r="AZ41" s="98">
        <v>637.8713322398396</v>
      </c>
      <c r="BA41" s="100" t="s">
        <v>676</v>
      </c>
      <c r="BB41" s="100" t="s">
        <v>676</v>
      </c>
      <c r="BC41" s="100" t="s">
        <v>676</v>
      </c>
      <c r="BD41" s="158">
        <v>1.077112427</v>
      </c>
      <c r="BE41" s="158">
        <v>1.4837171939999998</v>
      </c>
      <c r="BF41" s="162">
        <v>843</v>
      </c>
      <c r="BG41" s="162">
        <v>18</v>
      </c>
      <c r="BH41" s="162">
        <v>1261</v>
      </c>
      <c r="BI41" s="162">
        <v>825</v>
      </c>
      <c r="BJ41" s="162">
        <v>458</v>
      </c>
      <c r="BK41" s="97"/>
      <c r="BL41" s="97"/>
      <c r="BM41" s="97"/>
      <c r="BN41" s="97"/>
    </row>
    <row r="42" spans="1:66" ht="12.75">
      <c r="A42" s="79" t="s">
        <v>652</v>
      </c>
      <c r="B42" s="79" t="s">
        <v>368</v>
      </c>
      <c r="C42" s="79" t="s">
        <v>272</v>
      </c>
      <c r="D42" s="99">
        <v>1455</v>
      </c>
      <c r="E42" s="99">
        <v>297</v>
      </c>
      <c r="F42" s="99" t="s">
        <v>408</v>
      </c>
      <c r="G42" s="99">
        <v>11</v>
      </c>
      <c r="H42" s="99" t="s">
        <v>676</v>
      </c>
      <c r="I42" s="99">
        <v>30</v>
      </c>
      <c r="J42" s="99">
        <v>147</v>
      </c>
      <c r="K42" s="99" t="s">
        <v>676</v>
      </c>
      <c r="L42" s="99">
        <v>316</v>
      </c>
      <c r="M42" s="99">
        <v>81</v>
      </c>
      <c r="N42" s="99">
        <v>49</v>
      </c>
      <c r="O42" s="99">
        <v>17</v>
      </c>
      <c r="P42" s="159">
        <v>17</v>
      </c>
      <c r="Q42" s="99" t="s">
        <v>676</v>
      </c>
      <c r="R42" s="99">
        <v>8</v>
      </c>
      <c r="S42" s="99" t="s">
        <v>676</v>
      </c>
      <c r="T42" s="99" t="s">
        <v>676</v>
      </c>
      <c r="U42" s="99" t="s">
        <v>676</v>
      </c>
      <c r="V42" s="99">
        <v>6</v>
      </c>
      <c r="W42" s="99">
        <v>13</v>
      </c>
      <c r="X42" s="99" t="s">
        <v>676</v>
      </c>
      <c r="Y42" s="99">
        <v>19</v>
      </c>
      <c r="Z42" s="99">
        <v>11</v>
      </c>
      <c r="AA42" s="99" t="s">
        <v>676</v>
      </c>
      <c r="AB42" s="99" t="s">
        <v>676</v>
      </c>
      <c r="AC42" s="99" t="s">
        <v>676</v>
      </c>
      <c r="AD42" s="98" t="s">
        <v>385</v>
      </c>
      <c r="AE42" s="100">
        <v>0.20412371134020618</v>
      </c>
      <c r="AF42" s="100">
        <v>0.07</v>
      </c>
      <c r="AG42" s="98">
        <v>756.0137457044674</v>
      </c>
      <c r="AH42" s="98" t="s">
        <v>676</v>
      </c>
      <c r="AI42" s="100">
        <v>0.021</v>
      </c>
      <c r="AJ42" s="100">
        <v>0.7</v>
      </c>
      <c r="AK42" s="100" t="s">
        <v>676</v>
      </c>
      <c r="AL42" s="100">
        <v>0.804071</v>
      </c>
      <c r="AM42" s="100">
        <v>0.415385</v>
      </c>
      <c r="AN42" s="100">
        <v>0.494949</v>
      </c>
      <c r="AO42" s="98">
        <v>1168.384879725086</v>
      </c>
      <c r="AP42" s="158">
        <v>0.542209053</v>
      </c>
      <c r="AQ42" s="100" t="s">
        <v>676</v>
      </c>
      <c r="AR42" s="100" t="s">
        <v>676</v>
      </c>
      <c r="AS42" s="98" t="s">
        <v>676</v>
      </c>
      <c r="AT42" s="98" t="s">
        <v>676</v>
      </c>
      <c r="AU42" s="98" t="s">
        <v>676</v>
      </c>
      <c r="AV42" s="98">
        <v>412.37113402061857</v>
      </c>
      <c r="AW42" s="98">
        <v>893.4707903780069</v>
      </c>
      <c r="AX42" s="98" t="s">
        <v>676</v>
      </c>
      <c r="AY42" s="98">
        <v>1305.8419243986255</v>
      </c>
      <c r="AZ42" s="98">
        <v>756.0137457044674</v>
      </c>
      <c r="BA42" s="101" t="s">
        <v>676</v>
      </c>
      <c r="BB42" s="101" t="s">
        <v>676</v>
      </c>
      <c r="BC42" s="101" t="s">
        <v>676</v>
      </c>
      <c r="BD42" s="158">
        <v>0.3158567619</v>
      </c>
      <c r="BE42" s="158">
        <v>0.8681291962000001</v>
      </c>
      <c r="BF42" s="162">
        <v>210</v>
      </c>
      <c r="BG42" s="162" t="s">
        <v>676</v>
      </c>
      <c r="BH42" s="162">
        <v>393</v>
      </c>
      <c r="BI42" s="162">
        <v>195</v>
      </c>
      <c r="BJ42" s="162">
        <v>99</v>
      </c>
      <c r="BK42" s="97"/>
      <c r="BL42" s="97"/>
      <c r="BM42" s="97"/>
      <c r="BN42" s="97"/>
    </row>
    <row r="43" spans="1:66" ht="12.75">
      <c r="A43" s="79" t="s">
        <v>666</v>
      </c>
      <c r="B43" s="79" t="s">
        <v>383</v>
      </c>
      <c r="C43" s="79" t="s">
        <v>272</v>
      </c>
      <c r="D43" s="99">
        <v>3434</v>
      </c>
      <c r="E43" s="99">
        <v>309</v>
      </c>
      <c r="F43" s="99" t="s">
        <v>406</v>
      </c>
      <c r="G43" s="99" t="s">
        <v>676</v>
      </c>
      <c r="H43" s="99" t="s">
        <v>676</v>
      </c>
      <c r="I43" s="99">
        <v>47</v>
      </c>
      <c r="J43" s="99">
        <v>166</v>
      </c>
      <c r="K43" s="99">
        <v>153</v>
      </c>
      <c r="L43" s="99">
        <v>731</v>
      </c>
      <c r="M43" s="99">
        <v>93</v>
      </c>
      <c r="N43" s="99">
        <v>60</v>
      </c>
      <c r="O43" s="99">
        <v>36</v>
      </c>
      <c r="P43" s="159">
        <v>36</v>
      </c>
      <c r="Q43" s="99" t="s">
        <v>676</v>
      </c>
      <c r="R43" s="99" t="s">
        <v>676</v>
      </c>
      <c r="S43" s="99">
        <v>13</v>
      </c>
      <c r="T43" s="99">
        <v>6</v>
      </c>
      <c r="U43" s="99" t="s">
        <v>676</v>
      </c>
      <c r="V43" s="99">
        <v>9</v>
      </c>
      <c r="W43" s="99">
        <v>13</v>
      </c>
      <c r="X43" s="99">
        <v>8</v>
      </c>
      <c r="Y43" s="99">
        <v>11</v>
      </c>
      <c r="Z43" s="99">
        <v>13</v>
      </c>
      <c r="AA43" s="99" t="s">
        <v>676</v>
      </c>
      <c r="AB43" s="99" t="s">
        <v>676</v>
      </c>
      <c r="AC43" s="99" t="s">
        <v>676</v>
      </c>
      <c r="AD43" s="98" t="s">
        <v>385</v>
      </c>
      <c r="AE43" s="100">
        <v>0.08998252766453116</v>
      </c>
      <c r="AF43" s="100">
        <v>0.12</v>
      </c>
      <c r="AG43" s="98" t="s">
        <v>676</v>
      </c>
      <c r="AH43" s="98" t="s">
        <v>676</v>
      </c>
      <c r="AI43" s="100">
        <v>0.013999999999999999</v>
      </c>
      <c r="AJ43" s="100">
        <v>0.694561</v>
      </c>
      <c r="AK43" s="100">
        <v>0.695455</v>
      </c>
      <c r="AL43" s="100">
        <v>0.764644</v>
      </c>
      <c r="AM43" s="100">
        <v>0.489474</v>
      </c>
      <c r="AN43" s="100">
        <v>0.535714</v>
      </c>
      <c r="AO43" s="98">
        <v>1048.34012813046</v>
      </c>
      <c r="AP43" s="158">
        <v>0.7757678223000001</v>
      </c>
      <c r="AQ43" s="100" t="s">
        <v>676</v>
      </c>
      <c r="AR43" s="100" t="s">
        <v>676</v>
      </c>
      <c r="AS43" s="98">
        <v>378.567268491555</v>
      </c>
      <c r="AT43" s="98">
        <v>174.72335468841</v>
      </c>
      <c r="AU43" s="98" t="s">
        <v>676</v>
      </c>
      <c r="AV43" s="98">
        <v>262.085032032615</v>
      </c>
      <c r="AW43" s="98">
        <v>378.567268491555</v>
      </c>
      <c r="AX43" s="98">
        <v>232.96447291788002</v>
      </c>
      <c r="AY43" s="98">
        <v>320.32615026208504</v>
      </c>
      <c r="AZ43" s="98">
        <v>378.567268491555</v>
      </c>
      <c r="BA43" s="100" t="s">
        <v>676</v>
      </c>
      <c r="BB43" s="100" t="s">
        <v>676</v>
      </c>
      <c r="BC43" s="100" t="s">
        <v>676</v>
      </c>
      <c r="BD43" s="158">
        <v>0.5433382416</v>
      </c>
      <c r="BE43" s="158">
        <v>1.073989716</v>
      </c>
      <c r="BF43" s="162">
        <v>239</v>
      </c>
      <c r="BG43" s="162">
        <v>220</v>
      </c>
      <c r="BH43" s="162">
        <v>956</v>
      </c>
      <c r="BI43" s="162">
        <v>190</v>
      </c>
      <c r="BJ43" s="162">
        <v>112</v>
      </c>
      <c r="BK43" s="97"/>
      <c r="BL43" s="97"/>
      <c r="BM43" s="97"/>
      <c r="BN43" s="97"/>
    </row>
    <row r="44" spans="1:66" ht="12.75">
      <c r="A44" s="79" t="s">
        <v>605</v>
      </c>
      <c r="B44" s="79" t="s">
        <v>320</v>
      </c>
      <c r="C44" s="79" t="s">
        <v>272</v>
      </c>
      <c r="D44" s="99">
        <v>6307</v>
      </c>
      <c r="E44" s="99">
        <v>1974</v>
      </c>
      <c r="F44" s="99" t="s">
        <v>406</v>
      </c>
      <c r="G44" s="99">
        <v>42</v>
      </c>
      <c r="H44" s="99">
        <v>33</v>
      </c>
      <c r="I44" s="99">
        <v>117</v>
      </c>
      <c r="J44" s="99">
        <v>827</v>
      </c>
      <c r="K44" s="99">
        <v>25</v>
      </c>
      <c r="L44" s="99">
        <v>1178</v>
      </c>
      <c r="M44" s="99">
        <v>595</v>
      </c>
      <c r="N44" s="99">
        <v>355</v>
      </c>
      <c r="O44" s="99">
        <v>247</v>
      </c>
      <c r="P44" s="159">
        <v>247</v>
      </c>
      <c r="Q44" s="99">
        <v>24</v>
      </c>
      <c r="R44" s="99">
        <v>42</v>
      </c>
      <c r="S44" s="99">
        <v>19</v>
      </c>
      <c r="T44" s="99">
        <v>55</v>
      </c>
      <c r="U44" s="99" t="s">
        <v>676</v>
      </c>
      <c r="V44" s="99">
        <v>43</v>
      </c>
      <c r="W44" s="99">
        <v>44</v>
      </c>
      <c r="X44" s="99">
        <v>62</v>
      </c>
      <c r="Y44" s="99">
        <v>97</v>
      </c>
      <c r="Z44" s="99">
        <v>73</v>
      </c>
      <c r="AA44" s="99" t="s">
        <v>676</v>
      </c>
      <c r="AB44" s="99" t="s">
        <v>676</v>
      </c>
      <c r="AC44" s="99" t="s">
        <v>676</v>
      </c>
      <c r="AD44" s="98" t="s">
        <v>385</v>
      </c>
      <c r="AE44" s="100">
        <v>0.3129855715871254</v>
      </c>
      <c r="AF44" s="100">
        <v>0.09</v>
      </c>
      <c r="AG44" s="98">
        <v>665.9267480577137</v>
      </c>
      <c r="AH44" s="98">
        <v>523.2281591882036</v>
      </c>
      <c r="AI44" s="100">
        <v>0.019</v>
      </c>
      <c r="AJ44" s="100">
        <v>0.803693</v>
      </c>
      <c r="AK44" s="100">
        <v>0.625</v>
      </c>
      <c r="AL44" s="100">
        <v>0.84505</v>
      </c>
      <c r="AM44" s="100">
        <v>0.582762</v>
      </c>
      <c r="AN44" s="100">
        <v>0.640794</v>
      </c>
      <c r="AO44" s="98">
        <v>3916.2834945298873</v>
      </c>
      <c r="AP44" s="158">
        <v>1.511902313</v>
      </c>
      <c r="AQ44" s="100">
        <v>0.09716599190283401</v>
      </c>
      <c r="AR44" s="100">
        <v>0.5714285714285714</v>
      </c>
      <c r="AS44" s="98">
        <v>301.252576502299</v>
      </c>
      <c r="AT44" s="98">
        <v>872.0469319803393</v>
      </c>
      <c r="AU44" s="98" t="s">
        <v>676</v>
      </c>
      <c r="AV44" s="98">
        <v>681.7821468209926</v>
      </c>
      <c r="AW44" s="98">
        <v>697.6375455842715</v>
      </c>
      <c r="AX44" s="98">
        <v>983.0347233232916</v>
      </c>
      <c r="AY44" s="98">
        <v>1537.9736800380529</v>
      </c>
      <c r="AZ44" s="98">
        <v>1157.4441097193594</v>
      </c>
      <c r="BA44" s="100" t="s">
        <v>676</v>
      </c>
      <c r="BB44" s="100" t="s">
        <v>676</v>
      </c>
      <c r="BC44" s="100" t="s">
        <v>676</v>
      </c>
      <c r="BD44" s="158">
        <v>1.3292166140000001</v>
      </c>
      <c r="BE44" s="158">
        <v>1.712682495</v>
      </c>
      <c r="BF44" s="162">
        <v>1029</v>
      </c>
      <c r="BG44" s="162">
        <v>40</v>
      </c>
      <c r="BH44" s="162">
        <v>1394</v>
      </c>
      <c r="BI44" s="162">
        <v>1021</v>
      </c>
      <c r="BJ44" s="162">
        <v>554</v>
      </c>
      <c r="BK44" s="97"/>
      <c r="BL44" s="97"/>
      <c r="BM44" s="97"/>
      <c r="BN44" s="97"/>
    </row>
    <row r="45" spans="1:66" ht="12.75">
      <c r="A45" s="79" t="s">
        <v>661</v>
      </c>
      <c r="B45" s="79" t="s">
        <v>377</v>
      </c>
      <c r="C45" s="79" t="s">
        <v>272</v>
      </c>
      <c r="D45" s="99">
        <v>4071</v>
      </c>
      <c r="E45" s="99">
        <v>1151</v>
      </c>
      <c r="F45" s="99" t="s">
        <v>406</v>
      </c>
      <c r="G45" s="99">
        <v>35</v>
      </c>
      <c r="H45" s="99">
        <v>13</v>
      </c>
      <c r="I45" s="99">
        <v>106</v>
      </c>
      <c r="J45" s="99">
        <v>459</v>
      </c>
      <c r="K45" s="99">
        <v>7</v>
      </c>
      <c r="L45" s="99">
        <v>730</v>
      </c>
      <c r="M45" s="99">
        <v>388</v>
      </c>
      <c r="N45" s="99">
        <v>194</v>
      </c>
      <c r="O45" s="99">
        <v>131</v>
      </c>
      <c r="P45" s="159">
        <v>131</v>
      </c>
      <c r="Q45" s="99">
        <v>15</v>
      </c>
      <c r="R45" s="99">
        <v>37</v>
      </c>
      <c r="S45" s="99">
        <v>24</v>
      </c>
      <c r="T45" s="99">
        <v>25</v>
      </c>
      <c r="U45" s="99" t="s">
        <v>676</v>
      </c>
      <c r="V45" s="99">
        <v>35</v>
      </c>
      <c r="W45" s="99">
        <v>27</v>
      </c>
      <c r="X45" s="99">
        <v>20</v>
      </c>
      <c r="Y45" s="99">
        <v>48</v>
      </c>
      <c r="Z45" s="99">
        <v>47</v>
      </c>
      <c r="AA45" s="99" t="s">
        <v>676</v>
      </c>
      <c r="AB45" s="99" t="s">
        <v>676</v>
      </c>
      <c r="AC45" s="99" t="s">
        <v>676</v>
      </c>
      <c r="AD45" s="98" t="s">
        <v>385</v>
      </c>
      <c r="AE45" s="100">
        <v>0.28273151559813314</v>
      </c>
      <c r="AF45" s="100">
        <v>0.12</v>
      </c>
      <c r="AG45" s="98">
        <v>859.7396217145664</v>
      </c>
      <c r="AH45" s="98">
        <v>319.3318594939818</v>
      </c>
      <c r="AI45" s="100">
        <v>0.026000000000000002</v>
      </c>
      <c r="AJ45" s="100">
        <v>0.719436</v>
      </c>
      <c r="AK45" s="100">
        <v>0.5</v>
      </c>
      <c r="AL45" s="100">
        <v>0.797814</v>
      </c>
      <c r="AM45" s="100">
        <v>0.612954</v>
      </c>
      <c r="AN45" s="100">
        <v>0.611987</v>
      </c>
      <c r="AO45" s="98">
        <v>3217.882584131663</v>
      </c>
      <c r="AP45" s="158">
        <v>1.304426727</v>
      </c>
      <c r="AQ45" s="100">
        <v>0.11450381679389313</v>
      </c>
      <c r="AR45" s="100">
        <v>0.40540540540540543</v>
      </c>
      <c r="AS45" s="98">
        <v>589.5357406042741</v>
      </c>
      <c r="AT45" s="98">
        <v>614.0997297961189</v>
      </c>
      <c r="AU45" s="98" t="s">
        <v>676</v>
      </c>
      <c r="AV45" s="98">
        <v>859.7396217145664</v>
      </c>
      <c r="AW45" s="98">
        <v>663.2277081798084</v>
      </c>
      <c r="AX45" s="98">
        <v>491.2797838368951</v>
      </c>
      <c r="AY45" s="98">
        <v>1179.0714812085482</v>
      </c>
      <c r="AZ45" s="98">
        <v>1154.5074920167035</v>
      </c>
      <c r="BA45" s="100" t="s">
        <v>676</v>
      </c>
      <c r="BB45" s="100" t="s">
        <v>676</v>
      </c>
      <c r="BC45" s="100" t="s">
        <v>676</v>
      </c>
      <c r="BD45" s="158">
        <v>1.090628433</v>
      </c>
      <c r="BE45" s="158">
        <v>1.5478862</v>
      </c>
      <c r="BF45" s="162">
        <v>638</v>
      </c>
      <c r="BG45" s="162">
        <v>14</v>
      </c>
      <c r="BH45" s="162">
        <v>915</v>
      </c>
      <c r="BI45" s="162">
        <v>633</v>
      </c>
      <c r="BJ45" s="162">
        <v>317</v>
      </c>
      <c r="BK45" s="97"/>
      <c r="BL45" s="97"/>
      <c r="BM45" s="97"/>
      <c r="BN45" s="97"/>
    </row>
    <row r="46" spans="1:66" ht="12.75">
      <c r="A46" s="79" t="s">
        <v>644</v>
      </c>
      <c r="B46" s="79" t="s">
        <v>360</v>
      </c>
      <c r="C46" s="79" t="s">
        <v>272</v>
      </c>
      <c r="D46" s="99">
        <v>5646</v>
      </c>
      <c r="E46" s="99">
        <v>1300</v>
      </c>
      <c r="F46" s="99" t="s">
        <v>406</v>
      </c>
      <c r="G46" s="99">
        <v>22</v>
      </c>
      <c r="H46" s="99">
        <v>18</v>
      </c>
      <c r="I46" s="99">
        <v>84</v>
      </c>
      <c r="J46" s="99">
        <v>631</v>
      </c>
      <c r="K46" s="99">
        <v>495</v>
      </c>
      <c r="L46" s="99">
        <v>1013</v>
      </c>
      <c r="M46" s="99">
        <v>390</v>
      </c>
      <c r="N46" s="99">
        <v>244</v>
      </c>
      <c r="O46" s="99">
        <v>109</v>
      </c>
      <c r="P46" s="159">
        <v>109</v>
      </c>
      <c r="Q46" s="99">
        <v>16</v>
      </c>
      <c r="R46" s="99">
        <v>33</v>
      </c>
      <c r="S46" s="99">
        <v>18</v>
      </c>
      <c r="T46" s="99">
        <v>20</v>
      </c>
      <c r="U46" s="99">
        <v>8</v>
      </c>
      <c r="V46" s="99">
        <v>8</v>
      </c>
      <c r="W46" s="99">
        <v>39</v>
      </c>
      <c r="X46" s="99">
        <v>23</v>
      </c>
      <c r="Y46" s="99">
        <v>52</v>
      </c>
      <c r="Z46" s="99">
        <v>44</v>
      </c>
      <c r="AA46" s="99" t="s">
        <v>676</v>
      </c>
      <c r="AB46" s="99" t="s">
        <v>676</v>
      </c>
      <c r="AC46" s="99" t="s">
        <v>676</v>
      </c>
      <c r="AD46" s="98" t="s">
        <v>385</v>
      </c>
      <c r="AE46" s="100">
        <v>0.23025150549061282</v>
      </c>
      <c r="AF46" s="100">
        <v>0.12</v>
      </c>
      <c r="AG46" s="98">
        <v>389.65639390719093</v>
      </c>
      <c r="AH46" s="98">
        <v>318.8097768331562</v>
      </c>
      <c r="AI46" s="100">
        <v>0.015</v>
      </c>
      <c r="AJ46" s="100">
        <v>0.772338</v>
      </c>
      <c r="AK46" s="100">
        <v>0.746606</v>
      </c>
      <c r="AL46" s="100">
        <v>0.7571</v>
      </c>
      <c r="AM46" s="100">
        <v>0.509138</v>
      </c>
      <c r="AN46" s="100">
        <v>0.593674</v>
      </c>
      <c r="AO46" s="98">
        <v>1930.570315267446</v>
      </c>
      <c r="AP46" s="158">
        <v>0.8760935974</v>
      </c>
      <c r="AQ46" s="100">
        <v>0.14678899082568808</v>
      </c>
      <c r="AR46" s="100">
        <v>0.48484848484848486</v>
      </c>
      <c r="AS46" s="98">
        <v>318.8097768331562</v>
      </c>
      <c r="AT46" s="98">
        <v>354.23308537017357</v>
      </c>
      <c r="AU46" s="98">
        <v>141.69323414806942</v>
      </c>
      <c r="AV46" s="98">
        <v>141.69323414806942</v>
      </c>
      <c r="AW46" s="98">
        <v>690.7545164718384</v>
      </c>
      <c r="AX46" s="98">
        <v>407.3680481756996</v>
      </c>
      <c r="AY46" s="98">
        <v>921.0060219624513</v>
      </c>
      <c r="AZ46" s="98">
        <v>779.3127878143819</v>
      </c>
      <c r="BA46" s="100" t="s">
        <v>676</v>
      </c>
      <c r="BB46" s="100" t="s">
        <v>676</v>
      </c>
      <c r="BC46" s="100" t="s">
        <v>676</v>
      </c>
      <c r="BD46" s="158">
        <v>0.7193640137</v>
      </c>
      <c r="BE46" s="158">
        <v>1.056829681</v>
      </c>
      <c r="BF46" s="162">
        <v>817</v>
      </c>
      <c r="BG46" s="162">
        <v>663</v>
      </c>
      <c r="BH46" s="162">
        <v>1338</v>
      </c>
      <c r="BI46" s="162">
        <v>766</v>
      </c>
      <c r="BJ46" s="162">
        <v>411</v>
      </c>
      <c r="BK46" s="97"/>
      <c r="BL46" s="97"/>
      <c r="BM46" s="97"/>
      <c r="BN46" s="97"/>
    </row>
    <row r="47" spans="1:66" ht="12.75">
      <c r="A47" s="79" t="s">
        <v>642</v>
      </c>
      <c r="B47" s="79" t="s">
        <v>358</v>
      </c>
      <c r="C47" s="79" t="s">
        <v>272</v>
      </c>
      <c r="D47" s="99">
        <v>2689</v>
      </c>
      <c r="E47" s="99">
        <v>669</v>
      </c>
      <c r="F47" s="99" t="s">
        <v>407</v>
      </c>
      <c r="G47" s="99">
        <v>13</v>
      </c>
      <c r="H47" s="99">
        <v>8</v>
      </c>
      <c r="I47" s="99">
        <v>64</v>
      </c>
      <c r="J47" s="99">
        <v>334</v>
      </c>
      <c r="K47" s="99">
        <v>12</v>
      </c>
      <c r="L47" s="99">
        <v>515</v>
      </c>
      <c r="M47" s="99">
        <v>259</v>
      </c>
      <c r="N47" s="99">
        <v>180</v>
      </c>
      <c r="O47" s="99">
        <v>62</v>
      </c>
      <c r="P47" s="159">
        <v>62</v>
      </c>
      <c r="Q47" s="99" t="s">
        <v>676</v>
      </c>
      <c r="R47" s="99">
        <v>18</v>
      </c>
      <c r="S47" s="99">
        <v>9</v>
      </c>
      <c r="T47" s="99">
        <v>13</v>
      </c>
      <c r="U47" s="99" t="s">
        <v>676</v>
      </c>
      <c r="V47" s="99">
        <v>6</v>
      </c>
      <c r="W47" s="99">
        <v>21</v>
      </c>
      <c r="X47" s="99">
        <v>15</v>
      </c>
      <c r="Y47" s="99">
        <v>27</v>
      </c>
      <c r="Z47" s="99">
        <v>21</v>
      </c>
      <c r="AA47" s="99" t="s">
        <v>676</v>
      </c>
      <c r="AB47" s="99" t="s">
        <v>676</v>
      </c>
      <c r="AC47" s="99" t="s">
        <v>676</v>
      </c>
      <c r="AD47" s="98" t="s">
        <v>385</v>
      </c>
      <c r="AE47" s="100">
        <v>0.24879137225734474</v>
      </c>
      <c r="AF47" s="100">
        <v>0.13</v>
      </c>
      <c r="AG47" s="98">
        <v>483.45109706210485</v>
      </c>
      <c r="AH47" s="98">
        <v>297.50836742283377</v>
      </c>
      <c r="AI47" s="100">
        <v>0.024</v>
      </c>
      <c r="AJ47" s="100">
        <v>0.730853</v>
      </c>
      <c r="AK47" s="100">
        <v>0.571429</v>
      </c>
      <c r="AL47" s="100">
        <v>0.824</v>
      </c>
      <c r="AM47" s="100">
        <v>0.528571</v>
      </c>
      <c r="AN47" s="100">
        <v>0.629371</v>
      </c>
      <c r="AO47" s="98">
        <v>2305.689847526962</v>
      </c>
      <c r="AP47" s="158">
        <v>0.989360733</v>
      </c>
      <c r="AQ47" s="100" t="s">
        <v>676</v>
      </c>
      <c r="AR47" s="100" t="s">
        <v>676</v>
      </c>
      <c r="AS47" s="98">
        <v>334.69691335068796</v>
      </c>
      <c r="AT47" s="98">
        <v>483.45109706210485</v>
      </c>
      <c r="AU47" s="98" t="s">
        <v>676</v>
      </c>
      <c r="AV47" s="98">
        <v>223.13127556712533</v>
      </c>
      <c r="AW47" s="98">
        <v>780.9594644849386</v>
      </c>
      <c r="AX47" s="98">
        <v>557.8281889178133</v>
      </c>
      <c r="AY47" s="98">
        <v>1004.090740052064</v>
      </c>
      <c r="AZ47" s="98">
        <v>780.9594644849386</v>
      </c>
      <c r="BA47" s="101" t="s">
        <v>676</v>
      </c>
      <c r="BB47" s="101" t="s">
        <v>676</v>
      </c>
      <c r="BC47" s="101" t="s">
        <v>676</v>
      </c>
      <c r="BD47" s="158">
        <v>0.7585372162</v>
      </c>
      <c r="BE47" s="158">
        <v>1.268315811</v>
      </c>
      <c r="BF47" s="162">
        <v>457</v>
      </c>
      <c r="BG47" s="162">
        <v>21</v>
      </c>
      <c r="BH47" s="162">
        <v>625</v>
      </c>
      <c r="BI47" s="162">
        <v>490</v>
      </c>
      <c r="BJ47" s="162">
        <v>286</v>
      </c>
      <c r="BK47" s="97"/>
      <c r="BL47" s="97"/>
      <c r="BM47" s="97"/>
      <c r="BN47" s="97"/>
    </row>
    <row r="48" spans="1:66" ht="12.75">
      <c r="A48" s="79" t="s">
        <v>659</v>
      </c>
      <c r="B48" s="79" t="s">
        <v>375</v>
      </c>
      <c r="C48" s="79" t="s">
        <v>272</v>
      </c>
      <c r="D48" s="99">
        <v>2067</v>
      </c>
      <c r="E48" s="99">
        <v>475</v>
      </c>
      <c r="F48" s="99" t="s">
        <v>406</v>
      </c>
      <c r="G48" s="99">
        <v>12</v>
      </c>
      <c r="H48" s="99" t="s">
        <v>676</v>
      </c>
      <c r="I48" s="99">
        <v>44</v>
      </c>
      <c r="J48" s="99">
        <v>230</v>
      </c>
      <c r="K48" s="99">
        <v>12</v>
      </c>
      <c r="L48" s="99">
        <v>400</v>
      </c>
      <c r="M48" s="99">
        <v>168</v>
      </c>
      <c r="N48" s="99">
        <v>114</v>
      </c>
      <c r="O48" s="99">
        <v>22</v>
      </c>
      <c r="P48" s="159">
        <v>22</v>
      </c>
      <c r="Q48" s="99">
        <v>6</v>
      </c>
      <c r="R48" s="99">
        <v>9</v>
      </c>
      <c r="S48" s="99">
        <v>6</v>
      </c>
      <c r="T48" s="99" t="s">
        <v>676</v>
      </c>
      <c r="U48" s="99" t="s">
        <v>676</v>
      </c>
      <c r="V48" s="99">
        <v>6</v>
      </c>
      <c r="W48" s="99">
        <v>10</v>
      </c>
      <c r="X48" s="99" t="s">
        <v>676</v>
      </c>
      <c r="Y48" s="99">
        <v>19</v>
      </c>
      <c r="Z48" s="99">
        <v>7</v>
      </c>
      <c r="AA48" s="99" t="s">
        <v>676</v>
      </c>
      <c r="AB48" s="99" t="s">
        <v>676</v>
      </c>
      <c r="AC48" s="99" t="s">
        <v>676</v>
      </c>
      <c r="AD48" s="98" t="s">
        <v>385</v>
      </c>
      <c r="AE48" s="100">
        <v>0.2298016448959845</v>
      </c>
      <c r="AF48" s="100">
        <v>0.11</v>
      </c>
      <c r="AG48" s="98">
        <v>580.5515239477504</v>
      </c>
      <c r="AH48" s="98" t="s">
        <v>676</v>
      </c>
      <c r="AI48" s="100">
        <v>0.021</v>
      </c>
      <c r="AJ48" s="100">
        <v>0.730159</v>
      </c>
      <c r="AK48" s="100">
        <v>0.545455</v>
      </c>
      <c r="AL48" s="100">
        <v>0.823045</v>
      </c>
      <c r="AM48" s="100">
        <v>0.521739</v>
      </c>
      <c r="AN48" s="100">
        <v>0.596859</v>
      </c>
      <c r="AO48" s="98">
        <v>1064.3444605708758</v>
      </c>
      <c r="AP48" s="158">
        <v>0.47341987609999997</v>
      </c>
      <c r="AQ48" s="100">
        <v>0.2727272727272727</v>
      </c>
      <c r="AR48" s="100">
        <v>0.6666666666666666</v>
      </c>
      <c r="AS48" s="98">
        <v>290.2757619738752</v>
      </c>
      <c r="AT48" s="98" t="s">
        <v>676</v>
      </c>
      <c r="AU48" s="98" t="s">
        <v>676</v>
      </c>
      <c r="AV48" s="98">
        <v>290.2757619738752</v>
      </c>
      <c r="AW48" s="98">
        <v>483.7929366231253</v>
      </c>
      <c r="AX48" s="98" t="s">
        <v>676</v>
      </c>
      <c r="AY48" s="98">
        <v>919.206579583938</v>
      </c>
      <c r="AZ48" s="98">
        <v>338.65505563618774</v>
      </c>
      <c r="BA48" s="100" t="s">
        <v>676</v>
      </c>
      <c r="BB48" s="100" t="s">
        <v>676</v>
      </c>
      <c r="BC48" s="100" t="s">
        <v>676</v>
      </c>
      <c r="BD48" s="158">
        <v>0.2966897202</v>
      </c>
      <c r="BE48" s="158">
        <v>0.716763382</v>
      </c>
      <c r="BF48" s="162">
        <v>315</v>
      </c>
      <c r="BG48" s="162">
        <v>22</v>
      </c>
      <c r="BH48" s="162">
        <v>486</v>
      </c>
      <c r="BI48" s="162">
        <v>322</v>
      </c>
      <c r="BJ48" s="162">
        <v>191</v>
      </c>
      <c r="BK48" s="97"/>
      <c r="BL48" s="97"/>
      <c r="BM48" s="97"/>
      <c r="BN48" s="97"/>
    </row>
    <row r="49" spans="1:66" ht="12.75">
      <c r="A49" s="79" t="s">
        <v>615</v>
      </c>
      <c r="B49" s="79" t="s">
        <v>331</v>
      </c>
      <c r="C49" s="79" t="s">
        <v>272</v>
      </c>
      <c r="D49" s="99">
        <v>7259</v>
      </c>
      <c r="E49" s="99">
        <v>1097</v>
      </c>
      <c r="F49" s="99" t="s">
        <v>406</v>
      </c>
      <c r="G49" s="99">
        <v>22</v>
      </c>
      <c r="H49" s="99">
        <v>18</v>
      </c>
      <c r="I49" s="99">
        <v>90</v>
      </c>
      <c r="J49" s="99">
        <v>497</v>
      </c>
      <c r="K49" s="99">
        <v>475</v>
      </c>
      <c r="L49" s="99">
        <v>1278</v>
      </c>
      <c r="M49" s="99">
        <v>313</v>
      </c>
      <c r="N49" s="99">
        <v>229</v>
      </c>
      <c r="O49" s="99">
        <v>141</v>
      </c>
      <c r="P49" s="159">
        <v>141</v>
      </c>
      <c r="Q49" s="99">
        <v>11</v>
      </c>
      <c r="R49" s="99">
        <v>28</v>
      </c>
      <c r="S49" s="99">
        <v>28</v>
      </c>
      <c r="T49" s="99">
        <v>25</v>
      </c>
      <c r="U49" s="99" t="s">
        <v>676</v>
      </c>
      <c r="V49" s="99">
        <v>31</v>
      </c>
      <c r="W49" s="99">
        <v>40</v>
      </c>
      <c r="X49" s="99">
        <v>17</v>
      </c>
      <c r="Y49" s="99">
        <v>64</v>
      </c>
      <c r="Z49" s="99">
        <v>50</v>
      </c>
      <c r="AA49" s="99" t="s">
        <v>676</v>
      </c>
      <c r="AB49" s="99" t="s">
        <v>676</v>
      </c>
      <c r="AC49" s="99" t="s">
        <v>676</v>
      </c>
      <c r="AD49" s="98" t="s">
        <v>385</v>
      </c>
      <c r="AE49" s="100">
        <v>0.15112274417963906</v>
      </c>
      <c r="AF49" s="100">
        <v>0.11</v>
      </c>
      <c r="AG49" s="98">
        <v>303.07204849152777</v>
      </c>
      <c r="AH49" s="98">
        <v>247.96803967488634</v>
      </c>
      <c r="AI49" s="100">
        <v>0.012</v>
      </c>
      <c r="AJ49" s="100">
        <v>0.761103</v>
      </c>
      <c r="AK49" s="100">
        <v>0.750395</v>
      </c>
      <c r="AL49" s="100">
        <v>0.802764</v>
      </c>
      <c r="AM49" s="100">
        <v>0.503215</v>
      </c>
      <c r="AN49" s="100">
        <v>0.612299</v>
      </c>
      <c r="AO49" s="98">
        <v>1942.4163107866098</v>
      </c>
      <c r="AP49" s="158">
        <v>1.153431473</v>
      </c>
      <c r="AQ49" s="100">
        <v>0.07801418439716312</v>
      </c>
      <c r="AR49" s="100">
        <v>0.39285714285714285</v>
      </c>
      <c r="AS49" s="98">
        <v>385.7280617164899</v>
      </c>
      <c r="AT49" s="98">
        <v>344.4000551040088</v>
      </c>
      <c r="AU49" s="98" t="s">
        <v>676</v>
      </c>
      <c r="AV49" s="98">
        <v>427.0560683289709</v>
      </c>
      <c r="AW49" s="98">
        <v>551.0400881664141</v>
      </c>
      <c r="AX49" s="98">
        <v>234.192037470726</v>
      </c>
      <c r="AY49" s="98">
        <v>881.6641410662626</v>
      </c>
      <c r="AZ49" s="98">
        <v>688.8001102080176</v>
      </c>
      <c r="BA49" s="100" t="s">
        <v>676</v>
      </c>
      <c r="BB49" s="100" t="s">
        <v>676</v>
      </c>
      <c r="BC49" s="100" t="s">
        <v>676</v>
      </c>
      <c r="BD49" s="158">
        <v>0.9709098815999999</v>
      </c>
      <c r="BE49" s="158">
        <v>1.3602960210000001</v>
      </c>
      <c r="BF49" s="162">
        <v>653</v>
      </c>
      <c r="BG49" s="162">
        <v>633</v>
      </c>
      <c r="BH49" s="162">
        <v>1592</v>
      </c>
      <c r="BI49" s="162">
        <v>622</v>
      </c>
      <c r="BJ49" s="162">
        <v>374</v>
      </c>
      <c r="BK49" s="97"/>
      <c r="BL49" s="97"/>
      <c r="BM49" s="97"/>
      <c r="BN49" s="97"/>
    </row>
    <row r="50" spans="1:66" ht="12.75">
      <c r="A50" s="79" t="s">
        <v>658</v>
      </c>
      <c r="B50" s="79" t="s">
        <v>374</v>
      </c>
      <c r="C50" s="79" t="s">
        <v>272</v>
      </c>
      <c r="D50" s="99">
        <v>3655</v>
      </c>
      <c r="E50" s="99">
        <v>589</v>
      </c>
      <c r="F50" s="99" t="s">
        <v>408</v>
      </c>
      <c r="G50" s="99">
        <v>20</v>
      </c>
      <c r="H50" s="99">
        <v>12</v>
      </c>
      <c r="I50" s="99">
        <v>77</v>
      </c>
      <c r="J50" s="99">
        <v>420</v>
      </c>
      <c r="K50" s="99" t="s">
        <v>676</v>
      </c>
      <c r="L50" s="99">
        <v>850</v>
      </c>
      <c r="M50" s="99">
        <v>236</v>
      </c>
      <c r="N50" s="99">
        <v>122</v>
      </c>
      <c r="O50" s="99">
        <v>64</v>
      </c>
      <c r="P50" s="159">
        <v>64</v>
      </c>
      <c r="Q50" s="99">
        <v>13</v>
      </c>
      <c r="R50" s="99">
        <v>20</v>
      </c>
      <c r="S50" s="99">
        <v>14</v>
      </c>
      <c r="T50" s="99">
        <v>14</v>
      </c>
      <c r="U50" s="99" t="s">
        <v>676</v>
      </c>
      <c r="V50" s="99">
        <v>11</v>
      </c>
      <c r="W50" s="99" t="s">
        <v>676</v>
      </c>
      <c r="X50" s="99" t="s">
        <v>676</v>
      </c>
      <c r="Y50" s="99">
        <v>7</v>
      </c>
      <c r="Z50" s="99">
        <v>18</v>
      </c>
      <c r="AA50" s="99" t="s">
        <v>676</v>
      </c>
      <c r="AB50" s="99" t="s">
        <v>676</v>
      </c>
      <c r="AC50" s="99" t="s">
        <v>676</v>
      </c>
      <c r="AD50" s="98" t="s">
        <v>385</v>
      </c>
      <c r="AE50" s="100">
        <v>0.16114911080711355</v>
      </c>
      <c r="AF50" s="100">
        <v>0.08</v>
      </c>
      <c r="AG50" s="98">
        <v>547.1956224350205</v>
      </c>
      <c r="AH50" s="98">
        <v>328.3173734610123</v>
      </c>
      <c r="AI50" s="100">
        <v>0.021</v>
      </c>
      <c r="AJ50" s="100">
        <v>0.836653</v>
      </c>
      <c r="AK50" s="100" t="s">
        <v>676</v>
      </c>
      <c r="AL50" s="100">
        <v>0.892857</v>
      </c>
      <c r="AM50" s="100">
        <v>0.609819</v>
      </c>
      <c r="AN50" s="100">
        <v>0.616162</v>
      </c>
      <c r="AO50" s="98">
        <v>1751.0259917920657</v>
      </c>
      <c r="AP50" s="158">
        <v>0.9087583923</v>
      </c>
      <c r="AQ50" s="100">
        <v>0.203125</v>
      </c>
      <c r="AR50" s="100">
        <v>0.65</v>
      </c>
      <c r="AS50" s="98">
        <v>383.03693570451435</v>
      </c>
      <c r="AT50" s="98">
        <v>383.03693570451435</v>
      </c>
      <c r="AU50" s="98" t="s">
        <v>676</v>
      </c>
      <c r="AV50" s="98">
        <v>300.9575923392613</v>
      </c>
      <c r="AW50" s="98" t="s">
        <v>676</v>
      </c>
      <c r="AX50" s="98" t="s">
        <v>676</v>
      </c>
      <c r="AY50" s="98">
        <v>191.51846785225717</v>
      </c>
      <c r="AZ50" s="98">
        <v>492.47606019151846</v>
      </c>
      <c r="BA50" s="100" t="s">
        <v>676</v>
      </c>
      <c r="BB50" s="100" t="s">
        <v>676</v>
      </c>
      <c r="BC50" s="100" t="s">
        <v>676</v>
      </c>
      <c r="BD50" s="158">
        <v>0.6998547363000001</v>
      </c>
      <c r="BE50" s="158">
        <v>1.1604642490000001</v>
      </c>
      <c r="BF50" s="162">
        <v>502</v>
      </c>
      <c r="BG50" s="162" t="s">
        <v>676</v>
      </c>
      <c r="BH50" s="162">
        <v>952</v>
      </c>
      <c r="BI50" s="162">
        <v>387</v>
      </c>
      <c r="BJ50" s="162">
        <v>198</v>
      </c>
      <c r="BK50" s="97"/>
      <c r="BL50" s="97"/>
      <c r="BM50" s="97"/>
      <c r="BN50" s="97"/>
    </row>
    <row r="51" spans="1:66" ht="12.75">
      <c r="A51" s="79" t="s">
        <v>647</v>
      </c>
      <c r="B51" s="79" t="s">
        <v>363</v>
      </c>
      <c r="C51" s="79" t="s">
        <v>272</v>
      </c>
      <c r="D51" s="99">
        <v>3876</v>
      </c>
      <c r="E51" s="99">
        <v>509</v>
      </c>
      <c r="F51" s="99" t="s">
        <v>406</v>
      </c>
      <c r="G51" s="99">
        <v>21</v>
      </c>
      <c r="H51" s="99">
        <v>6</v>
      </c>
      <c r="I51" s="99">
        <v>60</v>
      </c>
      <c r="J51" s="99">
        <v>342</v>
      </c>
      <c r="K51" s="99">
        <v>328</v>
      </c>
      <c r="L51" s="99">
        <v>909</v>
      </c>
      <c r="M51" s="99">
        <v>205</v>
      </c>
      <c r="N51" s="99">
        <v>138</v>
      </c>
      <c r="O51" s="99">
        <v>52</v>
      </c>
      <c r="P51" s="159">
        <v>52</v>
      </c>
      <c r="Q51" s="99" t="s">
        <v>676</v>
      </c>
      <c r="R51" s="99">
        <v>13</v>
      </c>
      <c r="S51" s="99">
        <v>16</v>
      </c>
      <c r="T51" s="99">
        <v>12</v>
      </c>
      <c r="U51" s="99" t="s">
        <v>676</v>
      </c>
      <c r="V51" s="99">
        <v>7</v>
      </c>
      <c r="W51" s="99">
        <v>18</v>
      </c>
      <c r="X51" s="99">
        <v>16</v>
      </c>
      <c r="Y51" s="99">
        <v>21</v>
      </c>
      <c r="Z51" s="99">
        <v>28</v>
      </c>
      <c r="AA51" s="99" t="s">
        <v>676</v>
      </c>
      <c r="AB51" s="99" t="s">
        <v>676</v>
      </c>
      <c r="AC51" s="99" t="s">
        <v>676</v>
      </c>
      <c r="AD51" s="98" t="s">
        <v>385</v>
      </c>
      <c r="AE51" s="100">
        <v>0.13132094943240455</v>
      </c>
      <c r="AF51" s="100">
        <v>0.1</v>
      </c>
      <c r="AG51" s="98">
        <v>541.795665634675</v>
      </c>
      <c r="AH51" s="98">
        <v>154.79876160990713</v>
      </c>
      <c r="AI51" s="100">
        <v>0.015</v>
      </c>
      <c r="AJ51" s="100">
        <v>0.751648</v>
      </c>
      <c r="AK51" s="100">
        <v>0.747153</v>
      </c>
      <c r="AL51" s="100">
        <v>0.86654</v>
      </c>
      <c r="AM51" s="100">
        <v>0.552561</v>
      </c>
      <c r="AN51" s="100">
        <v>0.638889</v>
      </c>
      <c r="AO51" s="98">
        <v>1341.5892672858618</v>
      </c>
      <c r="AP51" s="158">
        <v>0.7894863891999999</v>
      </c>
      <c r="AQ51" s="100" t="s">
        <v>676</v>
      </c>
      <c r="AR51" s="100" t="s">
        <v>676</v>
      </c>
      <c r="AS51" s="98">
        <v>412.79669762641896</v>
      </c>
      <c r="AT51" s="98">
        <v>309.59752321981426</v>
      </c>
      <c r="AU51" s="98" t="s">
        <v>676</v>
      </c>
      <c r="AV51" s="98">
        <v>180.5985552115583</v>
      </c>
      <c r="AW51" s="98">
        <v>464.39628482972137</v>
      </c>
      <c r="AX51" s="98">
        <v>412.79669762641896</v>
      </c>
      <c r="AY51" s="98">
        <v>541.795665634675</v>
      </c>
      <c r="AZ51" s="98">
        <v>722.3942208462332</v>
      </c>
      <c r="BA51" s="100" t="s">
        <v>676</v>
      </c>
      <c r="BB51" s="100" t="s">
        <v>676</v>
      </c>
      <c r="BC51" s="100" t="s">
        <v>676</v>
      </c>
      <c r="BD51" s="158">
        <v>0.5896261977999999</v>
      </c>
      <c r="BE51" s="158">
        <v>1.035306396</v>
      </c>
      <c r="BF51" s="162">
        <v>455</v>
      </c>
      <c r="BG51" s="162">
        <v>439</v>
      </c>
      <c r="BH51" s="162">
        <v>1049</v>
      </c>
      <c r="BI51" s="162">
        <v>371</v>
      </c>
      <c r="BJ51" s="162">
        <v>216</v>
      </c>
      <c r="BK51" s="97"/>
      <c r="BL51" s="97"/>
      <c r="BM51" s="97"/>
      <c r="BN51" s="97"/>
    </row>
    <row r="52" spans="1:66" ht="12.75">
      <c r="A52" s="79" t="s">
        <v>611</v>
      </c>
      <c r="B52" s="79" t="s">
        <v>327</v>
      </c>
      <c r="C52" s="79" t="s">
        <v>272</v>
      </c>
      <c r="D52" s="99">
        <v>10165</v>
      </c>
      <c r="E52" s="99">
        <v>2336</v>
      </c>
      <c r="F52" s="99" t="s">
        <v>406</v>
      </c>
      <c r="G52" s="99">
        <v>62</v>
      </c>
      <c r="H52" s="99">
        <v>34</v>
      </c>
      <c r="I52" s="99">
        <v>222</v>
      </c>
      <c r="J52" s="99">
        <v>1269</v>
      </c>
      <c r="K52" s="99">
        <v>21</v>
      </c>
      <c r="L52" s="99">
        <v>1805</v>
      </c>
      <c r="M52" s="99">
        <v>827</v>
      </c>
      <c r="N52" s="99">
        <v>556</v>
      </c>
      <c r="O52" s="99">
        <v>261</v>
      </c>
      <c r="P52" s="159">
        <v>261</v>
      </c>
      <c r="Q52" s="99">
        <v>26</v>
      </c>
      <c r="R52" s="99">
        <v>59</v>
      </c>
      <c r="S52" s="99">
        <v>45</v>
      </c>
      <c r="T52" s="99">
        <v>56</v>
      </c>
      <c r="U52" s="99">
        <v>16</v>
      </c>
      <c r="V52" s="99">
        <v>23</v>
      </c>
      <c r="W52" s="99">
        <v>62</v>
      </c>
      <c r="X52" s="99">
        <v>48</v>
      </c>
      <c r="Y52" s="99">
        <v>116</v>
      </c>
      <c r="Z52" s="99">
        <v>70</v>
      </c>
      <c r="AA52" s="99" t="s">
        <v>676</v>
      </c>
      <c r="AB52" s="99" t="s">
        <v>676</v>
      </c>
      <c r="AC52" s="99" t="s">
        <v>676</v>
      </c>
      <c r="AD52" s="98" t="s">
        <v>385</v>
      </c>
      <c r="AE52" s="100">
        <v>0.22980816527299558</v>
      </c>
      <c r="AF52" s="100">
        <v>0.11</v>
      </c>
      <c r="AG52" s="98">
        <v>609.9360550909985</v>
      </c>
      <c r="AH52" s="98">
        <v>334.48106246925727</v>
      </c>
      <c r="AI52" s="100">
        <v>0.022000000000000002</v>
      </c>
      <c r="AJ52" s="100">
        <v>0.807766</v>
      </c>
      <c r="AK52" s="100">
        <v>0.488372</v>
      </c>
      <c r="AL52" s="100">
        <v>0.774346</v>
      </c>
      <c r="AM52" s="100">
        <v>0.527087</v>
      </c>
      <c r="AN52" s="100">
        <v>0.619154</v>
      </c>
      <c r="AO52" s="98">
        <v>2567.6340383669453</v>
      </c>
      <c r="AP52" s="158">
        <v>1.154189606</v>
      </c>
      <c r="AQ52" s="100">
        <v>0.09961685823754789</v>
      </c>
      <c r="AR52" s="100">
        <v>0.4406779661016949</v>
      </c>
      <c r="AS52" s="98">
        <v>442.6955238563699</v>
      </c>
      <c r="AT52" s="98">
        <v>550.9099852434825</v>
      </c>
      <c r="AU52" s="98">
        <v>157.4028529267093</v>
      </c>
      <c r="AV52" s="98">
        <v>226.2666010821446</v>
      </c>
      <c r="AW52" s="98">
        <v>609.9360550909985</v>
      </c>
      <c r="AX52" s="98">
        <v>472.2085587801279</v>
      </c>
      <c r="AY52" s="98">
        <v>1141.1706837186423</v>
      </c>
      <c r="AZ52" s="98">
        <v>688.6374815543531</v>
      </c>
      <c r="BA52" s="100" t="s">
        <v>676</v>
      </c>
      <c r="BB52" s="100" t="s">
        <v>676</v>
      </c>
      <c r="BC52" s="100" t="s">
        <v>676</v>
      </c>
      <c r="BD52" s="158">
        <v>1.018399124</v>
      </c>
      <c r="BE52" s="158">
        <v>1.303045044</v>
      </c>
      <c r="BF52" s="162">
        <v>1571</v>
      </c>
      <c r="BG52" s="162">
        <v>43</v>
      </c>
      <c r="BH52" s="162">
        <v>2331</v>
      </c>
      <c r="BI52" s="162">
        <v>1569</v>
      </c>
      <c r="BJ52" s="162">
        <v>898</v>
      </c>
      <c r="BK52" s="97"/>
      <c r="BL52" s="97"/>
      <c r="BM52" s="97"/>
      <c r="BN52" s="97"/>
    </row>
    <row r="53" spans="1:66" ht="12.75">
      <c r="A53" s="79" t="s">
        <v>570</v>
      </c>
      <c r="B53" s="79" t="s">
        <v>282</v>
      </c>
      <c r="C53" s="79" t="s">
        <v>272</v>
      </c>
      <c r="D53" s="99">
        <v>12313</v>
      </c>
      <c r="E53" s="99">
        <v>3050</v>
      </c>
      <c r="F53" s="99" t="s">
        <v>406</v>
      </c>
      <c r="G53" s="99">
        <v>72</v>
      </c>
      <c r="H53" s="99">
        <v>31</v>
      </c>
      <c r="I53" s="99">
        <v>254</v>
      </c>
      <c r="J53" s="99">
        <v>1334</v>
      </c>
      <c r="K53" s="99">
        <v>24</v>
      </c>
      <c r="L53" s="99">
        <v>2247</v>
      </c>
      <c r="M53" s="99">
        <v>867</v>
      </c>
      <c r="N53" s="99">
        <v>589</v>
      </c>
      <c r="O53" s="99">
        <v>415</v>
      </c>
      <c r="P53" s="159">
        <v>415</v>
      </c>
      <c r="Q53" s="99">
        <v>56</v>
      </c>
      <c r="R53" s="99">
        <v>88</v>
      </c>
      <c r="S53" s="99">
        <v>77</v>
      </c>
      <c r="T53" s="99">
        <v>91</v>
      </c>
      <c r="U53" s="99">
        <v>10</v>
      </c>
      <c r="V53" s="99">
        <v>71</v>
      </c>
      <c r="W53" s="99">
        <v>114</v>
      </c>
      <c r="X53" s="99">
        <v>50</v>
      </c>
      <c r="Y53" s="99">
        <v>200</v>
      </c>
      <c r="Z53" s="99">
        <v>87</v>
      </c>
      <c r="AA53" s="99" t="s">
        <v>676</v>
      </c>
      <c r="AB53" s="99" t="s">
        <v>676</v>
      </c>
      <c r="AC53" s="99" t="s">
        <v>676</v>
      </c>
      <c r="AD53" s="98" t="s">
        <v>385</v>
      </c>
      <c r="AE53" s="100">
        <v>0.2477056769268253</v>
      </c>
      <c r="AF53" s="100">
        <v>0.1</v>
      </c>
      <c r="AG53" s="98">
        <v>584.7478274993908</v>
      </c>
      <c r="AH53" s="98">
        <v>251.7664257289044</v>
      </c>
      <c r="AI53" s="100">
        <v>0.021</v>
      </c>
      <c r="AJ53" s="100">
        <v>0.744835</v>
      </c>
      <c r="AK53" s="100">
        <v>0.6</v>
      </c>
      <c r="AL53" s="100">
        <v>0.796244</v>
      </c>
      <c r="AM53" s="100">
        <v>0.502609</v>
      </c>
      <c r="AN53" s="100">
        <v>0.595551</v>
      </c>
      <c r="AO53" s="98">
        <v>3370.4215057256556</v>
      </c>
      <c r="AP53" s="158">
        <v>1.4693714900000001</v>
      </c>
      <c r="AQ53" s="100">
        <v>0.13493975903614458</v>
      </c>
      <c r="AR53" s="100">
        <v>0.6363636363636364</v>
      </c>
      <c r="AS53" s="98">
        <v>625.3553155201819</v>
      </c>
      <c r="AT53" s="98">
        <v>739.0562819783968</v>
      </c>
      <c r="AU53" s="98">
        <v>81.21497604158206</v>
      </c>
      <c r="AV53" s="98">
        <v>576.6263298952326</v>
      </c>
      <c r="AW53" s="98">
        <v>925.8507268740356</v>
      </c>
      <c r="AX53" s="98">
        <v>406.0748802079103</v>
      </c>
      <c r="AY53" s="98">
        <v>1624.2995208316413</v>
      </c>
      <c r="AZ53" s="98">
        <v>706.570291561764</v>
      </c>
      <c r="BA53" s="100" t="s">
        <v>676</v>
      </c>
      <c r="BB53" s="100" t="s">
        <v>676</v>
      </c>
      <c r="BC53" s="100" t="s">
        <v>676</v>
      </c>
      <c r="BD53" s="158">
        <v>1.3313818359999998</v>
      </c>
      <c r="BE53" s="158">
        <v>1.617777252</v>
      </c>
      <c r="BF53" s="162">
        <v>1791</v>
      </c>
      <c r="BG53" s="162">
        <v>40</v>
      </c>
      <c r="BH53" s="162">
        <v>2822</v>
      </c>
      <c r="BI53" s="162">
        <v>1725</v>
      </c>
      <c r="BJ53" s="162">
        <v>989</v>
      </c>
      <c r="BK53" s="97"/>
      <c r="BL53" s="97"/>
      <c r="BM53" s="97"/>
      <c r="BN53" s="97"/>
    </row>
    <row r="54" spans="1:66" ht="12.75">
      <c r="A54" s="79" t="s">
        <v>667</v>
      </c>
      <c r="B54" s="79" t="s">
        <v>384</v>
      </c>
      <c r="C54" s="79" t="s">
        <v>272</v>
      </c>
      <c r="D54" s="99">
        <v>4161</v>
      </c>
      <c r="E54" s="99">
        <v>993</v>
      </c>
      <c r="F54" s="99" t="s">
        <v>406</v>
      </c>
      <c r="G54" s="99">
        <v>24</v>
      </c>
      <c r="H54" s="99">
        <v>7</v>
      </c>
      <c r="I54" s="99">
        <v>70</v>
      </c>
      <c r="J54" s="99">
        <v>453</v>
      </c>
      <c r="K54" s="99">
        <v>8</v>
      </c>
      <c r="L54" s="99">
        <v>778</v>
      </c>
      <c r="M54" s="99">
        <v>275</v>
      </c>
      <c r="N54" s="99">
        <v>159</v>
      </c>
      <c r="O54" s="99">
        <v>90</v>
      </c>
      <c r="P54" s="159">
        <v>90</v>
      </c>
      <c r="Q54" s="99" t="s">
        <v>676</v>
      </c>
      <c r="R54" s="99">
        <v>10</v>
      </c>
      <c r="S54" s="99">
        <v>25</v>
      </c>
      <c r="T54" s="99">
        <v>17</v>
      </c>
      <c r="U54" s="99" t="s">
        <v>676</v>
      </c>
      <c r="V54" s="99">
        <v>14</v>
      </c>
      <c r="W54" s="99">
        <v>37</v>
      </c>
      <c r="X54" s="99">
        <v>11</v>
      </c>
      <c r="Y54" s="99">
        <v>46</v>
      </c>
      <c r="Z54" s="99">
        <v>24</v>
      </c>
      <c r="AA54" s="99" t="s">
        <v>676</v>
      </c>
      <c r="AB54" s="99" t="s">
        <v>676</v>
      </c>
      <c r="AC54" s="99" t="s">
        <v>676</v>
      </c>
      <c r="AD54" s="98" t="s">
        <v>385</v>
      </c>
      <c r="AE54" s="100">
        <v>0.23864455659697187</v>
      </c>
      <c r="AF54" s="100">
        <v>0.09</v>
      </c>
      <c r="AG54" s="98">
        <v>576.7844268204758</v>
      </c>
      <c r="AH54" s="98">
        <v>168.22879115597212</v>
      </c>
      <c r="AI54" s="100">
        <v>0.017</v>
      </c>
      <c r="AJ54" s="100">
        <v>0.747525</v>
      </c>
      <c r="AK54" s="100">
        <v>0.470588</v>
      </c>
      <c r="AL54" s="100">
        <v>0.794688</v>
      </c>
      <c r="AM54" s="100">
        <v>0.486726</v>
      </c>
      <c r="AN54" s="100">
        <v>0.53</v>
      </c>
      <c r="AO54" s="98">
        <v>2162.9416005767844</v>
      </c>
      <c r="AP54" s="158">
        <v>0.9803709412</v>
      </c>
      <c r="AQ54" s="100" t="s">
        <v>676</v>
      </c>
      <c r="AR54" s="100" t="s">
        <v>676</v>
      </c>
      <c r="AS54" s="98">
        <v>600.817111271329</v>
      </c>
      <c r="AT54" s="98">
        <v>408.5556356645037</v>
      </c>
      <c r="AU54" s="98" t="s">
        <v>676</v>
      </c>
      <c r="AV54" s="98">
        <v>336.45758231194424</v>
      </c>
      <c r="AW54" s="98">
        <v>889.209324681567</v>
      </c>
      <c r="AX54" s="98">
        <v>264.35952895938476</v>
      </c>
      <c r="AY54" s="98">
        <v>1105.5034847392453</v>
      </c>
      <c r="AZ54" s="98">
        <v>576.7844268204758</v>
      </c>
      <c r="BA54" s="100" t="s">
        <v>676</v>
      </c>
      <c r="BB54" s="100" t="s">
        <v>676</v>
      </c>
      <c r="BC54" s="100" t="s">
        <v>676</v>
      </c>
      <c r="BD54" s="158">
        <v>0.7883339691000001</v>
      </c>
      <c r="BE54" s="158">
        <v>1.205042343</v>
      </c>
      <c r="BF54" s="162">
        <v>606</v>
      </c>
      <c r="BG54" s="162">
        <v>17</v>
      </c>
      <c r="BH54" s="162">
        <v>979</v>
      </c>
      <c r="BI54" s="162">
        <v>565</v>
      </c>
      <c r="BJ54" s="162">
        <v>300</v>
      </c>
      <c r="BK54" s="97"/>
      <c r="BL54" s="97"/>
      <c r="BM54" s="97"/>
      <c r="BN54" s="97"/>
    </row>
    <row r="55" spans="1:66" ht="12.75">
      <c r="A55" s="79" t="s">
        <v>616</v>
      </c>
      <c r="B55" s="79" t="s">
        <v>332</v>
      </c>
      <c r="C55" s="79" t="s">
        <v>272</v>
      </c>
      <c r="D55" s="99">
        <v>8016</v>
      </c>
      <c r="E55" s="99">
        <v>1616</v>
      </c>
      <c r="F55" s="99" t="s">
        <v>408</v>
      </c>
      <c r="G55" s="99">
        <v>46</v>
      </c>
      <c r="H55" s="99">
        <v>40</v>
      </c>
      <c r="I55" s="99">
        <v>161</v>
      </c>
      <c r="J55" s="99">
        <v>789</v>
      </c>
      <c r="K55" s="99">
        <v>30</v>
      </c>
      <c r="L55" s="99">
        <v>1614</v>
      </c>
      <c r="M55" s="99">
        <v>566</v>
      </c>
      <c r="N55" s="99">
        <v>385</v>
      </c>
      <c r="O55" s="99">
        <v>186</v>
      </c>
      <c r="P55" s="159">
        <v>186</v>
      </c>
      <c r="Q55" s="99">
        <v>24</v>
      </c>
      <c r="R55" s="99">
        <v>47</v>
      </c>
      <c r="S55" s="99">
        <v>35</v>
      </c>
      <c r="T55" s="99">
        <v>21</v>
      </c>
      <c r="U55" s="99" t="s">
        <v>676</v>
      </c>
      <c r="V55" s="99">
        <v>58</v>
      </c>
      <c r="W55" s="99">
        <v>38</v>
      </c>
      <c r="X55" s="99">
        <v>24</v>
      </c>
      <c r="Y55" s="99">
        <v>78</v>
      </c>
      <c r="Z55" s="99">
        <v>53</v>
      </c>
      <c r="AA55" s="99" t="s">
        <v>676</v>
      </c>
      <c r="AB55" s="99" t="s">
        <v>676</v>
      </c>
      <c r="AC55" s="99" t="s">
        <v>676</v>
      </c>
      <c r="AD55" s="98" t="s">
        <v>385</v>
      </c>
      <c r="AE55" s="100">
        <v>0.20159680638722555</v>
      </c>
      <c r="AF55" s="100">
        <v>0.08</v>
      </c>
      <c r="AG55" s="98">
        <v>573.8522954091817</v>
      </c>
      <c r="AH55" s="98">
        <v>499.001996007984</v>
      </c>
      <c r="AI55" s="100">
        <v>0.02</v>
      </c>
      <c r="AJ55" s="100">
        <v>0.735322</v>
      </c>
      <c r="AK55" s="100">
        <v>0.769231</v>
      </c>
      <c r="AL55" s="100">
        <v>0.824732</v>
      </c>
      <c r="AM55" s="100">
        <v>0.56999</v>
      </c>
      <c r="AN55" s="100">
        <v>0.675439</v>
      </c>
      <c r="AO55" s="98">
        <v>2320.359281437126</v>
      </c>
      <c r="AP55" s="158">
        <v>1.118541489</v>
      </c>
      <c r="AQ55" s="100">
        <v>0.12903225806451613</v>
      </c>
      <c r="AR55" s="100">
        <v>0.5106382978723404</v>
      </c>
      <c r="AS55" s="98">
        <v>436.626746506986</v>
      </c>
      <c r="AT55" s="98">
        <v>261.9760479041916</v>
      </c>
      <c r="AU55" s="98" t="s">
        <v>676</v>
      </c>
      <c r="AV55" s="98">
        <v>723.5528942115768</v>
      </c>
      <c r="AW55" s="98">
        <v>474.05189620758483</v>
      </c>
      <c r="AX55" s="98">
        <v>299.4011976047904</v>
      </c>
      <c r="AY55" s="98">
        <v>973.0538922155689</v>
      </c>
      <c r="AZ55" s="98">
        <v>661.1776447105789</v>
      </c>
      <c r="BA55" s="100" t="s">
        <v>676</v>
      </c>
      <c r="BB55" s="100" t="s">
        <v>676</v>
      </c>
      <c r="BC55" s="100" t="s">
        <v>676</v>
      </c>
      <c r="BD55" s="158">
        <v>0.9635635376</v>
      </c>
      <c r="BE55" s="158">
        <v>1.291352081</v>
      </c>
      <c r="BF55" s="162">
        <v>1073</v>
      </c>
      <c r="BG55" s="162">
        <v>39</v>
      </c>
      <c r="BH55" s="162">
        <v>1957</v>
      </c>
      <c r="BI55" s="162">
        <v>993</v>
      </c>
      <c r="BJ55" s="162">
        <v>570</v>
      </c>
      <c r="BK55" s="97"/>
      <c r="BL55" s="97"/>
      <c r="BM55" s="97"/>
      <c r="BN55" s="97"/>
    </row>
    <row r="56" spans="1:66" ht="12.75">
      <c r="A56" s="79" t="s">
        <v>655</v>
      </c>
      <c r="B56" s="79" t="s">
        <v>371</v>
      </c>
      <c r="C56" s="79" t="s">
        <v>272</v>
      </c>
      <c r="D56" s="99">
        <v>4120</v>
      </c>
      <c r="E56" s="99">
        <v>907</v>
      </c>
      <c r="F56" s="99" t="s">
        <v>406</v>
      </c>
      <c r="G56" s="99">
        <v>21</v>
      </c>
      <c r="H56" s="99">
        <v>10</v>
      </c>
      <c r="I56" s="99">
        <v>43</v>
      </c>
      <c r="J56" s="99">
        <v>451</v>
      </c>
      <c r="K56" s="99">
        <v>430</v>
      </c>
      <c r="L56" s="99">
        <v>769</v>
      </c>
      <c r="M56" s="99">
        <v>308</v>
      </c>
      <c r="N56" s="99">
        <v>202</v>
      </c>
      <c r="O56" s="99">
        <v>119</v>
      </c>
      <c r="P56" s="159">
        <v>119</v>
      </c>
      <c r="Q56" s="99">
        <v>12</v>
      </c>
      <c r="R56" s="99">
        <v>26</v>
      </c>
      <c r="S56" s="99">
        <v>26</v>
      </c>
      <c r="T56" s="99">
        <v>13</v>
      </c>
      <c r="U56" s="99" t="s">
        <v>676</v>
      </c>
      <c r="V56" s="99">
        <v>24</v>
      </c>
      <c r="W56" s="99">
        <v>25</v>
      </c>
      <c r="X56" s="99">
        <v>20</v>
      </c>
      <c r="Y56" s="99">
        <v>63</v>
      </c>
      <c r="Z56" s="99">
        <v>26</v>
      </c>
      <c r="AA56" s="99" t="s">
        <v>676</v>
      </c>
      <c r="AB56" s="99" t="s">
        <v>676</v>
      </c>
      <c r="AC56" s="99" t="s">
        <v>676</v>
      </c>
      <c r="AD56" s="98" t="s">
        <v>385</v>
      </c>
      <c r="AE56" s="100">
        <v>0.22014563106796117</v>
      </c>
      <c r="AF56" s="100">
        <v>0.12</v>
      </c>
      <c r="AG56" s="98">
        <v>509.70873786407765</v>
      </c>
      <c r="AH56" s="98">
        <v>242.71844660194174</v>
      </c>
      <c r="AI56" s="100">
        <v>0.01</v>
      </c>
      <c r="AJ56" s="100">
        <v>0.740558</v>
      </c>
      <c r="AK56" s="100">
        <v>0.74266</v>
      </c>
      <c r="AL56" s="100">
        <v>0.733079</v>
      </c>
      <c r="AM56" s="100">
        <v>0.551971</v>
      </c>
      <c r="AN56" s="100">
        <v>0.63522</v>
      </c>
      <c r="AO56" s="98">
        <v>2888.349514563107</v>
      </c>
      <c r="AP56" s="158">
        <v>1.336600647</v>
      </c>
      <c r="AQ56" s="100">
        <v>0.10084033613445378</v>
      </c>
      <c r="AR56" s="100">
        <v>0.46153846153846156</v>
      </c>
      <c r="AS56" s="98">
        <v>631.0679611650486</v>
      </c>
      <c r="AT56" s="98">
        <v>315.5339805825243</v>
      </c>
      <c r="AU56" s="98" t="s">
        <v>676</v>
      </c>
      <c r="AV56" s="98">
        <v>582.5242718446602</v>
      </c>
      <c r="AW56" s="98">
        <v>606.7961165048544</v>
      </c>
      <c r="AX56" s="98">
        <v>485.43689320388347</v>
      </c>
      <c r="AY56" s="98">
        <v>1529.126213592233</v>
      </c>
      <c r="AZ56" s="98">
        <v>631.0679611650486</v>
      </c>
      <c r="BA56" s="100" t="s">
        <v>676</v>
      </c>
      <c r="BB56" s="100" t="s">
        <v>676</v>
      </c>
      <c r="BC56" s="100" t="s">
        <v>676</v>
      </c>
      <c r="BD56" s="158">
        <v>1.107262726</v>
      </c>
      <c r="BE56" s="158">
        <v>1.599441833</v>
      </c>
      <c r="BF56" s="162">
        <v>609</v>
      </c>
      <c r="BG56" s="162">
        <v>579</v>
      </c>
      <c r="BH56" s="162">
        <v>1049</v>
      </c>
      <c r="BI56" s="162">
        <v>558</v>
      </c>
      <c r="BJ56" s="162">
        <v>318</v>
      </c>
      <c r="BK56" s="97"/>
      <c r="BL56" s="97"/>
      <c r="BM56" s="97"/>
      <c r="BN56" s="97"/>
    </row>
    <row r="57" spans="1:66" ht="12.75">
      <c r="A57" s="79" t="s">
        <v>631</v>
      </c>
      <c r="B57" s="79" t="s">
        <v>347</v>
      </c>
      <c r="C57" s="79" t="s">
        <v>272</v>
      </c>
      <c r="D57" s="99">
        <v>5149</v>
      </c>
      <c r="E57" s="99">
        <v>1018</v>
      </c>
      <c r="F57" s="99" t="s">
        <v>406</v>
      </c>
      <c r="G57" s="99">
        <v>31</v>
      </c>
      <c r="H57" s="99">
        <v>22</v>
      </c>
      <c r="I57" s="99">
        <v>101</v>
      </c>
      <c r="J57" s="99">
        <v>439</v>
      </c>
      <c r="K57" s="99">
        <v>427</v>
      </c>
      <c r="L57" s="99">
        <v>934</v>
      </c>
      <c r="M57" s="99">
        <v>285</v>
      </c>
      <c r="N57" s="99">
        <v>182</v>
      </c>
      <c r="O57" s="99">
        <v>141</v>
      </c>
      <c r="P57" s="159">
        <v>141</v>
      </c>
      <c r="Q57" s="99">
        <v>8</v>
      </c>
      <c r="R57" s="99">
        <v>26</v>
      </c>
      <c r="S57" s="99">
        <v>19</v>
      </c>
      <c r="T57" s="99">
        <v>26</v>
      </c>
      <c r="U57" s="99">
        <v>10</v>
      </c>
      <c r="V57" s="99">
        <v>31</v>
      </c>
      <c r="W57" s="99">
        <v>51</v>
      </c>
      <c r="X57" s="99">
        <v>17</v>
      </c>
      <c r="Y57" s="99">
        <v>85</v>
      </c>
      <c r="Z57" s="99">
        <v>49</v>
      </c>
      <c r="AA57" s="99" t="s">
        <v>676</v>
      </c>
      <c r="AB57" s="99" t="s">
        <v>676</v>
      </c>
      <c r="AC57" s="99" t="s">
        <v>676</v>
      </c>
      <c r="AD57" s="98" t="s">
        <v>385</v>
      </c>
      <c r="AE57" s="100">
        <v>0.1977082928724024</v>
      </c>
      <c r="AF57" s="100">
        <v>0.11</v>
      </c>
      <c r="AG57" s="98">
        <v>602.058652165469</v>
      </c>
      <c r="AH57" s="98">
        <v>427.2674305690425</v>
      </c>
      <c r="AI57" s="100">
        <v>0.02</v>
      </c>
      <c r="AJ57" s="100">
        <v>0.689168</v>
      </c>
      <c r="AK57" s="100">
        <v>0.687601</v>
      </c>
      <c r="AL57" s="100">
        <v>0.731402</v>
      </c>
      <c r="AM57" s="100">
        <v>0.484694</v>
      </c>
      <c r="AN57" s="100">
        <v>0.533724</v>
      </c>
      <c r="AO57" s="98">
        <v>2738.3958050106817</v>
      </c>
      <c r="AP57" s="158">
        <v>1.373020477</v>
      </c>
      <c r="AQ57" s="100">
        <v>0.05673758865248227</v>
      </c>
      <c r="AR57" s="100">
        <v>0.3076923076923077</v>
      </c>
      <c r="AS57" s="98">
        <v>369.00369003690037</v>
      </c>
      <c r="AT57" s="98">
        <v>504.95241794523207</v>
      </c>
      <c r="AU57" s="98">
        <v>194.21246844047388</v>
      </c>
      <c r="AV57" s="98">
        <v>602.058652165469</v>
      </c>
      <c r="AW57" s="98">
        <v>990.4835890464168</v>
      </c>
      <c r="AX57" s="98">
        <v>330.1611963488056</v>
      </c>
      <c r="AY57" s="98">
        <v>1650.805981744028</v>
      </c>
      <c r="AZ57" s="98">
        <v>951.641095358322</v>
      </c>
      <c r="BA57" s="100" t="s">
        <v>676</v>
      </c>
      <c r="BB57" s="100" t="s">
        <v>676</v>
      </c>
      <c r="BC57" s="100" t="s">
        <v>676</v>
      </c>
      <c r="BD57" s="158">
        <v>1.155750656</v>
      </c>
      <c r="BE57" s="158">
        <v>1.6192675779999999</v>
      </c>
      <c r="BF57" s="162">
        <v>637</v>
      </c>
      <c r="BG57" s="162">
        <v>621</v>
      </c>
      <c r="BH57" s="162">
        <v>1277</v>
      </c>
      <c r="BI57" s="162">
        <v>588</v>
      </c>
      <c r="BJ57" s="162">
        <v>341</v>
      </c>
      <c r="BK57" s="97"/>
      <c r="BL57" s="97"/>
      <c r="BM57" s="97"/>
      <c r="BN57" s="97"/>
    </row>
    <row r="58" spans="1:66" ht="12.75">
      <c r="A58" s="79" t="s">
        <v>632</v>
      </c>
      <c r="B58" s="79" t="s">
        <v>348</v>
      </c>
      <c r="C58" s="79" t="s">
        <v>272</v>
      </c>
      <c r="D58" s="99">
        <v>11642</v>
      </c>
      <c r="E58" s="99">
        <v>1796</v>
      </c>
      <c r="F58" s="99" t="s">
        <v>408</v>
      </c>
      <c r="G58" s="99">
        <v>37</v>
      </c>
      <c r="H58" s="99">
        <v>18</v>
      </c>
      <c r="I58" s="99">
        <v>175</v>
      </c>
      <c r="J58" s="99">
        <v>1332</v>
      </c>
      <c r="K58" s="99">
        <v>6</v>
      </c>
      <c r="L58" s="99">
        <v>2322</v>
      </c>
      <c r="M58" s="99">
        <v>887</v>
      </c>
      <c r="N58" s="99">
        <v>480</v>
      </c>
      <c r="O58" s="99">
        <v>229</v>
      </c>
      <c r="P58" s="159">
        <v>229</v>
      </c>
      <c r="Q58" s="99">
        <v>28</v>
      </c>
      <c r="R58" s="99">
        <v>54</v>
      </c>
      <c r="S58" s="99">
        <v>46</v>
      </c>
      <c r="T58" s="99">
        <v>44</v>
      </c>
      <c r="U58" s="99" t="s">
        <v>676</v>
      </c>
      <c r="V58" s="99">
        <v>27</v>
      </c>
      <c r="W58" s="99">
        <v>6</v>
      </c>
      <c r="X58" s="99">
        <v>10</v>
      </c>
      <c r="Y58" s="99">
        <v>23</v>
      </c>
      <c r="Z58" s="99">
        <v>45</v>
      </c>
      <c r="AA58" s="99" t="s">
        <v>676</v>
      </c>
      <c r="AB58" s="99" t="s">
        <v>676</v>
      </c>
      <c r="AC58" s="99" t="s">
        <v>676</v>
      </c>
      <c r="AD58" s="98" t="s">
        <v>385</v>
      </c>
      <c r="AE58" s="100">
        <v>0.15426902594056005</v>
      </c>
      <c r="AF58" s="100">
        <v>0.08</v>
      </c>
      <c r="AG58" s="98">
        <v>317.814808452156</v>
      </c>
      <c r="AH58" s="98">
        <v>154.61260951726507</v>
      </c>
      <c r="AI58" s="100">
        <v>0.015</v>
      </c>
      <c r="AJ58" s="100">
        <v>0.84144</v>
      </c>
      <c r="AK58" s="100">
        <v>0.666667</v>
      </c>
      <c r="AL58" s="100">
        <v>0.791141</v>
      </c>
      <c r="AM58" s="100">
        <v>0.624208</v>
      </c>
      <c r="AN58" s="100">
        <v>0.67701</v>
      </c>
      <c r="AO58" s="98">
        <v>1967.0159766363167</v>
      </c>
      <c r="AP58" s="158">
        <v>1.050163651</v>
      </c>
      <c r="AQ58" s="100">
        <v>0.1222707423580786</v>
      </c>
      <c r="AR58" s="100">
        <v>0.5185185185185185</v>
      </c>
      <c r="AS58" s="98">
        <v>395.1211132107885</v>
      </c>
      <c r="AT58" s="98">
        <v>377.94193437553685</v>
      </c>
      <c r="AU58" s="98" t="s">
        <v>676</v>
      </c>
      <c r="AV58" s="98">
        <v>231.9189142758976</v>
      </c>
      <c r="AW58" s="98">
        <v>51.53753650575503</v>
      </c>
      <c r="AX58" s="98">
        <v>85.89589417625838</v>
      </c>
      <c r="AY58" s="98">
        <v>197.56055660539425</v>
      </c>
      <c r="AZ58" s="98">
        <v>386.5315237931627</v>
      </c>
      <c r="BA58" s="100" t="s">
        <v>676</v>
      </c>
      <c r="BB58" s="100" t="s">
        <v>676</v>
      </c>
      <c r="BC58" s="100" t="s">
        <v>676</v>
      </c>
      <c r="BD58" s="158">
        <v>0.9185427094</v>
      </c>
      <c r="BE58" s="158">
        <v>1.195351563</v>
      </c>
      <c r="BF58" s="162">
        <v>1583</v>
      </c>
      <c r="BG58" s="162">
        <v>9</v>
      </c>
      <c r="BH58" s="162">
        <v>2935</v>
      </c>
      <c r="BI58" s="162">
        <v>1421</v>
      </c>
      <c r="BJ58" s="162">
        <v>709</v>
      </c>
      <c r="BK58" s="97"/>
      <c r="BL58" s="97"/>
      <c r="BM58" s="97"/>
      <c r="BN58" s="97"/>
    </row>
    <row r="59" spans="1:66" ht="12.75">
      <c r="A59" s="79" t="s">
        <v>680</v>
      </c>
      <c r="B59" s="79" t="s">
        <v>299</v>
      </c>
      <c r="C59" s="79" t="s">
        <v>272</v>
      </c>
      <c r="D59" s="99">
        <v>9609</v>
      </c>
      <c r="E59" s="99">
        <v>2336</v>
      </c>
      <c r="F59" s="99" t="s">
        <v>406</v>
      </c>
      <c r="G59" s="99">
        <v>55</v>
      </c>
      <c r="H59" s="99">
        <v>19</v>
      </c>
      <c r="I59" s="99">
        <v>235</v>
      </c>
      <c r="J59" s="99">
        <v>1090</v>
      </c>
      <c r="K59" s="99">
        <v>32</v>
      </c>
      <c r="L59" s="99">
        <v>1859</v>
      </c>
      <c r="M59" s="99">
        <v>994</v>
      </c>
      <c r="N59" s="99">
        <v>559</v>
      </c>
      <c r="O59" s="99">
        <v>187</v>
      </c>
      <c r="P59" s="159">
        <v>187</v>
      </c>
      <c r="Q59" s="99">
        <v>31</v>
      </c>
      <c r="R59" s="99">
        <v>57</v>
      </c>
      <c r="S59" s="99">
        <v>41</v>
      </c>
      <c r="T59" s="99">
        <v>24</v>
      </c>
      <c r="U59" s="99">
        <v>11</v>
      </c>
      <c r="V59" s="99">
        <v>34</v>
      </c>
      <c r="W59" s="99">
        <v>58</v>
      </c>
      <c r="X59" s="99">
        <v>24</v>
      </c>
      <c r="Y59" s="99">
        <v>121</v>
      </c>
      <c r="Z59" s="99">
        <v>55</v>
      </c>
      <c r="AA59" s="99" t="s">
        <v>676</v>
      </c>
      <c r="AB59" s="99" t="s">
        <v>676</v>
      </c>
      <c r="AC59" s="99" t="s">
        <v>676</v>
      </c>
      <c r="AD59" s="98" t="s">
        <v>385</v>
      </c>
      <c r="AE59" s="100">
        <v>0.24310542200020813</v>
      </c>
      <c r="AF59" s="100">
        <v>0.09</v>
      </c>
      <c r="AG59" s="98">
        <v>572.3800603600791</v>
      </c>
      <c r="AH59" s="98">
        <v>197.7312935789364</v>
      </c>
      <c r="AI59" s="100">
        <v>0.024</v>
      </c>
      <c r="AJ59" s="100">
        <v>0.718523</v>
      </c>
      <c r="AK59" s="100">
        <v>0.820513</v>
      </c>
      <c r="AL59" s="100">
        <v>0.822931</v>
      </c>
      <c r="AM59" s="100">
        <v>0.672076</v>
      </c>
      <c r="AN59" s="100">
        <v>0.725032</v>
      </c>
      <c r="AO59" s="98">
        <v>1946.0922052242688</v>
      </c>
      <c r="AP59" s="158">
        <v>0.8487745667</v>
      </c>
      <c r="AQ59" s="100">
        <v>0.1657754010695187</v>
      </c>
      <c r="AR59" s="100">
        <v>0.543859649122807</v>
      </c>
      <c r="AS59" s="98">
        <v>426.68331772296807</v>
      </c>
      <c r="AT59" s="98">
        <v>249.7658445207618</v>
      </c>
      <c r="AU59" s="98">
        <v>114.47601207201582</v>
      </c>
      <c r="AV59" s="98">
        <v>353.8349464044125</v>
      </c>
      <c r="AW59" s="98">
        <v>603.6007909251744</v>
      </c>
      <c r="AX59" s="98">
        <v>249.7658445207618</v>
      </c>
      <c r="AY59" s="98">
        <v>1259.236132792174</v>
      </c>
      <c r="AZ59" s="98">
        <v>572.3800603600791</v>
      </c>
      <c r="BA59" s="100" t="s">
        <v>676</v>
      </c>
      <c r="BB59" s="100" t="s">
        <v>676</v>
      </c>
      <c r="BC59" s="100" t="s">
        <v>676</v>
      </c>
      <c r="BD59" s="158">
        <v>0.7314768982</v>
      </c>
      <c r="BE59" s="158">
        <v>0.9795309448</v>
      </c>
      <c r="BF59" s="162">
        <v>1517</v>
      </c>
      <c r="BG59" s="162">
        <v>39</v>
      </c>
      <c r="BH59" s="162">
        <v>2259</v>
      </c>
      <c r="BI59" s="162">
        <v>1479</v>
      </c>
      <c r="BJ59" s="162">
        <v>771</v>
      </c>
      <c r="BK59" s="97"/>
      <c r="BL59" s="97"/>
      <c r="BM59" s="97"/>
      <c r="BN59" s="97"/>
    </row>
    <row r="60" spans="1:66" ht="12.75">
      <c r="A60" s="79" t="s">
        <v>572</v>
      </c>
      <c r="B60" s="79" t="s">
        <v>284</v>
      </c>
      <c r="C60" s="79" t="s">
        <v>272</v>
      </c>
      <c r="D60" s="99">
        <v>10755</v>
      </c>
      <c r="E60" s="99">
        <v>2162</v>
      </c>
      <c r="F60" s="99" t="s">
        <v>406</v>
      </c>
      <c r="G60" s="99">
        <v>81</v>
      </c>
      <c r="H60" s="99">
        <v>27</v>
      </c>
      <c r="I60" s="99">
        <v>204</v>
      </c>
      <c r="J60" s="99">
        <v>1016</v>
      </c>
      <c r="K60" s="99">
        <v>20</v>
      </c>
      <c r="L60" s="99">
        <v>2042</v>
      </c>
      <c r="M60" s="99">
        <v>852</v>
      </c>
      <c r="N60" s="99">
        <v>452</v>
      </c>
      <c r="O60" s="99">
        <v>190</v>
      </c>
      <c r="P60" s="159">
        <v>190</v>
      </c>
      <c r="Q60" s="99">
        <v>23</v>
      </c>
      <c r="R60" s="99">
        <v>52</v>
      </c>
      <c r="S60" s="99">
        <v>35</v>
      </c>
      <c r="T60" s="99">
        <v>37</v>
      </c>
      <c r="U60" s="99">
        <v>10</v>
      </c>
      <c r="V60" s="99">
        <v>40</v>
      </c>
      <c r="W60" s="99">
        <v>63</v>
      </c>
      <c r="X60" s="99">
        <v>25</v>
      </c>
      <c r="Y60" s="99">
        <v>120</v>
      </c>
      <c r="Z60" s="99">
        <v>64</v>
      </c>
      <c r="AA60" s="99" t="s">
        <v>676</v>
      </c>
      <c r="AB60" s="99" t="s">
        <v>676</v>
      </c>
      <c r="AC60" s="99" t="s">
        <v>676</v>
      </c>
      <c r="AD60" s="98" t="s">
        <v>385</v>
      </c>
      <c r="AE60" s="100">
        <v>0.201022780102278</v>
      </c>
      <c r="AF60" s="100">
        <v>0.11</v>
      </c>
      <c r="AG60" s="98">
        <v>753.1380753138076</v>
      </c>
      <c r="AH60" s="98">
        <v>251.0460251046025</v>
      </c>
      <c r="AI60" s="100">
        <v>0.019</v>
      </c>
      <c r="AJ60" s="100">
        <v>0.721591</v>
      </c>
      <c r="AK60" s="100">
        <v>0.8</v>
      </c>
      <c r="AL60" s="100">
        <v>0.804888</v>
      </c>
      <c r="AM60" s="100">
        <v>0.64205</v>
      </c>
      <c r="AN60" s="100">
        <v>0.682779</v>
      </c>
      <c r="AO60" s="98">
        <v>1766.6201766620177</v>
      </c>
      <c r="AP60" s="158">
        <v>0.8651004028</v>
      </c>
      <c r="AQ60" s="100">
        <v>0.12105263157894737</v>
      </c>
      <c r="AR60" s="100">
        <v>0.4423076923076923</v>
      </c>
      <c r="AS60" s="98">
        <v>325.4300325430033</v>
      </c>
      <c r="AT60" s="98">
        <v>344.02603440260344</v>
      </c>
      <c r="AU60" s="98">
        <v>92.98000929800094</v>
      </c>
      <c r="AV60" s="98">
        <v>371.92003719200375</v>
      </c>
      <c r="AW60" s="98">
        <v>585.7740585774059</v>
      </c>
      <c r="AX60" s="98">
        <v>232.4500232450023</v>
      </c>
      <c r="AY60" s="98">
        <v>1115.7601115760112</v>
      </c>
      <c r="AZ60" s="98">
        <v>595.072059507206</v>
      </c>
      <c r="BA60" s="100" t="s">
        <v>676</v>
      </c>
      <c r="BB60" s="100" t="s">
        <v>676</v>
      </c>
      <c r="BC60" s="100" t="s">
        <v>676</v>
      </c>
      <c r="BD60" s="158">
        <v>0.7464587401999999</v>
      </c>
      <c r="BE60" s="158">
        <v>0.9972403717</v>
      </c>
      <c r="BF60" s="162">
        <v>1408</v>
      </c>
      <c r="BG60" s="162">
        <v>25</v>
      </c>
      <c r="BH60" s="162">
        <v>2537</v>
      </c>
      <c r="BI60" s="162">
        <v>1327</v>
      </c>
      <c r="BJ60" s="162">
        <v>662</v>
      </c>
      <c r="BK60" s="97"/>
      <c r="BL60" s="97"/>
      <c r="BM60" s="97"/>
      <c r="BN60" s="97"/>
    </row>
    <row r="61" spans="1:66" ht="12.75">
      <c r="A61" s="79" t="s">
        <v>594</v>
      </c>
      <c r="B61" s="79" t="s">
        <v>308</v>
      </c>
      <c r="C61" s="79" t="s">
        <v>272</v>
      </c>
      <c r="D61" s="99">
        <v>13959</v>
      </c>
      <c r="E61" s="99">
        <v>2740</v>
      </c>
      <c r="F61" s="99" t="s">
        <v>407</v>
      </c>
      <c r="G61" s="99">
        <v>81</v>
      </c>
      <c r="H61" s="99">
        <v>35</v>
      </c>
      <c r="I61" s="99">
        <v>254</v>
      </c>
      <c r="J61" s="99">
        <v>1554</v>
      </c>
      <c r="K61" s="99">
        <v>35</v>
      </c>
      <c r="L61" s="99">
        <v>2714</v>
      </c>
      <c r="M61" s="99">
        <v>1184</v>
      </c>
      <c r="N61" s="99">
        <v>625</v>
      </c>
      <c r="O61" s="99">
        <v>301</v>
      </c>
      <c r="P61" s="159">
        <v>301</v>
      </c>
      <c r="Q61" s="99">
        <v>35</v>
      </c>
      <c r="R61" s="99">
        <v>79</v>
      </c>
      <c r="S61" s="99">
        <v>63</v>
      </c>
      <c r="T61" s="99">
        <v>51</v>
      </c>
      <c r="U61" s="99" t="s">
        <v>676</v>
      </c>
      <c r="V61" s="99">
        <v>56</v>
      </c>
      <c r="W61" s="99">
        <v>62</v>
      </c>
      <c r="X61" s="99">
        <v>24</v>
      </c>
      <c r="Y61" s="99">
        <v>116</v>
      </c>
      <c r="Z61" s="99">
        <v>91</v>
      </c>
      <c r="AA61" s="99" t="s">
        <v>676</v>
      </c>
      <c r="AB61" s="99" t="s">
        <v>676</v>
      </c>
      <c r="AC61" s="99" t="s">
        <v>676</v>
      </c>
      <c r="AD61" s="98" t="s">
        <v>385</v>
      </c>
      <c r="AE61" s="100">
        <v>0.19628913245934523</v>
      </c>
      <c r="AF61" s="100">
        <v>0.13</v>
      </c>
      <c r="AG61" s="98">
        <v>580.2707930367504</v>
      </c>
      <c r="AH61" s="98">
        <v>250.73429328748477</v>
      </c>
      <c r="AI61" s="100">
        <v>0.018000000000000002</v>
      </c>
      <c r="AJ61" s="100">
        <v>0.706685</v>
      </c>
      <c r="AK61" s="100">
        <v>0.636364</v>
      </c>
      <c r="AL61" s="100">
        <v>0.758101</v>
      </c>
      <c r="AM61" s="100">
        <v>0.584691</v>
      </c>
      <c r="AN61" s="100">
        <v>0.615764</v>
      </c>
      <c r="AO61" s="98">
        <v>2156.314922272369</v>
      </c>
      <c r="AP61" s="158">
        <v>1.023498383</v>
      </c>
      <c r="AQ61" s="100">
        <v>0.11627906976744186</v>
      </c>
      <c r="AR61" s="100">
        <v>0.4430379746835443</v>
      </c>
      <c r="AS61" s="98">
        <v>451.3217279174726</v>
      </c>
      <c r="AT61" s="98">
        <v>365.3556845046207</v>
      </c>
      <c r="AU61" s="98" t="s">
        <v>676</v>
      </c>
      <c r="AV61" s="98">
        <v>401.17486925997565</v>
      </c>
      <c r="AW61" s="98">
        <v>444.1578909664016</v>
      </c>
      <c r="AX61" s="98">
        <v>171.93208682570383</v>
      </c>
      <c r="AY61" s="98">
        <v>831.0050863242352</v>
      </c>
      <c r="AZ61" s="98">
        <v>651.9091625474604</v>
      </c>
      <c r="BA61" s="100" t="s">
        <v>676</v>
      </c>
      <c r="BB61" s="100" t="s">
        <v>676</v>
      </c>
      <c r="BC61" s="100" t="s">
        <v>676</v>
      </c>
      <c r="BD61" s="158">
        <v>0.9111268616</v>
      </c>
      <c r="BE61" s="158">
        <v>1.145901947</v>
      </c>
      <c r="BF61" s="162">
        <v>2199</v>
      </c>
      <c r="BG61" s="162">
        <v>55</v>
      </c>
      <c r="BH61" s="162">
        <v>3580</v>
      </c>
      <c r="BI61" s="162">
        <v>2025</v>
      </c>
      <c r="BJ61" s="162">
        <v>1015</v>
      </c>
      <c r="BK61" s="97"/>
      <c r="BL61" s="97"/>
      <c r="BM61" s="97"/>
      <c r="BN61" s="97"/>
    </row>
    <row r="62" spans="1:66" ht="12.75">
      <c r="A62" s="79" t="s">
        <v>651</v>
      </c>
      <c r="B62" s="79" t="s">
        <v>367</v>
      </c>
      <c r="C62" s="79" t="s">
        <v>272</v>
      </c>
      <c r="D62" s="99">
        <v>3209</v>
      </c>
      <c r="E62" s="99">
        <v>722</v>
      </c>
      <c r="F62" s="99" t="s">
        <v>406</v>
      </c>
      <c r="G62" s="99">
        <v>21</v>
      </c>
      <c r="H62" s="99" t="s">
        <v>676</v>
      </c>
      <c r="I62" s="99">
        <v>71</v>
      </c>
      <c r="J62" s="99">
        <v>415</v>
      </c>
      <c r="K62" s="99">
        <v>396</v>
      </c>
      <c r="L62" s="99">
        <v>587</v>
      </c>
      <c r="M62" s="99">
        <v>320</v>
      </c>
      <c r="N62" s="99">
        <v>166</v>
      </c>
      <c r="O62" s="99">
        <v>48</v>
      </c>
      <c r="P62" s="159">
        <v>48</v>
      </c>
      <c r="Q62" s="99">
        <v>12</v>
      </c>
      <c r="R62" s="99">
        <v>26</v>
      </c>
      <c r="S62" s="99">
        <v>9</v>
      </c>
      <c r="T62" s="99">
        <v>7</v>
      </c>
      <c r="U62" s="99" t="s">
        <v>676</v>
      </c>
      <c r="V62" s="99">
        <v>8</v>
      </c>
      <c r="W62" s="99" t="s">
        <v>676</v>
      </c>
      <c r="X62" s="99" t="s">
        <v>676</v>
      </c>
      <c r="Y62" s="99" t="s">
        <v>676</v>
      </c>
      <c r="Z62" s="99">
        <v>16</v>
      </c>
      <c r="AA62" s="99" t="s">
        <v>676</v>
      </c>
      <c r="AB62" s="99" t="s">
        <v>676</v>
      </c>
      <c r="AC62" s="99" t="s">
        <v>676</v>
      </c>
      <c r="AD62" s="98" t="s">
        <v>385</v>
      </c>
      <c r="AE62" s="100">
        <v>0.22499220941103149</v>
      </c>
      <c r="AF62" s="100">
        <v>0.11</v>
      </c>
      <c r="AG62" s="98">
        <v>654.4094733561857</v>
      </c>
      <c r="AH62" s="98" t="s">
        <v>676</v>
      </c>
      <c r="AI62" s="100">
        <v>0.022000000000000002</v>
      </c>
      <c r="AJ62" s="100">
        <v>0.785985</v>
      </c>
      <c r="AK62" s="100">
        <v>0.77193</v>
      </c>
      <c r="AL62" s="100">
        <v>0.792173</v>
      </c>
      <c r="AM62" s="100">
        <v>0.609524</v>
      </c>
      <c r="AN62" s="100">
        <v>0.626415</v>
      </c>
      <c r="AO62" s="98">
        <v>1495.793081956996</v>
      </c>
      <c r="AP62" s="158">
        <v>0.6668393707</v>
      </c>
      <c r="AQ62" s="100">
        <v>0.25</v>
      </c>
      <c r="AR62" s="100">
        <v>0.46153846153846156</v>
      </c>
      <c r="AS62" s="98">
        <v>280.46120286693673</v>
      </c>
      <c r="AT62" s="98">
        <v>218.13649111872857</v>
      </c>
      <c r="AU62" s="98" t="s">
        <v>676</v>
      </c>
      <c r="AV62" s="98">
        <v>249.29884699283267</v>
      </c>
      <c r="AW62" s="98" t="s">
        <v>676</v>
      </c>
      <c r="AX62" s="98" t="s">
        <v>676</v>
      </c>
      <c r="AY62" s="98" t="s">
        <v>676</v>
      </c>
      <c r="AZ62" s="98">
        <v>498.59769398566533</v>
      </c>
      <c r="BA62" s="100" t="s">
        <v>676</v>
      </c>
      <c r="BB62" s="100" t="s">
        <v>676</v>
      </c>
      <c r="BC62" s="100" t="s">
        <v>676</v>
      </c>
      <c r="BD62" s="158">
        <v>0.49167472840000004</v>
      </c>
      <c r="BE62" s="158">
        <v>0.8841323090000001</v>
      </c>
      <c r="BF62" s="162">
        <v>528</v>
      </c>
      <c r="BG62" s="162">
        <v>513</v>
      </c>
      <c r="BH62" s="162">
        <v>741</v>
      </c>
      <c r="BI62" s="162">
        <v>525</v>
      </c>
      <c r="BJ62" s="162">
        <v>265</v>
      </c>
      <c r="BK62" s="97"/>
      <c r="BL62" s="97"/>
      <c r="BM62" s="97"/>
      <c r="BN62" s="97"/>
    </row>
    <row r="63" spans="1:66" ht="12.75">
      <c r="A63" s="79" t="s">
        <v>588</v>
      </c>
      <c r="B63" s="79" t="s">
        <v>302</v>
      </c>
      <c r="C63" s="79" t="s">
        <v>272</v>
      </c>
      <c r="D63" s="99">
        <v>15301</v>
      </c>
      <c r="E63" s="99">
        <v>2903</v>
      </c>
      <c r="F63" s="99" t="s">
        <v>407</v>
      </c>
      <c r="G63" s="99">
        <v>89</v>
      </c>
      <c r="H63" s="99">
        <v>35</v>
      </c>
      <c r="I63" s="99">
        <v>303</v>
      </c>
      <c r="J63" s="99">
        <v>1701</v>
      </c>
      <c r="K63" s="99">
        <v>1668</v>
      </c>
      <c r="L63" s="99">
        <v>2888</v>
      </c>
      <c r="M63" s="99">
        <v>1082</v>
      </c>
      <c r="N63" s="99">
        <v>681</v>
      </c>
      <c r="O63" s="99">
        <v>282</v>
      </c>
      <c r="P63" s="159">
        <v>282</v>
      </c>
      <c r="Q63" s="99">
        <v>19</v>
      </c>
      <c r="R63" s="99">
        <v>68</v>
      </c>
      <c r="S63" s="99">
        <v>67</v>
      </c>
      <c r="T63" s="99">
        <v>67</v>
      </c>
      <c r="U63" s="99">
        <v>11</v>
      </c>
      <c r="V63" s="99">
        <v>9</v>
      </c>
      <c r="W63" s="99">
        <v>76</v>
      </c>
      <c r="X63" s="99">
        <v>86</v>
      </c>
      <c r="Y63" s="99">
        <v>133</v>
      </c>
      <c r="Z63" s="99">
        <v>81</v>
      </c>
      <c r="AA63" s="99" t="s">
        <v>676</v>
      </c>
      <c r="AB63" s="99" t="s">
        <v>676</v>
      </c>
      <c r="AC63" s="99" t="s">
        <v>676</v>
      </c>
      <c r="AD63" s="98" t="s">
        <v>385</v>
      </c>
      <c r="AE63" s="100">
        <v>0.1897261616887785</v>
      </c>
      <c r="AF63" s="100">
        <v>0.13</v>
      </c>
      <c r="AG63" s="98">
        <v>581.6613293248807</v>
      </c>
      <c r="AH63" s="98">
        <v>228.743219397425</v>
      </c>
      <c r="AI63" s="100">
        <v>0.02</v>
      </c>
      <c r="AJ63" s="100">
        <v>0.802737</v>
      </c>
      <c r="AK63" s="100">
        <v>0.807748</v>
      </c>
      <c r="AL63" s="100">
        <v>0.801777</v>
      </c>
      <c r="AM63" s="100">
        <v>0.538845</v>
      </c>
      <c r="AN63" s="100">
        <v>0.590121</v>
      </c>
      <c r="AO63" s="98">
        <v>1843.0167962878243</v>
      </c>
      <c r="AP63" s="158">
        <v>0.9140988922</v>
      </c>
      <c r="AQ63" s="100">
        <v>0.0673758865248227</v>
      </c>
      <c r="AR63" s="100">
        <v>0.27941176470588236</v>
      </c>
      <c r="AS63" s="98">
        <v>437.8798771322136</v>
      </c>
      <c r="AT63" s="98">
        <v>437.8798771322136</v>
      </c>
      <c r="AU63" s="98">
        <v>71.89072609633357</v>
      </c>
      <c r="AV63" s="98">
        <v>58.819684987909284</v>
      </c>
      <c r="AW63" s="98">
        <v>496.6995621201229</v>
      </c>
      <c r="AX63" s="98">
        <v>562.0547676622443</v>
      </c>
      <c r="AY63" s="98">
        <v>869.224233710215</v>
      </c>
      <c r="AZ63" s="98">
        <v>529.3771648911836</v>
      </c>
      <c r="BA63" s="100" t="s">
        <v>676</v>
      </c>
      <c r="BB63" s="100" t="s">
        <v>676</v>
      </c>
      <c r="BC63" s="100" t="s">
        <v>676</v>
      </c>
      <c r="BD63" s="158">
        <v>0.8105131531</v>
      </c>
      <c r="BE63" s="158">
        <v>1.027253952</v>
      </c>
      <c r="BF63" s="162">
        <v>2119</v>
      </c>
      <c r="BG63" s="162">
        <v>2065</v>
      </c>
      <c r="BH63" s="162">
        <v>3602</v>
      </c>
      <c r="BI63" s="162">
        <v>2008</v>
      </c>
      <c r="BJ63" s="162">
        <v>1154</v>
      </c>
      <c r="BK63" s="97"/>
      <c r="BL63" s="97"/>
      <c r="BM63" s="97"/>
      <c r="BN63" s="97"/>
    </row>
    <row r="64" spans="1:66" ht="12.75">
      <c r="A64" s="79" t="s">
        <v>610</v>
      </c>
      <c r="B64" s="79" t="s">
        <v>326</v>
      </c>
      <c r="C64" s="79" t="s">
        <v>272</v>
      </c>
      <c r="D64" s="99">
        <v>2674</v>
      </c>
      <c r="E64" s="99">
        <v>626</v>
      </c>
      <c r="F64" s="99" t="s">
        <v>406</v>
      </c>
      <c r="G64" s="99">
        <v>27</v>
      </c>
      <c r="H64" s="99">
        <v>8</v>
      </c>
      <c r="I64" s="99">
        <v>64</v>
      </c>
      <c r="J64" s="99">
        <v>336</v>
      </c>
      <c r="K64" s="99">
        <v>9</v>
      </c>
      <c r="L64" s="99">
        <v>468</v>
      </c>
      <c r="M64" s="99">
        <v>220</v>
      </c>
      <c r="N64" s="99">
        <v>143</v>
      </c>
      <c r="O64" s="99">
        <v>45</v>
      </c>
      <c r="P64" s="159">
        <v>45</v>
      </c>
      <c r="Q64" s="99" t="s">
        <v>676</v>
      </c>
      <c r="R64" s="99">
        <v>11</v>
      </c>
      <c r="S64" s="99">
        <v>11</v>
      </c>
      <c r="T64" s="99">
        <v>12</v>
      </c>
      <c r="U64" s="99" t="s">
        <v>676</v>
      </c>
      <c r="V64" s="99" t="s">
        <v>676</v>
      </c>
      <c r="W64" s="99">
        <v>14</v>
      </c>
      <c r="X64" s="99">
        <v>19</v>
      </c>
      <c r="Y64" s="99">
        <v>23</v>
      </c>
      <c r="Z64" s="99">
        <v>19</v>
      </c>
      <c r="AA64" s="99" t="s">
        <v>676</v>
      </c>
      <c r="AB64" s="99" t="s">
        <v>676</v>
      </c>
      <c r="AC64" s="99" t="s">
        <v>676</v>
      </c>
      <c r="AD64" s="98" t="s">
        <v>385</v>
      </c>
      <c r="AE64" s="100">
        <v>0.23410620792819745</v>
      </c>
      <c r="AF64" s="100">
        <v>0.11</v>
      </c>
      <c r="AG64" s="98">
        <v>1009.7232610321615</v>
      </c>
      <c r="AH64" s="98">
        <v>299.1772625280479</v>
      </c>
      <c r="AI64" s="100">
        <v>0.024</v>
      </c>
      <c r="AJ64" s="100">
        <v>0.738462</v>
      </c>
      <c r="AK64" s="100">
        <v>0.5</v>
      </c>
      <c r="AL64" s="100">
        <v>0.721109</v>
      </c>
      <c r="AM64" s="100">
        <v>0.502283</v>
      </c>
      <c r="AN64" s="100">
        <v>0.558594</v>
      </c>
      <c r="AO64" s="98">
        <v>1682.8721017202693</v>
      </c>
      <c r="AP64" s="158">
        <v>0.7338155365</v>
      </c>
      <c r="AQ64" s="100" t="s">
        <v>676</v>
      </c>
      <c r="AR64" s="100" t="s">
        <v>676</v>
      </c>
      <c r="AS64" s="98">
        <v>411.3687359760658</v>
      </c>
      <c r="AT64" s="98">
        <v>448.7658937920718</v>
      </c>
      <c r="AU64" s="98" t="s">
        <v>676</v>
      </c>
      <c r="AV64" s="98" t="s">
        <v>676</v>
      </c>
      <c r="AW64" s="98">
        <v>523.5602094240837</v>
      </c>
      <c r="AX64" s="98">
        <v>710.5459985041136</v>
      </c>
      <c r="AY64" s="98">
        <v>860.1346297681376</v>
      </c>
      <c r="AZ64" s="98">
        <v>710.5459985041136</v>
      </c>
      <c r="BA64" s="100" t="s">
        <v>676</v>
      </c>
      <c r="BB64" s="100" t="s">
        <v>676</v>
      </c>
      <c r="BC64" s="100" t="s">
        <v>676</v>
      </c>
      <c r="BD64" s="158">
        <v>0.5352500916</v>
      </c>
      <c r="BE64" s="158">
        <v>0.9819029236</v>
      </c>
      <c r="BF64" s="162">
        <v>455</v>
      </c>
      <c r="BG64" s="162">
        <v>18</v>
      </c>
      <c r="BH64" s="162">
        <v>649</v>
      </c>
      <c r="BI64" s="162">
        <v>438</v>
      </c>
      <c r="BJ64" s="162">
        <v>256</v>
      </c>
      <c r="BK64" s="97"/>
      <c r="BL64" s="97"/>
      <c r="BM64" s="97"/>
      <c r="BN64" s="97"/>
    </row>
    <row r="65" spans="1:66" ht="12.75">
      <c r="A65" s="79" t="s">
        <v>582</v>
      </c>
      <c r="B65" s="79" t="s">
        <v>295</v>
      </c>
      <c r="C65" s="79" t="s">
        <v>272</v>
      </c>
      <c r="D65" s="99">
        <v>4871</v>
      </c>
      <c r="E65" s="99">
        <v>1168</v>
      </c>
      <c r="F65" s="99" t="s">
        <v>406</v>
      </c>
      <c r="G65" s="99">
        <v>27</v>
      </c>
      <c r="H65" s="99">
        <v>15</v>
      </c>
      <c r="I65" s="99">
        <v>109</v>
      </c>
      <c r="J65" s="99">
        <v>527</v>
      </c>
      <c r="K65" s="99">
        <v>19</v>
      </c>
      <c r="L65" s="99">
        <v>936</v>
      </c>
      <c r="M65" s="99">
        <v>420</v>
      </c>
      <c r="N65" s="99">
        <v>263</v>
      </c>
      <c r="O65" s="99">
        <v>118</v>
      </c>
      <c r="P65" s="159">
        <v>118</v>
      </c>
      <c r="Q65" s="99">
        <v>11</v>
      </c>
      <c r="R65" s="99">
        <v>32</v>
      </c>
      <c r="S65" s="99">
        <v>23</v>
      </c>
      <c r="T65" s="99">
        <v>21</v>
      </c>
      <c r="U65" s="99">
        <v>6</v>
      </c>
      <c r="V65" s="99">
        <v>29</v>
      </c>
      <c r="W65" s="99">
        <v>42</v>
      </c>
      <c r="X65" s="99">
        <v>18</v>
      </c>
      <c r="Y65" s="99">
        <v>48</v>
      </c>
      <c r="Z65" s="99">
        <v>33</v>
      </c>
      <c r="AA65" s="99" t="s">
        <v>676</v>
      </c>
      <c r="AB65" s="99" t="s">
        <v>676</v>
      </c>
      <c r="AC65" s="99" t="s">
        <v>676</v>
      </c>
      <c r="AD65" s="98" t="s">
        <v>385</v>
      </c>
      <c r="AE65" s="100">
        <v>0.23978649148018888</v>
      </c>
      <c r="AF65" s="100">
        <v>0.09</v>
      </c>
      <c r="AG65" s="98">
        <v>554.3009648942722</v>
      </c>
      <c r="AH65" s="98">
        <v>307.9449804968179</v>
      </c>
      <c r="AI65" s="100">
        <v>0.022000000000000002</v>
      </c>
      <c r="AJ65" s="100">
        <v>0.703605</v>
      </c>
      <c r="AK65" s="100">
        <v>0.76</v>
      </c>
      <c r="AL65" s="100">
        <v>0.848595</v>
      </c>
      <c r="AM65" s="100">
        <v>0.572207</v>
      </c>
      <c r="AN65" s="100">
        <v>0.630695</v>
      </c>
      <c r="AO65" s="98">
        <v>2422.500513241634</v>
      </c>
      <c r="AP65" s="158">
        <v>1.0748409270000001</v>
      </c>
      <c r="AQ65" s="100">
        <v>0.09322033898305085</v>
      </c>
      <c r="AR65" s="100">
        <v>0.34375</v>
      </c>
      <c r="AS65" s="98">
        <v>472.18230342845413</v>
      </c>
      <c r="AT65" s="98">
        <v>431.12297269554506</v>
      </c>
      <c r="AU65" s="98">
        <v>123.17799219872717</v>
      </c>
      <c r="AV65" s="98">
        <v>595.3602956271812</v>
      </c>
      <c r="AW65" s="98">
        <v>862.2459453910901</v>
      </c>
      <c r="AX65" s="98">
        <v>369.5339765961815</v>
      </c>
      <c r="AY65" s="98">
        <v>985.4239375898173</v>
      </c>
      <c r="AZ65" s="98">
        <v>677.4789570929994</v>
      </c>
      <c r="BA65" s="100" t="s">
        <v>676</v>
      </c>
      <c r="BB65" s="100" t="s">
        <v>676</v>
      </c>
      <c r="BC65" s="100" t="s">
        <v>676</v>
      </c>
      <c r="BD65" s="158">
        <v>0.8896742249</v>
      </c>
      <c r="BE65" s="158">
        <v>1.287181396</v>
      </c>
      <c r="BF65" s="162">
        <v>749</v>
      </c>
      <c r="BG65" s="162">
        <v>25</v>
      </c>
      <c r="BH65" s="162">
        <v>1103</v>
      </c>
      <c r="BI65" s="162">
        <v>734</v>
      </c>
      <c r="BJ65" s="162">
        <v>417</v>
      </c>
      <c r="BK65" s="97"/>
      <c r="BL65" s="97"/>
      <c r="BM65" s="97"/>
      <c r="BN65" s="97"/>
    </row>
    <row r="66" spans="1:66" ht="12.75">
      <c r="A66" s="79" t="s">
        <v>622</v>
      </c>
      <c r="B66" s="79" t="s">
        <v>338</v>
      </c>
      <c r="C66" s="79" t="s">
        <v>272</v>
      </c>
      <c r="D66" s="99">
        <v>4108</v>
      </c>
      <c r="E66" s="99">
        <v>1050</v>
      </c>
      <c r="F66" s="99" t="s">
        <v>408</v>
      </c>
      <c r="G66" s="99">
        <v>23</v>
      </c>
      <c r="H66" s="99">
        <v>14</v>
      </c>
      <c r="I66" s="99">
        <v>112</v>
      </c>
      <c r="J66" s="99">
        <v>563</v>
      </c>
      <c r="K66" s="99">
        <v>10</v>
      </c>
      <c r="L66" s="99">
        <v>800</v>
      </c>
      <c r="M66" s="99">
        <v>463</v>
      </c>
      <c r="N66" s="99">
        <v>217</v>
      </c>
      <c r="O66" s="99">
        <v>140</v>
      </c>
      <c r="P66" s="159">
        <v>140</v>
      </c>
      <c r="Q66" s="99">
        <v>22</v>
      </c>
      <c r="R66" s="99">
        <v>42</v>
      </c>
      <c r="S66" s="99">
        <v>28</v>
      </c>
      <c r="T66" s="99">
        <v>30</v>
      </c>
      <c r="U66" s="99" t="s">
        <v>676</v>
      </c>
      <c r="V66" s="99">
        <v>27</v>
      </c>
      <c r="W66" s="99" t="s">
        <v>676</v>
      </c>
      <c r="X66" s="99" t="s">
        <v>676</v>
      </c>
      <c r="Y66" s="99">
        <v>8</v>
      </c>
      <c r="Z66" s="99">
        <v>35</v>
      </c>
      <c r="AA66" s="99" t="s">
        <v>676</v>
      </c>
      <c r="AB66" s="99" t="s">
        <v>676</v>
      </c>
      <c r="AC66" s="99" t="s">
        <v>676</v>
      </c>
      <c r="AD66" s="98" t="s">
        <v>385</v>
      </c>
      <c r="AE66" s="100">
        <v>0.2555988315481986</v>
      </c>
      <c r="AF66" s="100">
        <v>0.08</v>
      </c>
      <c r="AG66" s="98">
        <v>559.8831548198636</v>
      </c>
      <c r="AH66" s="98">
        <v>340.79844206426486</v>
      </c>
      <c r="AI66" s="100">
        <v>0.027000000000000003</v>
      </c>
      <c r="AJ66" s="100">
        <v>0.75876</v>
      </c>
      <c r="AK66" s="100">
        <v>0.243902</v>
      </c>
      <c r="AL66" s="100">
        <v>0.807265</v>
      </c>
      <c r="AM66" s="100">
        <v>0.629932</v>
      </c>
      <c r="AN66" s="100">
        <v>0.657576</v>
      </c>
      <c r="AO66" s="98">
        <v>3407.9844206426483</v>
      </c>
      <c r="AP66" s="158">
        <v>1.378811798</v>
      </c>
      <c r="AQ66" s="100">
        <v>0.15714285714285714</v>
      </c>
      <c r="AR66" s="100">
        <v>0.5238095238095238</v>
      </c>
      <c r="AS66" s="98">
        <v>681.5968841285297</v>
      </c>
      <c r="AT66" s="98">
        <v>730.2823758519961</v>
      </c>
      <c r="AU66" s="98" t="s">
        <v>676</v>
      </c>
      <c r="AV66" s="98">
        <v>657.2541382667965</v>
      </c>
      <c r="AW66" s="98" t="s">
        <v>676</v>
      </c>
      <c r="AX66" s="98" t="s">
        <v>676</v>
      </c>
      <c r="AY66" s="98">
        <v>194.74196689386562</v>
      </c>
      <c r="AZ66" s="98">
        <v>851.9961051606621</v>
      </c>
      <c r="BA66" s="100" t="s">
        <v>676</v>
      </c>
      <c r="BB66" s="100" t="s">
        <v>676</v>
      </c>
      <c r="BC66" s="100" t="s">
        <v>676</v>
      </c>
      <c r="BD66" s="158">
        <v>1.159881744</v>
      </c>
      <c r="BE66" s="158">
        <v>1.627051849</v>
      </c>
      <c r="BF66" s="162">
        <v>742</v>
      </c>
      <c r="BG66" s="162">
        <v>41</v>
      </c>
      <c r="BH66" s="162">
        <v>991</v>
      </c>
      <c r="BI66" s="162">
        <v>735</v>
      </c>
      <c r="BJ66" s="162">
        <v>330</v>
      </c>
      <c r="BK66" s="97"/>
      <c r="BL66" s="97"/>
      <c r="BM66" s="97"/>
      <c r="BN66" s="97"/>
    </row>
    <row r="67" spans="1:66" ht="12.75">
      <c r="A67" s="79" t="s">
        <v>598</v>
      </c>
      <c r="B67" s="79" t="s">
        <v>313</v>
      </c>
      <c r="C67" s="79" t="s">
        <v>272</v>
      </c>
      <c r="D67" s="99">
        <v>3019</v>
      </c>
      <c r="E67" s="99">
        <v>768</v>
      </c>
      <c r="F67" s="99" t="s">
        <v>406</v>
      </c>
      <c r="G67" s="99">
        <v>22</v>
      </c>
      <c r="H67" s="99">
        <v>17</v>
      </c>
      <c r="I67" s="99">
        <v>85</v>
      </c>
      <c r="J67" s="99">
        <v>401</v>
      </c>
      <c r="K67" s="99">
        <v>391</v>
      </c>
      <c r="L67" s="99">
        <v>595</v>
      </c>
      <c r="M67" s="99">
        <v>307</v>
      </c>
      <c r="N67" s="99">
        <v>205</v>
      </c>
      <c r="O67" s="99">
        <v>48</v>
      </c>
      <c r="P67" s="159">
        <v>48</v>
      </c>
      <c r="Q67" s="99">
        <v>23</v>
      </c>
      <c r="R67" s="99">
        <v>32</v>
      </c>
      <c r="S67" s="99">
        <v>16</v>
      </c>
      <c r="T67" s="99">
        <v>9</v>
      </c>
      <c r="U67" s="99" t="s">
        <v>676</v>
      </c>
      <c r="V67" s="99" t="s">
        <v>676</v>
      </c>
      <c r="W67" s="99">
        <v>10</v>
      </c>
      <c r="X67" s="99">
        <v>9</v>
      </c>
      <c r="Y67" s="99">
        <v>30</v>
      </c>
      <c r="Z67" s="99">
        <v>25</v>
      </c>
      <c r="AA67" s="99" t="s">
        <v>676</v>
      </c>
      <c r="AB67" s="99" t="s">
        <v>676</v>
      </c>
      <c r="AC67" s="99" t="s">
        <v>676</v>
      </c>
      <c r="AD67" s="98" t="s">
        <v>385</v>
      </c>
      <c r="AE67" s="100">
        <v>0.2543888704869162</v>
      </c>
      <c r="AF67" s="100">
        <v>0.09</v>
      </c>
      <c r="AG67" s="98">
        <v>728.7181185823121</v>
      </c>
      <c r="AH67" s="98">
        <v>563.1003643590593</v>
      </c>
      <c r="AI67" s="100">
        <v>0.027999999999999997</v>
      </c>
      <c r="AJ67" s="100">
        <v>0.79249</v>
      </c>
      <c r="AK67" s="100">
        <v>0.802875</v>
      </c>
      <c r="AL67" s="100">
        <v>0.793333</v>
      </c>
      <c r="AM67" s="100">
        <v>0.554152</v>
      </c>
      <c r="AN67" s="100">
        <v>0.648734</v>
      </c>
      <c r="AO67" s="98">
        <v>1589.9304405432263</v>
      </c>
      <c r="AP67" s="158">
        <v>0.6544328308</v>
      </c>
      <c r="AQ67" s="100">
        <v>0.4791666666666667</v>
      </c>
      <c r="AR67" s="100">
        <v>0.71875</v>
      </c>
      <c r="AS67" s="98">
        <v>529.9768135144087</v>
      </c>
      <c r="AT67" s="98">
        <v>298.1119576018549</v>
      </c>
      <c r="AU67" s="98" t="s">
        <v>676</v>
      </c>
      <c r="AV67" s="98" t="s">
        <v>676</v>
      </c>
      <c r="AW67" s="98">
        <v>331.2355084465055</v>
      </c>
      <c r="AX67" s="98">
        <v>298.1119576018549</v>
      </c>
      <c r="AY67" s="98">
        <v>993.7065253395164</v>
      </c>
      <c r="AZ67" s="98">
        <v>828.0887711162636</v>
      </c>
      <c r="BA67" s="100" t="s">
        <v>676</v>
      </c>
      <c r="BB67" s="100" t="s">
        <v>676</v>
      </c>
      <c r="BC67" s="100" t="s">
        <v>676</v>
      </c>
      <c r="BD67" s="158">
        <v>0.4825271225</v>
      </c>
      <c r="BE67" s="158">
        <v>0.8676830292</v>
      </c>
      <c r="BF67" s="162">
        <v>506</v>
      </c>
      <c r="BG67" s="162">
        <v>487</v>
      </c>
      <c r="BH67" s="162">
        <v>750</v>
      </c>
      <c r="BI67" s="162">
        <v>554</v>
      </c>
      <c r="BJ67" s="162">
        <v>316</v>
      </c>
      <c r="BK67" s="97"/>
      <c r="BL67" s="97"/>
      <c r="BM67" s="97"/>
      <c r="BN67" s="97"/>
    </row>
    <row r="68" spans="1:66" ht="12.75">
      <c r="A68" s="79" t="s">
        <v>586</v>
      </c>
      <c r="B68" s="79" t="s">
        <v>300</v>
      </c>
      <c r="C68" s="79" t="s">
        <v>272</v>
      </c>
      <c r="D68" s="99">
        <v>8823</v>
      </c>
      <c r="E68" s="99">
        <v>1313</v>
      </c>
      <c r="F68" s="99" t="s">
        <v>406</v>
      </c>
      <c r="G68" s="99">
        <v>35</v>
      </c>
      <c r="H68" s="99">
        <v>16</v>
      </c>
      <c r="I68" s="99">
        <v>124</v>
      </c>
      <c r="J68" s="99">
        <v>854</v>
      </c>
      <c r="K68" s="99">
        <v>747</v>
      </c>
      <c r="L68" s="99">
        <v>1739</v>
      </c>
      <c r="M68" s="99">
        <v>467</v>
      </c>
      <c r="N68" s="99">
        <v>318</v>
      </c>
      <c r="O68" s="99">
        <v>253</v>
      </c>
      <c r="P68" s="159">
        <v>253</v>
      </c>
      <c r="Q68" s="99">
        <v>19</v>
      </c>
      <c r="R68" s="99">
        <v>46</v>
      </c>
      <c r="S68" s="99">
        <v>61</v>
      </c>
      <c r="T68" s="99">
        <v>46</v>
      </c>
      <c r="U68" s="99" t="s">
        <v>676</v>
      </c>
      <c r="V68" s="99">
        <v>43</v>
      </c>
      <c r="W68" s="99">
        <v>91</v>
      </c>
      <c r="X68" s="99">
        <v>34</v>
      </c>
      <c r="Y68" s="99">
        <v>104</v>
      </c>
      <c r="Z68" s="99">
        <v>62</v>
      </c>
      <c r="AA68" s="99" t="s">
        <v>676</v>
      </c>
      <c r="AB68" s="99" t="s">
        <v>676</v>
      </c>
      <c r="AC68" s="99" t="s">
        <v>676</v>
      </c>
      <c r="AD68" s="98" t="s">
        <v>385</v>
      </c>
      <c r="AE68" s="100">
        <v>0.14881559560240282</v>
      </c>
      <c r="AF68" s="100">
        <v>0.1</v>
      </c>
      <c r="AG68" s="98">
        <v>396.69046809475236</v>
      </c>
      <c r="AH68" s="98">
        <v>181.3442139861725</v>
      </c>
      <c r="AI68" s="100">
        <v>0.013999999999999999</v>
      </c>
      <c r="AJ68" s="100">
        <v>0.809479</v>
      </c>
      <c r="AK68" s="100">
        <v>0.755308</v>
      </c>
      <c r="AL68" s="100">
        <v>0.743162</v>
      </c>
      <c r="AM68" s="100">
        <v>0.526494</v>
      </c>
      <c r="AN68" s="100">
        <v>0.612717</v>
      </c>
      <c r="AO68" s="98">
        <v>2867.505383656353</v>
      </c>
      <c r="AP68" s="158">
        <v>1.6053491210000002</v>
      </c>
      <c r="AQ68" s="100">
        <v>0.07509881422924901</v>
      </c>
      <c r="AR68" s="100">
        <v>0.41304347826086957</v>
      </c>
      <c r="AS68" s="98">
        <v>691.3748158222827</v>
      </c>
      <c r="AT68" s="98">
        <v>521.3646152102459</v>
      </c>
      <c r="AU68" s="98" t="s">
        <v>676</v>
      </c>
      <c r="AV68" s="98">
        <v>487.3625750878386</v>
      </c>
      <c r="AW68" s="98">
        <v>1031.395217046356</v>
      </c>
      <c r="AX68" s="98">
        <v>385.35645472061657</v>
      </c>
      <c r="AY68" s="98">
        <v>1178.7373909101213</v>
      </c>
      <c r="AZ68" s="98">
        <v>702.7088291964185</v>
      </c>
      <c r="BA68" s="100" t="s">
        <v>676</v>
      </c>
      <c r="BB68" s="100" t="s">
        <v>676</v>
      </c>
      <c r="BC68" s="100" t="s">
        <v>676</v>
      </c>
      <c r="BD68" s="158">
        <v>1.413611755</v>
      </c>
      <c r="BE68" s="158">
        <v>1.815838928</v>
      </c>
      <c r="BF68" s="162">
        <v>1055</v>
      </c>
      <c r="BG68" s="162">
        <v>989</v>
      </c>
      <c r="BH68" s="162">
        <v>2340</v>
      </c>
      <c r="BI68" s="162">
        <v>887</v>
      </c>
      <c r="BJ68" s="162">
        <v>519</v>
      </c>
      <c r="BK68" s="97"/>
      <c r="BL68" s="97"/>
      <c r="BM68" s="97"/>
      <c r="BN68" s="97"/>
    </row>
    <row r="69" spans="1:66" ht="12.75">
      <c r="A69" s="79" t="s">
        <v>640</v>
      </c>
      <c r="B69" s="79" t="s">
        <v>356</v>
      </c>
      <c r="C69" s="79" t="s">
        <v>272</v>
      </c>
      <c r="D69" s="99">
        <v>6899</v>
      </c>
      <c r="E69" s="99">
        <v>1312</v>
      </c>
      <c r="F69" s="99" t="s">
        <v>406</v>
      </c>
      <c r="G69" s="99">
        <v>46</v>
      </c>
      <c r="H69" s="99">
        <v>20</v>
      </c>
      <c r="I69" s="99">
        <v>126</v>
      </c>
      <c r="J69" s="99">
        <v>729</v>
      </c>
      <c r="K69" s="99">
        <v>720</v>
      </c>
      <c r="L69" s="99">
        <v>1334</v>
      </c>
      <c r="M69" s="99">
        <v>453</v>
      </c>
      <c r="N69" s="99">
        <v>279</v>
      </c>
      <c r="O69" s="99">
        <v>155</v>
      </c>
      <c r="P69" s="159">
        <v>155</v>
      </c>
      <c r="Q69" s="99">
        <v>9</v>
      </c>
      <c r="R69" s="99">
        <v>30</v>
      </c>
      <c r="S69" s="99">
        <v>29</v>
      </c>
      <c r="T69" s="99">
        <v>30</v>
      </c>
      <c r="U69" s="99" t="s">
        <v>676</v>
      </c>
      <c r="V69" s="99">
        <v>25</v>
      </c>
      <c r="W69" s="99">
        <v>59</v>
      </c>
      <c r="X69" s="99">
        <v>29</v>
      </c>
      <c r="Y69" s="99">
        <v>106</v>
      </c>
      <c r="Z69" s="99">
        <v>32</v>
      </c>
      <c r="AA69" s="99" t="s">
        <v>676</v>
      </c>
      <c r="AB69" s="99" t="s">
        <v>676</v>
      </c>
      <c r="AC69" s="99" t="s">
        <v>676</v>
      </c>
      <c r="AD69" s="98" t="s">
        <v>385</v>
      </c>
      <c r="AE69" s="100">
        <v>0.1901724887664879</v>
      </c>
      <c r="AF69" s="100">
        <v>0.1</v>
      </c>
      <c r="AG69" s="98">
        <v>666.7632990288448</v>
      </c>
      <c r="AH69" s="98">
        <v>289.89708653428033</v>
      </c>
      <c r="AI69" s="100">
        <v>0.018000000000000002</v>
      </c>
      <c r="AJ69" s="100">
        <v>0.791531</v>
      </c>
      <c r="AK69" s="100">
        <v>0.794702</v>
      </c>
      <c r="AL69" s="100">
        <v>0.793575</v>
      </c>
      <c r="AM69" s="100">
        <v>0.528588</v>
      </c>
      <c r="AN69" s="100">
        <v>0.575258</v>
      </c>
      <c r="AO69" s="98">
        <v>2246.7024206406727</v>
      </c>
      <c r="AP69" s="158">
        <v>1.113410339</v>
      </c>
      <c r="AQ69" s="100">
        <v>0.05806451612903226</v>
      </c>
      <c r="AR69" s="100">
        <v>0.3</v>
      </c>
      <c r="AS69" s="98">
        <v>420.3507754747065</v>
      </c>
      <c r="AT69" s="98">
        <v>434.8456298014205</v>
      </c>
      <c r="AU69" s="98" t="s">
        <v>676</v>
      </c>
      <c r="AV69" s="98">
        <v>362.3713581678504</v>
      </c>
      <c r="AW69" s="98">
        <v>855.1964052761269</v>
      </c>
      <c r="AX69" s="98">
        <v>420.3507754747065</v>
      </c>
      <c r="AY69" s="98">
        <v>1536.4545586316858</v>
      </c>
      <c r="AZ69" s="98">
        <v>463.8353384548485</v>
      </c>
      <c r="BA69" s="100" t="s">
        <v>676</v>
      </c>
      <c r="BB69" s="100" t="s">
        <v>676</v>
      </c>
      <c r="BC69" s="100" t="s">
        <v>676</v>
      </c>
      <c r="BD69" s="158">
        <v>0.9450278473</v>
      </c>
      <c r="BE69" s="158">
        <v>1.3031419370000001</v>
      </c>
      <c r="BF69" s="162">
        <v>921</v>
      </c>
      <c r="BG69" s="162">
        <v>906</v>
      </c>
      <c r="BH69" s="162">
        <v>1681</v>
      </c>
      <c r="BI69" s="162">
        <v>857</v>
      </c>
      <c r="BJ69" s="162">
        <v>485</v>
      </c>
      <c r="BK69" s="97"/>
      <c r="BL69" s="97"/>
      <c r="BM69" s="97"/>
      <c r="BN69" s="97"/>
    </row>
    <row r="70" spans="1:66" ht="12.75">
      <c r="A70" s="79" t="s">
        <v>656</v>
      </c>
      <c r="B70" s="79" t="s">
        <v>372</v>
      </c>
      <c r="C70" s="79" t="s">
        <v>272</v>
      </c>
      <c r="D70" s="99">
        <v>2346</v>
      </c>
      <c r="E70" s="99">
        <v>518</v>
      </c>
      <c r="F70" s="99" t="s">
        <v>406</v>
      </c>
      <c r="G70" s="99">
        <v>13</v>
      </c>
      <c r="H70" s="99">
        <v>8</v>
      </c>
      <c r="I70" s="99">
        <v>42</v>
      </c>
      <c r="J70" s="99">
        <v>248</v>
      </c>
      <c r="K70" s="99">
        <v>13</v>
      </c>
      <c r="L70" s="99">
        <v>443</v>
      </c>
      <c r="M70" s="99">
        <v>191</v>
      </c>
      <c r="N70" s="99">
        <v>128</v>
      </c>
      <c r="O70" s="99">
        <v>65</v>
      </c>
      <c r="P70" s="159">
        <v>65</v>
      </c>
      <c r="Q70" s="99">
        <v>7</v>
      </c>
      <c r="R70" s="99">
        <v>11</v>
      </c>
      <c r="S70" s="99">
        <v>12</v>
      </c>
      <c r="T70" s="99">
        <v>15</v>
      </c>
      <c r="U70" s="99" t="s">
        <v>676</v>
      </c>
      <c r="V70" s="99">
        <v>8</v>
      </c>
      <c r="W70" s="99">
        <v>22</v>
      </c>
      <c r="X70" s="99" t="s">
        <v>676</v>
      </c>
      <c r="Y70" s="99">
        <v>36</v>
      </c>
      <c r="Z70" s="99">
        <v>12</v>
      </c>
      <c r="AA70" s="99" t="s">
        <v>676</v>
      </c>
      <c r="AB70" s="99" t="s">
        <v>676</v>
      </c>
      <c r="AC70" s="99" t="s">
        <v>676</v>
      </c>
      <c r="AD70" s="98" t="s">
        <v>385</v>
      </c>
      <c r="AE70" s="100">
        <v>0.2208013640238704</v>
      </c>
      <c r="AF70" s="100">
        <v>0.1</v>
      </c>
      <c r="AG70" s="98">
        <v>554.1346973572038</v>
      </c>
      <c r="AH70" s="98">
        <v>341.00596760443307</v>
      </c>
      <c r="AI70" s="100">
        <v>0.018000000000000002</v>
      </c>
      <c r="AJ70" s="100">
        <v>0.753799</v>
      </c>
      <c r="AK70" s="100">
        <v>0.764706</v>
      </c>
      <c r="AL70" s="100">
        <v>0.802536</v>
      </c>
      <c r="AM70" s="100">
        <v>0.536517</v>
      </c>
      <c r="AN70" s="100">
        <v>0.595349</v>
      </c>
      <c r="AO70" s="98">
        <v>2770.6734867860187</v>
      </c>
      <c r="AP70" s="158">
        <v>1.269389648</v>
      </c>
      <c r="AQ70" s="100">
        <v>0.1076923076923077</v>
      </c>
      <c r="AR70" s="100">
        <v>0.6363636363636364</v>
      </c>
      <c r="AS70" s="98">
        <v>511.5089514066496</v>
      </c>
      <c r="AT70" s="98">
        <v>639.386189258312</v>
      </c>
      <c r="AU70" s="98" t="s">
        <v>676</v>
      </c>
      <c r="AV70" s="98">
        <v>341.00596760443307</v>
      </c>
      <c r="AW70" s="98">
        <v>937.766410912191</v>
      </c>
      <c r="AX70" s="98" t="s">
        <v>676</v>
      </c>
      <c r="AY70" s="98">
        <v>1534.5268542199487</v>
      </c>
      <c r="AZ70" s="98">
        <v>511.5089514066496</v>
      </c>
      <c r="BA70" s="100" t="s">
        <v>676</v>
      </c>
      <c r="BB70" s="100" t="s">
        <v>676</v>
      </c>
      <c r="BC70" s="100" t="s">
        <v>676</v>
      </c>
      <c r="BD70" s="158">
        <v>0.9796881866</v>
      </c>
      <c r="BE70" s="158">
        <v>1.617941284</v>
      </c>
      <c r="BF70" s="162">
        <v>329</v>
      </c>
      <c r="BG70" s="162">
        <v>17</v>
      </c>
      <c r="BH70" s="162">
        <v>552</v>
      </c>
      <c r="BI70" s="162">
        <v>356</v>
      </c>
      <c r="BJ70" s="162">
        <v>215</v>
      </c>
      <c r="BK70" s="97"/>
      <c r="BL70" s="97"/>
      <c r="BM70" s="97"/>
      <c r="BN70" s="97"/>
    </row>
    <row r="71" spans="1:66" ht="12.75">
      <c r="A71" s="79" t="s">
        <v>599</v>
      </c>
      <c r="B71" s="79" t="s">
        <v>314</v>
      </c>
      <c r="C71" s="79" t="s">
        <v>272</v>
      </c>
      <c r="D71" s="99">
        <v>11154</v>
      </c>
      <c r="E71" s="99">
        <v>3009</v>
      </c>
      <c r="F71" s="99" t="s">
        <v>407</v>
      </c>
      <c r="G71" s="99">
        <v>89</v>
      </c>
      <c r="H71" s="99">
        <v>46</v>
      </c>
      <c r="I71" s="99">
        <v>196</v>
      </c>
      <c r="J71" s="99">
        <v>1299</v>
      </c>
      <c r="K71" s="99">
        <v>49</v>
      </c>
      <c r="L71" s="99">
        <v>1916</v>
      </c>
      <c r="M71" s="99">
        <v>1028</v>
      </c>
      <c r="N71" s="99">
        <v>646</v>
      </c>
      <c r="O71" s="99">
        <v>310</v>
      </c>
      <c r="P71" s="159">
        <v>310</v>
      </c>
      <c r="Q71" s="99">
        <v>38</v>
      </c>
      <c r="R71" s="99">
        <v>77</v>
      </c>
      <c r="S71" s="99">
        <v>41</v>
      </c>
      <c r="T71" s="99">
        <v>82</v>
      </c>
      <c r="U71" s="99">
        <v>18</v>
      </c>
      <c r="V71" s="99">
        <v>17</v>
      </c>
      <c r="W71" s="99">
        <v>86</v>
      </c>
      <c r="X71" s="99">
        <v>96</v>
      </c>
      <c r="Y71" s="99">
        <v>131</v>
      </c>
      <c r="Z71" s="99">
        <v>89</v>
      </c>
      <c r="AA71" s="99" t="s">
        <v>676</v>
      </c>
      <c r="AB71" s="99" t="s">
        <v>676</v>
      </c>
      <c r="AC71" s="99" t="s">
        <v>676</v>
      </c>
      <c r="AD71" s="98" t="s">
        <v>385</v>
      </c>
      <c r="AE71" s="100">
        <v>0.26976869284561594</v>
      </c>
      <c r="AF71" s="100">
        <v>0.14</v>
      </c>
      <c r="AG71" s="98">
        <v>797.9200286892594</v>
      </c>
      <c r="AH71" s="98">
        <v>412.40810471579704</v>
      </c>
      <c r="AI71" s="100">
        <v>0.018000000000000002</v>
      </c>
      <c r="AJ71" s="100">
        <v>0.71768</v>
      </c>
      <c r="AK71" s="100">
        <v>0.466667</v>
      </c>
      <c r="AL71" s="100">
        <v>0.767014</v>
      </c>
      <c r="AM71" s="100">
        <v>0.54334</v>
      </c>
      <c r="AN71" s="100">
        <v>0.610009</v>
      </c>
      <c r="AO71" s="98">
        <v>2779.2720100412407</v>
      </c>
      <c r="AP71" s="158">
        <v>1.165594177</v>
      </c>
      <c r="AQ71" s="100">
        <v>0.12258064516129032</v>
      </c>
      <c r="AR71" s="100">
        <v>0.4935064935064935</v>
      </c>
      <c r="AS71" s="98">
        <v>367.58113681190605</v>
      </c>
      <c r="AT71" s="98">
        <v>735.1622736238121</v>
      </c>
      <c r="AU71" s="98">
        <v>161.37708445400753</v>
      </c>
      <c r="AV71" s="98">
        <v>152.41169087322933</v>
      </c>
      <c r="AW71" s="98">
        <v>771.0238479469249</v>
      </c>
      <c r="AX71" s="98">
        <v>860.6777837547069</v>
      </c>
      <c r="AY71" s="98">
        <v>1174.4665590819436</v>
      </c>
      <c r="AZ71" s="98">
        <v>797.9200286892594</v>
      </c>
      <c r="BA71" s="100" t="s">
        <v>676</v>
      </c>
      <c r="BB71" s="100" t="s">
        <v>676</v>
      </c>
      <c r="BC71" s="100" t="s">
        <v>676</v>
      </c>
      <c r="BD71" s="158">
        <v>1.039439163</v>
      </c>
      <c r="BE71" s="158">
        <v>1.302839203</v>
      </c>
      <c r="BF71" s="162">
        <v>1810</v>
      </c>
      <c r="BG71" s="162">
        <v>105</v>
      </c>
      <c r="BH71" s="162">
        <v>2498</v>
      </c>
      <c r="BI71" s="162">
        <v>1892</v>
      </c>
      <c r="BJ71" s="162">
        <v>1059</v>
      </c>
      <c r="BK71" s="97"/>
      <c r="BL71" s="97"/>
      <c r="BM71" s="97"/>
      <c r="BN71" s="97"/>
    </row>
    <row r="72" spans="1:66" ht="12.75">
      <c r="A72" s="79" t="s">
        <v>607</v>
      </c>
      <c r="B72" s="79" t="s">
        <v>322</v>
      </c>
      <c r="C72" s="79" t="s">
        <v>272</v>
      </c>
      <c r="D72" s="99">
        <v>10332</v>
      </c>
      <c r="E72" s="99">
        <v>2572</v>
      </c>
      <c r="F72" s="99" t="s">
        <v>406</v>
      </c>
      <c r="G72" s="99">
        <v>61</v>
      </c>
      <c r="H72" s="99">
        <v>20</v>
      </c>
      <c r="I72" s="99">
        <v>294</v>
      </c>
      <c r="J72" s="99">
        <v>1155</v>
      </c>
      <c r="K72" s="99">
        <v>9</v>
      </c>
      <c r="L72" s="99">
        <v>1903</v>
      </c>
      <c r="M72" s="99">
        <v>904</v>
      </c>
      <c r="N72" s="99">
        <v>464</v>
      </c>
      <c r="O72" s="99">
        <v>294</v>
      </c>
      <c r="P72" s="159">
        <v>294</v>
      </c>
      <c r="Q72" s="99">
        <v>39</v>
      </c>
      <c r="R72" s="99">
        <v>73</v>
      </c>
      <c r="S72" s="99">
        <v>49</v>
      </c>
      <c r="T72" s="99">
        <v>46</v>
      </c>
      <c r="U72" s="99">
        <v>8</v>
      </c>
      <c r="V72" s="99">
        <v>74</v>
      </c>
      <c r="W72" s="99">
        <v>10</v>
      </c>
      <c r="X72" s="99">
        <v>19</v>
      </c>
      <c r="Y72" s="99">
        <v>33</v>
      </c>
      <c r="Z72" s="99">
        <v>48</v>
      </c>
      <c r="AA72" s="99" t="s">
        <v>676</v>
      </c>
      <c r="AB72" s="99" t="s">
        <v>676</v>
      </c>
      <c r="AC72" s="99" t="s">
        <v>676</v>
      </c>
      <c r="AD72" s="98" t="s">
        <v>385</v>
      </c>
      <c r="AE72" s="100">
        <v>0.2489353464963221</v>
      </c>
      <c r="AF72" s="100">
        <v>0.11</v>
      </c>
      <c r="AG72" s="98">
        <v>590.3987611304684</v>
      </c>
      <c r="AH72" s="98">
        <v>193.57336430507164</v>
      </c>
      <c r="AI72" s="100">
        <v>0.027999999999999997</v>
      </c>
      <c r="AJ72" s="100">
        <v>0.726872</v>
      </c>
      <c r="AK72" s="100">
        <v>0.09375</v>
      </c>
      <c r="AL72" s="100">
        <v>0.779599</v>
      </c>
      <c r="AM72" s="100">
        <v>0.599867</v>
      </c>
      <c r="AN72" s="100">
        <v>0.626181</v>
      </c>
      <c r="AO72" s="98">
        <v>2845.528455284553</v>
      </c>
      <c r="AP72" s="158">
        <v>1.224750595</v>
      </c>
      <c r="AQ72" s="100">
        <v>0.1326530612244898</v>
      </c>
      <c r="AR72" s="100">
        <v>0.5342465753424658</v>
      </c>
      <c r="AS72" s="98">
        <v>474.25474254742545</v>
      </c>
      <c r="AT72" s="98">
        <v>445.2187379016647</v>
      </c>
      <c r="AU72" s="98">
        <v>77.42934572202864</v>
      </c>
      <c r="AV72" s="98">
        <v>716.221447928765</v>
      </c>
      <c r="AW72" s="98">
        <v>96.78668215253582</v>
      </c>
      <c r="AX72" s="98">
        <v>183.89469608981804</v>
      </c>
      <c r="AY72" s="98">
        <v>319.39605110336817</v>
      </c>
      <c r="AZ72" s="98">
        <v>464.5760743321719</v>
      </c>
      <c r="BA72" s="101" t="s">
        <v>676</v>
      </c>
      <c r="BB72" s="101" t="s">
        <v>676</v>
      </c>
      <c r="BC72" s="101" t="s">
        <v>676</v>
      </c>
      <c r="BD72" s="158">
        <v>1.088738937</v>
      </c>
      <c r="BE72" s="158">
        <v>1.37305542</v>
      </c>
      <c r="BF72" s="162">
        <v>1589</v>
      </c>
      <c r="BG72" s="162">
        <v>96</v>
      </c>
      <c r="BH72" s="162">
        <v>2441</v>
      </c>
      <c r="BI72" s="162">
        <v>1507</v>
      </c>
      <c r="BJ72" s="162">
        <v>741</v>
      </c>
      <c r="BK72" s="97"/>
      <c r="BL72" s="97"/>
      <c r="BM72" s="97"/>
      <c r="BN72" s="97"/>
    </row>
    <row r="73" spans="1:66" ht="12.75">
      <c r="A73" s="79" t="s">
        <v>623</v>
      </c>
      <c r="B73" s="79" t="s">
        <v>339</v>
      </c>
      <c r="C73" s="79" t="s">
        <v>272</v>
      </c>
      <c r="D73" s="99">
        <v>12189</v>
      </c>
      <c r="E73" s="99">
        <v>2703</v>
      </c>
      <c r="F73" s="99" t="s">
        <v>406</v>
      </c>
      <c r="G73" s="99">
        <v>65</v>
      </c>
      <c r="H73" s="99">
        <v>38</v>
      </c>
      <c r="I73" s="99">
        <v>232</v>
      </c>
      <c r="J73" s="99">
        <v>1327</v>
      </c>
      <c r="K73" s="99">
        <v>28</v>
      </c>
      <c r="L73" s="99">
        <v>2200</v>
      </c>
      <c r="M73" s="99">
        <v>897</v>
      </c>
      <c r="N73" s="99">
        <v>578</v>
      </c>
      <c r="O73" s="99">
        <v>250</v>
      </c>
      <c r="P73" s="159">
        <v>250</v>
      </c>
      <c r="Q73" s="99">
        <v>31</v>
      </c>
      <c r="R73" s="99">
        <v>70</v>
      </c>
      <c r="S73" s="99">
        <v>80</v>
      </c>
      <c r="T73" s="99">
        <v>42</v>
      </c>
      <c r="U73" s="99">
        <v>6</v>
      </c>
      <c r="V73" s="99">
        <v>42</v>
      </c>
      <c r="W73" s="99">
        <v>83</v>
      </c>
      <c r="X73" s="99">
        <v>26</v>
      </c>
      <c r="Y73" s="99">
        <v>138</v>
      </c>
      <c r="Z73" s="99">
        <v>93</v>
      </c>
      <c r="AA73" s="99" t="s">
        <v>676</v>
      </c>
      <c r="AB73" s="99" t="s">
        <v>676</v>
      </c>
      <c r="AC73" s="99" t="s">
        <v>676</v>
      </c>
      <c r="AD73" s="98" t="s">
        <v>385</v>
      </c>
      <c r="AE73" s="100">
        <v>0.2217573221757322</v>
      </c>
      <c r="AF73" s="100">
        <v>0.12</v>
      </c>
      <c r="AG73" s="98">
        <v>533.2677003855936</v>
      </c>
      <c r="AH73" s="98">
        <v>311.75650176388547</v>
      </c>
      <c r="AI73" s="100">
        <v>0.019</v>
      </c>
      <c r="AJ73" s="100">
        <v>0.750566</v>
      </c>
      <c r="AK73" s="100">
        <v>0.528302</v>
      </c>
      <c r="AL73" s="100">
        <v>0.784314</v>
      </c>
      <c r="AM73" s="100">
        <v>0.515814</v>
      </c>
      <c r="AN73" s="100">
        <v>0.582661</v>
      </c>
      <c r="AO73" s="98">
        <v>2051.0296168676678</v>
      </c>
      <c r="AP73" s="158">
        <v>0.9510447693</v>
      </c>
      <c r="AQ73" s="100">
        <v>0.124</v>
      </c>
      <c r="AR73" s="100">
        <v>0.44285714285714284</v>
      </c>
      <c r="AS73" s="98">
        <v>656.3294773976536</v>
      </c>
      <c r="AT73" s="98">
        <v>344.5729756337681</v>
      </c>
      <c r="AU73" s="98">
        <v>49.22471080482402</v>
      </c>
      <c r="AV73" s="98">
        <v>344.5729756337681</v>
      </c>
      <c r="AW73" s="98">
        <v>680.9418328000656</v>
      </c>
      <c r="AX73" s="98">
        <v>213.30708015423744</v>
      </c>
      <c r="AY73" s="98">
        <v>1132.1683485109525</v>
      </c>
      <c r="AZ73" s="98">
        <v>762.9830174747723</v>
      </c>
      <c r="BA73" s="100" t="s">
        <v>676</v>
      </c>
      <c r="BB73" s="100" t="s">
        <v>676</v>
      </c>
      <c r="BC73" s="100" t="s">
        <v>676</v>
      </c>
      <c r="BD73" s="158">
        <v>0.8367976379</v>
      </c>
      <c r="BE73" s="158">
        <v>1.076535873</v>
      </c>
      <c r="BF73" s="162">
        <v>1768</v>
      </c>
      <c r="BG73" s="162">
        <v>53</v>
      </c>
      <c r="BH73" s="162">
        <v>2805</v>
      </c>
      <c r="BI73" s="162">
        <v>1739</v>
      </c>
      <c r="BJ73" s="162">
        <v>992</v>
      </c>
      <c r="BK73" s="97"/>
      <c r="BL73" s="97"/>
      <c r="BM73" s="97"/>
      <c r="BN73" s="97"/>
    </row>
    <row r="74" spans="1:66" ht="12.75">
      <c r="A74" s="79" t="s">
        <v>665</v>
      </c>
      <c r="B74" s="79" t="s">
        <v>382</v>
      </c>
      <c r="C74" s="79" t="s">
        <v>272</v>
      </c>
      <c r="D74" s="99">
        <v>1545</v>
      </c>
      <c r="E74" s="99">
        <v>242</v>
      </c>
      <c r="F74" s="99" t="s">
        <v>406</v>
      </c>
      <c r="G74" s="99" t="s">
        <v>676</v>
      </c>
      <c r="H74" s="99">
        <v>6</v>
      </c>
      <c r="I74" s="99">
        <v>17</v>
      </c>
      <c r="J74" s="99">
        <v>147</v>
      </c>
      <c r="K74" s="99">
        <v>14</v>
      </c>
      <c r="L74" s="99">
        <v>276</v>
      </c>
      <c r="M74" s="99">
        <v>110</v>
      </c>
      <c r="N74" s="99">
        <v>68</v>
      </c>
      <c r="O74" s="99">
        <v>22</v>
      </c>
      <c r="P74" s="159">
        <v>22</v>
      </c>
      <c r="Q74" s="99" t="s">
        <v>676</v>
      </c>
      <c r="R74" s="99" t="s">
        <v>676</v>
      </c>
      <c r="S74" s="99" t="s">
        <v>676</v>
      </c>
      <c r="T74" s="99">
        <v>6</v>
      </c>
      <c r="U74" s="99" t="s">
        <v>676</v>
      </c>
      <c r="V74" s="99" t="s">
        <v>676</v>
      </c>
      <c r="W74" s="99">
        <v>10</v>
      </c>
      <c r="X74" s="99" t="s">
        <v>676</v>
      </c>
      <c r="Y74" s="99">
        <v>8</v>
      </c>
      <c r="Z74" s="99">
        <v>8</v>
      </c>
      <c r="AA74" s="99" t="s">
        <v>676</v>
      </c>
      <c r="AB74" s="99" t="s">
        <v>676</v>
      </c>
      <c r="AC74" s="99" t="s">
        <v>676</v>
      </c>
      <c r="AD74" s="98" t="s">
        <v>385</v>
      </c>
      <c r="AE74" s="100">
        <v>0.15663430420711974</v>
      </c>
      <c r="AF74" s="100">
        <v>0.12</v>
      </c>
      <c r="AG74" s="98" t="s">
        <v>676</v>
      </c>
      <c r="AH74" s="98">
        <v>388.3495145631068</v>
      </c>
      <c r="AI74" s="100">
        <v>0.011000000000000001</v>
      </c>
      <c r="AJ74" s="100">
        <v>0.742424</v>
      </c>
      <c r="AK74" s="100">
        <v>0.823529</v>
      </c>
      <c r="AL74" s="100">
        <v>0.686567</v>
      </c>
      <c r="AM74" s="100">
        <v>0.617978</v>
      </c>
      <c r="AN74" s="100">
        <v>0.68</v>
      </c>
      <c r="AO74" s="98">
        <v>1423.9482200647249</v>
      </c>
      <c r="AP74" s="158">
        <v>0.8028521729000001</v>
      </c>
      <c r="AQ74" s="100" t="s">
        <v>676</v>
      </c>
      <c r="AR74" s="100" t="s">
        <v>676</v>
      </c>
      <c r="AS74" s="98" t="s">
        <v>676</v>
      </c>
      <c r="AT74" s="98">
        <v>388.3495145631068</v>
      </c>
      <c r="AU74" s="98" t="s">
        <v>676</v>
      </c>
      <c r="AV74" s="98" t="s">
        <v>676</v>
      </c>
      <c r="AW74" s="98">
        <v>647.2491909385113</v>
      </c>
      <c r="AX74" s="98" t="s">
        <v>676</v>
      </c>
      <c r="AY74" s="98">
        <v>517.799352750809</v>
      </c>
      <c r="AZ74" s="98">
        <v>517.799352750809</v>
      </c>
      <c r="BA74" s="100" t="s">
        <v>676</v>
      </c>
      <c r="BB74" s="100" t="s">
        <v>676</v>
      </c>
      <c r="BC74" s="100" t="s">
        <v>676</v>
      </c>
      <c r="BD74" s="158">
        <v>0.5031431961</v>
      </c>
      <c r="BE74" s="158">
        <v>1.215527878</v>
      </c>
      <c r="BF74" s="162">
        <v>198</v>
      </c>
      <c r="BG74" s="162">
        <v>17</v>
      </c>
      <c r="BH74" s="162">
        <v>402</v>
      </c>
      <c r="BI74" s="162">
        <v>178</v>
      </c>
      <c r="BJ74" s="162">
        <v>100</v>
      </c>
      <c r="BK74" s="97"/>
      <c r="BL74" s="97"/>
      <c r="BM74" s="97"/>
      <c r="BN74" s="97"/>
    </row>
    <row r="75" spans="1:66" ht="12.75">
      <c r="A75" s="79" t="s">
        <v>591</v>
      </c>
      <c r="B75" s="79" t="s">
        <v>305</v>
      </c>
      <c r="C75" s="79" t="s">
        <v>272</v>
      </c>
      <c r="D75" s="99">
        <v>9289</v>
      </c>
      <c r="E75" s="99">
        <v>1876</v>
      </c>
      <c r="F75" s="99" t="s">
        <v>406</v>
      </c>
      <c r="G75" s="99">
        <v>43</v>
      </c>
      <c r="H75" s="99">
        <v>25</v>
      </c>
      <c r="I75" s="99">
        <v>149</v>
      </c>
      <c r="J75" s="99">
        <v>893</v>
      </c>
      <c r="K75" s="99">
        <v>359</v>
      </c>
      <c r="L75" s="99">
        <v>1773</v>
      </c>
      <c r="M75" s="99">
        <v>605</v>
      </c>
      <c r="N75" s="99">
        <v>406</v>
      </c>
      <c r="O75" s="99">
        <v>173</v>
      </c>
      <c r="P75" s="159">
        <v>173</v>
      </c>
      <c r="Q75" s="99">
        <v>22</v>
      </c>
      <c r="R75" s="99">
        <v>44</v>
      </c>
      <c r="S75" s="99">
        <v>56</v>
      </c>
      <c r="T75" s="99">
        <v>34</v>
      </c>
      <c r="U75" s="99">
        <v>6</v>
      </c>
      <c r="V75" s="99">
        <v>18</v>
      </c>
      <c r="W75" s="99">
        <v>54</v>
      </c>
      <c r="X75" s="99">
        <v>34</v>
      </c>
      <c r="Y75" s="99">
        <v>106</v>
      </c>
      <c r="Z75" s="99">
        <v>54</v>
      </c>
      <c r="AA75" s="99" t="s">
        <v>676</v>
      </c>
      <c r="AB75" s="99" t="s">
        <v>676</v>
      </c>
      <c r="AC75" s="99" t="s">
        <v>676</v>
      </c>
      <c r="AD75" s="98" t="s">
        <v>385</v>
      </c>
      <c r="AE75" s="100">
        <v>0.20195930670685758</v>
      </c>
      <c r="AF75" s="100">
        <v>0.09</v>
      </c>
      <c r="AG75" s="98">
        <v>462.9131230487674</v>
      </c>
      <c r="AH75" s="98">
        <v>269.1355366562601</v>
      </c>
      <c r="AI75" s="100">
        <v>0.016</v>
      </c>
      <c r="AJ75" s="100">
        <v>0.724838</v>
      </c>
      <c r="AK75" s="100">
        <v>0.780435</v>
      </c>
      <c r="AL75" s="100">
        <v>0.768198</v>
      </c>
      <c r="AM75" s="100">
        <v>0.529309</v>
      </c>
      <c r="AN75" s="100">
        <v>0.607784</v>
      </c>
      <c r="AO75" s="98">
        <v>1862.4179136613197</v>
      </c>
      <c r="AP75" s="158">
        <v>0.8984626007</v>
      </c>
      <c r="AQ75" s="100">
        <v>0.12716763005780346</v>
      </c>
      <c r="AR75" s="100">
        <v>0.5</v>
      </c>
      <c r="AS75" s="98">
        <v>602.8636021100226</v>
      </c>
      <c r="AT75" s="98">
        <v>366.02432985251374</v>
      </c>
      <c r="AU75" s="98">
        <v>64.59252879750242</v>
      </c>
      <c r="AV75" s="98">
        <v>193.77758639250726</v>
      </c>
      <c r="AW75" s="98">
        <v>581.3327591775218</v>
      </c>
      <c r="AX75" s="98">
        <v>366.02432985251374</v>
      </c>
      <c r="AY75" s="98">
        <v>1141.1346754225428</v>
      </c>
      <c r="AZ75" s="98">
        <v>581.3327591775218</v>
      </c>
      <c r="BA75" s="100" t="s">
        <v>676</v>
      </c>
      <c r="BB75" s="100" t="s">
        <v>676</v>
      </c>
      <c r="BC75" s="100" t="s">
        <v>676</v>
      </c>
      <c r="BD75" s="158">
        <v>0.7695644379</v>
      </c>
      <c r="BE75" s="158">
        <v>1.042774582</v>
      </c>
      <c r="BF75" s="162">
        <v>1232</v>
      </c>
      <c r="BG75" s="162">
        <v>460</v>
      </c>
      <c r="BH75" s="162">
        <v>2308</v>
      </c>
      <c r="BI75" s="162">
        <v>1143</v>
      </c>
      <c r="BJ75" s="162">
        <v>668</v>
      </c>
      <c r="BK75" s="97"/>
      <c r="BL75" s="97"/>
      <c r="BM75" s="97"/>
      <c r="BN75" s="97"/>
    </row>
    <row r="76" spans="1:66" ht="12.75">
      <c r="A76" s="79" t="s">
        <v>571</v>
      </c>
      <c r="B76" s="79" t="s">
        <v>283</v>
      </c>
      <c r="C76" s="79" t="s">
        <v>272</v>
      </c>
      <c r="D76" s="99">
        <v>7769</v>
      </c>
      <c r="E76" s="99">
        <v>1278</v>
      </c>
      <c r="F76" s="99" t="s">
        <v>407</v>
      </c>
      <c r="G76" s="99">
        <v>50</v>
      </c>
      <c r="H76" s="99">
        <v>12</v>
      </c>
      <c r="I76" s="99">
        <v>112</v>
      </c>
      <c r="J76" s="99">
        <v>681</v>
      </c>
      <c r="K76" s="99">
        <v>11</v>
      </c>
      <c r="L76" s="99">
        <v>1497</v>
      </c>
      <c r="M76" s="99">
        <v>430</v>
      </c>
      <c r="N76" s="99">
        <v>291</v>
      </c>
      <c r="O76" s="99">
        <v>216</v>
      </c>
      <c r="P76" s="159">
        <v>216</v>
      </c>
      <c r="Q76" s="99">
        <v>12</v>
      </c>
      <c r="R76" s="99">
        <v>30</v>
      </c>
      <c r="S76" s="99">
        <v>41</v>
      </c>
      <c r="T76" s="99">
        <v>41</v>
      </c>
      <c r="U76" s="99">
        <v>6</v>
      </c>
      <c r="V76" s="99">
        <v>30</v>
      </c>
      <c r="W76" s="99">
        <v>49</v>
      </c>
      <c r="X76" s="99">
        <v>45</v>
      </c>
      <c r="Y76" s="99">
        <v>93</v>
      </c>
      <c r="Z76" s="99">
        <v>35</v>
      </c>
      <c r="AA76" s="99" t="s">
        <v>676</v>
      </c>
      <c r="AB76" s="99" t="s">
        <v>676</v>
      </c>
      <c r="AC76" s="99" t="s">
        <v>676</v>
      </c>
      <c r="AD76" s="98" t="s">
        <v>385</v>
      </c>
      <c r="AE76" s="100">
        <v>0.16449993564165272</v>
      </c>
      <c r="AF76" s="100">
        <v>0.16</v>
      </c>
      <c r="AG76" s="98">
        <v>643.5834727764191</v>
      </c>
      <c r="AH76" s="98">
        <v>154.46003346634058</v>
      </c>
      <c r="AI76" s="100">
        <v>0.013999999999999999</v>
      </c>
      <c r="AJ76" s="100">
        <v>0.699179</v>
      </c>
      <c r="AK76" s="100">
        <v>0.37931</v>
      </c>
      <c r="AL76" s="100">
        <v>0.785414</v>
      </c>
      <c r="AM76" s="100">
        <v>0.475138</v>
      </c>
      <c r="AN76" s="100">
        <v>0.540892</v>
      </c>
      <c r="AO76" s="98">
        <v>2780.2806023941307</v>
      </c>
      <c r="AP76" s="158">
        <v>1.503430176</v>
      </c>
      <c r="AQ76" s="100">
        <v>0.05555555555555555</v>
      </c>
      <c r="AR76" s="100">
        <v>0.4</v>
      </c>
      <c r="AS76" s="98">
        <v>527.7384476766637</v>
      </c>
      <c r="AT76" s="98">
        <v>527.7384476766637</v>
      </c>
      <c r="AU76" s="98">
        <v>77.23001673317029</v>
      </c>
      <c r="AV76" s="98">
        <v>386.15008366585147</v>
      </c>
      <c r="AW76" s="98">
        <v>630.7118033208907</v>
      </c>
      <c r="AX76" s="98">
        <v>579.2251254987772</v>
      </c>
      <c r="AY76" s="98">
        <v>1197.0652593641396</v>
      </c>
      <c r="AZ76" s="98">
        <v>450.50843094349335</v>
      </c>
      <c r="BA76" s="100" t="s">
        <v>676</v>
      </c>
      <c r="BB76" s="100" t="s">
        <v>676</v>
      </c>
      <c r="BC76" s="100" t="s">
        <v>676</v>
      </c>
      <c r="BD76" s="158">
        <v>1.309606323</v>
      </c>
      <c r="BE76" s="158">
        <v>1.717858582</v>
      </c>
      <c r="BF76" s="162">
        <v>974</v>
      </c>
      <c r="BG76" s="162">
        <v>29</v>
      </c>
      <c r="BH76" s="162">
        <v>1906</v>
      </c>
      <c r="BI76" s="162">
        <v>905</v>
      </c>
      <c r="BJ76" s="162">
        <v>538</v>
      </c>
      <c r="BK76" s="97"/>
      <c r="BL76" s="97"/>
      <c r="BM76" s="97"/>
      <c r="BN76" s="97"/>
    </row>
    <row r="77" spans="1:66" ht="12.75">
      <c r="A77" s="79" t="s">
        <v>654</v>
      </c>
      <c r="B77" s="79" t="s">
        <v>370</v>
      </c>
      <c r="C77" s="79" t="s">
        <v>272</v>
      </c>
      <c r="D77" s="99">
        <v>4084</v>
      </c>
      <c r="E77" s="99">
        <v>835</v>
      </c>
      <c r="F77" s="99" t="s">
        <v>406</v>
      </c>
      <c r="G77" s="99">
        <v>29</v>
      </c>
      <c r="H77" s="99">
        <v>14</v>
      </c>
      <c r="I77" s="99">
        <v>83</v>
      </c>
      <c r="J77" s="99">
        <v>510</v>
      </c>
      <c r="K77" s="99">
        <v>10</v>
      </c>
      <c r="L77" s="99">
        <v>844</v>
      </c>
      <c r="M77" s="99">
        <v>321</v>
      </c>
      <c r="N77" s="99">
        <v>186</v>
      </c>
      <c r="O77" s="99">
        <v>73</v>
      </c>
      <c r="P77" s="159">
        <v>73</v>
      </c>
      <c r="Q77" s="99">
        <v>14</v>
      </c>
      <c r="R77" s="99">
        <v>32</v>
      </c>
      <c r="S77" s="99">
        <v>13</v>
      </c>
      <c r="T77" s="99">
        <v>17</v>
      </c>
      <c r="U77" s="99" t="s">
        <v>676</v>
      </c>
      <c r="V77" s="99">
        <v>18</v>
      </c>
      <c r="W77" s="99">
        <v>45</v>
      </c>
      <c r="X77" s="99">
        <v>14</v>
      </c>
      <c r="Y77" s="99">
        <v>45</v>
      </c>
      <c r="Z77" s="99">
        <v>28</v>
      </c>
      <c r="AA77" s="99" t="s">
        <v>676</v>
      </c>
      <c r="AB77" s="99" t="s">
        <v>676</v>
      </c>
      <c r="AC77" s="99" t="s">
        <v>676</v>
      </c>
      <c r="AD77" s="98" t="s">
        <v>385</v>
      </c>
      <c r="AE77" s="100">
        <v>0.2044564152791381</v>
      </c>
      <c r="AF77" s="100">
        <v>0.09</v>
      </c>
      <c r="AG77" s="98">
        <v>710.0881488736533</v>
      </c>
      <c r="AH77" s="98">
        <v>342.80117531831536</v>
      </c>
      <c r="AI77" s="100">
        <v>0.02</v>
      </c>
      <c r="AJ77" s="100">
        <v>0.852843</v>
      </c>
      <c r="AK77" s="100">
        <v>0.714286</v>
      </c>
      <c r="AL77" s="100">
        <v>0.839801</v>
      </c>
      <c r="AM77" s="100">
        <v>0.6</v>
      </c>
      <c r="AN77" s="100">
        <v>0.659574</v>
      </c>
      <c r="AO77" s="98">
        <v>1787.4632713026444</v>
      </c>
      <c r="AP77" s="158">
        <v>0.8421533966</v>
      </c>
      <c r="AQ77" s="100">
        <v>0.1917808219178082</v>
      </c>
      <c r="AR77" s="100">
        <v>0.4375</v>
      </c>
      <c r="AS77" s="98">
        <v>318.31537708129287</v>
      </c>
      <c r="AT77" s="98">
        <v>416.25857002938295</v>
      </c>
      <c r="AU77" s="98" t="s">
        <v>676</v>
      </c>
      <c r="AV77" s="98">
        <v>440.7443682664055</v>
      </c>
      <c r="AW77" s="98">
        <v>1101.8609206660137</v>
      </c>
      <c r="AX77" s="98">
        <v>342.80117531831536</v>
      </c>
      <c r="AY77" s="98">
        <v>1101.8609206660137</v>
      </c>
      <c r="AZ77" s="98">
        <v>685.6023506366307</v>
      </c>
      <c r="BA77" s="100" t="s">
        <v>676</v>
      </c>
      <c r="BB77" s="100" t="s">
        <v>676</v>
      </c>
      <c r="BC77" s="100" t="s">
        <v>676</v>
      </c>
      <c r="BD77" s="158">
        <v>0.6601138306</v>
      </c>
      <c r="BE77" s="158">
        <v>1.058881454</v>
      </c>
      <c r="BF77" s="162">
        <v>598</v>
      </c>
      <c r="BG77" s="162">
        <v>14</v>
      </c>
      <c r="BH77" s="162">
        <v>1005</v>
      </c>
      <c r="BI77" s="162">
        <v>535</v>
      </c>
      <c r="BJ77" s="162">
        <v>282</v>
      </c>
      <c r="BK77" s="97"/>
      <c r="BL77" s="97"/>
      <c r="BM77" s="97"/>
      <c r="BN77" s="97"/>
    </row>
    <row r="78" spans="1:66" ht="12.75">
      <c r="A78" s="79" t="s">
        <v>624</v>
      </c>
      <c r="B78" s="79" t="s">
        <v>340</v>
      </c>
      <c r="C78" s="79" t="s">
        <v>272</v>
      </c>
      <c r="D78" s="99">
        <v>4332</v>
      </c>
      <c r="E78" s="99">
        <v>1292</v>
      </c>
      <c r="F78" s="99" t="s">
        <v>406</v>
      </c>
      <c r="G78" s="99">
        <v>25</v>
      </c>
      <c r="H78" s="99">
        <v>12</v>
      </c>
      <c r="I78" s="99">
        <v>162</v>
      </c>
      <c r="J78" s="99">
        <v>583</v>
      </c>
      <c r="K78" s="99">
        <v>10</v>
      </c>
      <c r="L78" s="99">
        <v>781</v>
      </c>
      <c r="M78" s="99">
        <v>498</v>
      </c>
      <c r="N78" s="99">
        <v>265</v>
      </c>
      <c r="O78" s="99">
        <v>171</v>
      </c>
      <c r="P78" s="159">
        <v>171</v>
      </c>
      <c r="Q78" s="99">
        <v>23</v>
      </c>
      <c r="R78" s="99">
        <v>44</v>
      </c>
      <c r="S78" s="99">
        <v>35</v>
      </c>
      <c r="T78" s="99">
        <v>28</v>
      </c>
      <c r="U78" s="99" t="s">
        <v>676</v>
      </c>
      <c r="V78" s="99">
        <v>31</v>
      </c>
      <c r="W78" s="99">
        <v>10</v>
      </c>
      <c r="X78" s="99" t="s">
        <v>676</v>
      </c>
      <c r="Y78" s="99">
        <v>19</v>
      </c>
      <c r="Z78" s="99">
        <v>26</v>
      </c>
      <c r="AA78" s="99" t="s">
        <v>676</v>
      </c>
      <c r="AB78" s="99" t="s">
        <v>676</v>
      </c>
      <c r="AC78" s="99" t="s">
        <v>676</v>
      </c>
      <c r="AD78" s="98" t="s">
        <v>385</v>
      </c>
      <c r="AE78" s="100">
        <v>0.2982456140350877</v>
      </c>
      <c r="AF78" s="100">
        <v>0.11</v>
      </c>
      <c r="AG78" s="98">
        <v>577.100646352724</v>
      </c>
      <c r="AH78" s="98">
        <v>277.0083102493075</v>
      </c>
      <c r="AI78" s="100">
        <v>0.037000000000000005</v>
      </c>
      <c r="AJ78" s="100">
        <v>0.765092</v>
      </c>
      <c r="AK78" s="100">
        <v>0.3125</v>
      </c>
      <c r="AL78" s="100">
        <v>0.81439</v>
      </c>
      <c r="AM78" s="100">
        <v>0.646753</v>
      </c>
      <c r="AN78" s="100">
        <v>0.654321</v>
      </c>
      <c r="AO78" s="98">
        <v>3947.3684210526317</v>
      </c>
      <c r="AP78" s="158">
        <v>1.5377601619999999</v>
      </c>
      <c r="AQ78" s="100">
        <v>0.13450292397660818</v>
      </c>
      <c r="AR78" s="100">
        <v>0.5227272727272727</v>
      </c>
      <c r="AS78" s="98">
        <v>807.9409048938135</v>
      </c>
      <c r="AT78" s="98">
        <v>646.3527239150508</v>
      </c>
      <c r="AU78" s="98" t="s">
        <v>676</v>
      </c>
      <c r="AV78" s="98">
        <v>715.6048014773777</v>
      </c>
      <c r="AW78" s="98">
        <v>230.84025854108955</v>
      </c>
      <c r="AX78" s="98" t="s">
        <v>676</v>
      </c>
      <c r="AY78" s="98">
        <v>438.5964912280702</v>
      </c>
      <c r="AZ78" s="98">
        <v>600.1846722068328</v>
      </c>
      <c r="BA78" s="100" t="s">
        <v>676</v>
      </c>
      <c r="BB78" s="100" t="s">
        <v>676</v>
      </c>
      <c r="BC78" s="100" t="s">
        <v>676</v>
      </c>
      <c r="BD78" s="158">
        <v>1.3159092709999998</v>
      </c>
      <c r="BE78" s="158">
        <v>1.786304779</v>
      </c>
      <c r="BF78" s="162">
        <v>762</v>
      </c>
      <c r="BG78" s="162">
        <v>32</v>
      </c>
      <c r="BH78" s="162">
        <v>959</v>
      </c>
      <c r="BI78" s="162">
        <v>770</v>
      </c>
      <c r="BJ78" s="162">
        <v>405</v>
      </c>
      <c r="BK78" s="97"/>
      <c r="BL78" s="97"/>
      <c r="BM78" s="97"/>
      <c r="BN78" s="97"/>
    </row>
    <row r="79" spans="1:66" ht="12.75">
      <c r="A79" s="79" t="s">
        <v>648</v>
      </c>
      <c r="B79" s="79" t="s">
        <v>364</v>
      </c>
      <c r="C79" s="79" t="s">
        <v>272</v>
      </c>
      <c r="D79" s="99">
        <v>2870</v>
      </c>
      <c r="E79" s="99">
        <v>652</v>
      </c>
      <c r="F79" s="99" t="s">
        <v>407</v>
      </c>
      <c r="G79" s="99">
        <v>22</v>
      </c>
      <c r="H79" s="99" t="s">
        <v>676</v>
      </c>
      <c r="I79" s="99">
        <v>53</v>
      </c>
      <c r="J79" s="99">
        <v>345</v>
      </c>
      <c r="K79" s="99">
        <v>6</v>
      </c>
      <c r="L79" s="99">
        <v>541</v>
      </c>
      <c r="M79" s="99">
        <v>290</v>
      </c>
      <c r="N79" s="99">
        <v>158</v>
      </c>
      <c r="O79" s="99">
        <v>63</v>
      </c>
      <c r="P79" s="159">
        <v>63</v>
      </c>
      <c r="Q79" s="99">
        <v>10</v>
      </c>
      <c r="R79" s="99">
        <v>19</v>
      </c>
      <c r="S79" s="99">
        <v>14</v>
      </c>
      <c r="T79" s="99">
        <v>8</v>
      </c>
      <c r="U79" s="99" t="s">
        <v>676</v>
      </c>
      <c r="V79" s="99">
        <v>20</v>
      </c>
      <c r="W79" s="99">
        <v>14</v>
      </c>
      <c r="X79" s="99" t="s">
        <v>676</v>
      </c>
      <c r="Y79" s="99">
        <v>30</v>
      </c>
      <c r="Z79" s="99">
        <v>28</v>
      </c>
      <c r="AA79" s="99" t="s">
        <v>676</v>
      </c>
      <c r="AB79" s="99" t="s">
        <v>676</v>
      </c>
      <c r="AC79" s="99" t="s">
        <v>676</v>
      </c>
      <c r="AD79" s="98" t="s">
        <v>385</v>
      </c>
      <c r="AE79" s="100">
        <v>0.22717770034843204</v>
      </c>
      <c r="AF79" s="100">
        <v>0.16</v>
      </c>
      <c r="AG79" s="98">
        <v>766.5505226480836</v>
      </c>
      <c r="AH79" s="98" t="s">
        <v>676</v>
      </c>
      <c r="AI79" s="100">
        <v>0.018000000000000002</v>
      </c>
      <c r="AJ79" s="100">
        <v>0.732484</v>
      </c>
      <c r="AK79" s="100">
        <v>0.666667</v>
      </c>
      <c r="AL79" s="100">
        <v>0.801481</v>
      </c>
      <c r="AM79" s="100">
        <v>0.605428</v>
      </c>
      <c r="AN79" s="100">
        <v>0.639676</v>
      </c>
      <c r="AO79" s="98">
        <v>2195.121951219512</v>
      </c>
      <c r="AP79" s="158">
        <v>0.9674295807</v>
      </c>
      <c r="AQ79" s="100">
        <v>0.15873015873015872</v>
      </c>
      <c r="AR79" s="100">
        <v>0.5263157894736842</v>
      </c>
      <c r="AS79" s="98">
        <v>487.8048780487805</v>
      </c>
      <c r="AT79" s="98">
        <v>278.74564459930315</v>
      </c>
      <c r="AU79" s="98" t="s">
        <v>676</v>
      </c>
      <c r="AV79" s="98">
        <v>696.8641114982578</v>
      </c>
      <c r="AW79" s="98">
        <v>487.8048780487805</v>
      </c>
      <c r="AX79" s="98" t="s">
        <v>676</v>
      </c>
      <c r="AY79" s="98">
        <v>1045.2961672473868</v>
      </c>
      <c r="AZ79" s="98">
        <v>975.609756097561</v>
      </c>
      <c r="BA79" s="100" t="s">
        <v>676</v>
      </c>
      <c r="BB79" s="100" t="s">
        <v>676</v>
      </c>
      <c r="BC79" s="100" t="s">
        <v>676</v>
      </c>
      <c r="BD79" s="158">
        <v>0.7433994293</v>
      </c>
      <c r="BE79" s="158">
        <v>1.2377626800000001</v>
      </c>
      <c r="BF79" s="162">
        <v>471</v>
      </c>
      <c r="BG79" s="162">
        <v>9</v>
      </c>
      <c r="BH79" s="162">
        <v>675</v>
      </c>
      <c r="BI79" s="162">
        <v>479</v>
      </c>
      <c r="BJ79" s="162">
        <v>247</v>
      </c>
      <c r="BK79" s="97"/>
      <c r="BL79" s="97"/>
      <c r="BM79" s="97"/>
      <c r="BN79" s="97"/>
    </row>
    <row r="80" spans="1:66" ht="12.75">
      <c r="A80" s="79" t="s">
        <v>602</v>
      </c>
      <c r="B80" s="79" t="s">
        <v>317</v>
      </c>
      <c r="C80" s="79" t="s">
        <v>272</v>
      </c>
      <c r="D80" s="99">
        <v>11971</v>
      </c>
      <c r="E80" s="99">
        <v>3042</v>
      </c>
      <c r="F80" s="99" t="s">
        <v>406</v>
      </c>
      <c r="G80" s="99">
        <v>68</v>
      </c>
      <c r="H80" s="99">
        <v>42</v>
      </c>
      <c r="I80" s="99">
        <v>215</v>
      </c>
      <c r="J80" s="99">
        <v>1348</v>
      </c>
      <c r="K80" s="99">
        <v>1310</v>
      </c>
      <c r="L80" s="99">
        <v>2184</v>
      </c>
      <c r="M80" s="99">
        <v>881</v>
      </c>
      <c r="N80" s="99">
        <v>549</v>
      </c>
      <c r="O80" s="99">
        <v>265</v>
      </c>
      <c r="P80" s="159">
        <v>265</v>
      </c>
      <c r="Q80" s="99">
        <v>33</v>
      </c>
      <c r="R80" s="99">
        <v>87</v>
      </c>
      <c r="S80" s="99">
        <v>93</v>
      </c>
      <c r="T80" s="99">
        <v>36</v>
      </c>
      <c r="U80" s="99">
        <v>8</v>
      </c>
      <c r="V80" s="99">
        <v>60</v>
      </c>
      <c r="W80" s="99">
        <v>82</v>
      </c>
      <c r="X80" s="99">
        <v>40</v>
      </c>
      <c r="Y80" s="99">
        <v>150</v>
      </c>
      <c r="Z80" s="99">
        <v>73</v>
      </c>
      <c r="AA80" s="99" t="s">
        <v>676</v>
      </c>
      <c r="AB80" s="99" t="s">
        <v>676</v>
      </c>
      <c r="AC80" s="99" t="s">
        <v>676</v>
      </c>
      <c r="AD80" s="98" t="s">
        <v>385</v>
      </c>
      <c r="AE80" s="100">
        <v>0.2541141090969844</v>
      </c>
      <c r="AF80" s="100">
        <v>0.11</v>
      </c>
      <c r="AG80" s="98">
        <v>568.039428619163</v>
      </c>
      <c r="AH80" s="98">
        <v>350.8478823824242</v>
      </c>
      <c r="AI80" s="100">
        <v>0.018000000000000002</v>
      </c>
      <c r="AJ80" s="100">
        <v>0.810096</v>
      </c>
      <c r="AK80" s="100">
        <v>0.815184</v>
      </c>
      <c r="AL80" s="100">
        <v>0.811293</v>
      </c>
      <c r="AM80" s="100">
        <v>0.555135</v>
      </c>
      <c r="AN80" s="100">
        <v>0.616854</v>
      </c>
      <c r="AO80" s="98">
        <v>2213.6830674129146</v>
      </c>
      <c r="AP80" s="158">
        <v>0.9756144714</v>
      </c>
      <c r="AQ80" s="100">
        <v>0.12452830188679245</v>
      </c>
      <c r="AR80" s="100">
        <v>0.3793103448275862</v>
      </c>
      <c r="AS80" s="98">
        <v>776.8774538467965</v>
      </c>
      <c r="AT80" s="98">
        <v>300.72675632779215</v>
      </c>
      <c r="AU80" s="98">
        <v>66.8281680728427</v>
      </c>
      <c r="AV80" s="98">
        <v>501.21126054632026</v>
      </c>
      <c r="AW80" s="98">
        <v>684.9887227466377</v>
      </c>
      <c r="AX80" s="98">
        <v>334.1408403642135</v>
      </c>
      <c r="AY80" s="98">
        <v>1253.0281513658008</v>
      </c>
      <c r="AZ80" s="98">
        <v>609.8070336646897</v>
      </c>
      <c r="BA80" s="100" t="s">
        <v>676</v>
      </c>
      <c r="BB80" s="100" t="s">
        <v>676</v>
      </c>
      <c r="BC80" s="100" t="s">
        <v>676</v>
      </c>
      <c r="BD80" s="158">
        <v>0.8616757964999999</v>
      </c>
      <c r="BE80" s="158">
        <v>1.100428391</v>
      </c>
      <c r="BF80" s="162">
        <v>1664</v>
      </c>
      <c r="BG80" s="162">
        <v>1607</v>
      </c>
      <c r="BH80" s="162">
        <v>2692</v>
      </c>
      <c r="BI80" s="162">
        <v>1587</v>
      </c>
      <c r="BJ80" s="162">
        <v>890</v>
      </c>
      <c r="BK80" s="97"/>
      <c r="BL80" s="97"/>
      <c r="BM80" s="97"/>
      <c r="BN80" s="97"/>
    </row>
    <row r="81" spans="1:66" ht="12.75">
      <c r="A81" s="79" t="s">
        <v>653</v>
      </c>
      <c r="B81" s="79" t="s">
        <v>369</v>
      </c>
      <c r="C81" s="79" t="s">
        <v>272</v>
      </c>
      <c r="D81" s="99">
        <v>1624</v>
      </c>
      <c r="E81" s="99">
        <v>396</v>
      </c>
      <c r="F81" s="99" t="s">
        <v>408</v>
      </c>
      <c r="G81" s="99">
        <v>9</v>
      </c>
      <c r="H81" s="99" t="s">
        <v>676</v>
      </c>
      <c r="I81" s="99">
        <v>42</v>
      </c>
      <c r="J81" s="99">
        <v>167</v>
      </c>
      <c r="K81" s="99">
        <v>159</v>
      </c>
      <c r="L81" s="99">
        <v>291</v>
      </c>
      <c r="M81" s="99">
        <v>133</v>
      </c>
      <c r="N81" s="99">
        <v>73</v>
      </c>
      <c r="O81" s="99">
        <v>27</v>
      </c>
      <c r="P81" s="159">
        <v>27</v>
      </c>
      <c r="Q81" s="99" t="s">
        <v>676</v>
      </c>
      <c r="R81" s="99">
        <v>16</v>
      </c>
      <c r="S81" s="99" t="s">
        <v>676</v>
      </c>
      <c r="T81" s="99" t="s">
        <v>676</v>
      </c>
      <c r="U81" s="99" t="s">
        <v>676</v>
      </c>
      <c r="V81" s="99">
        <v>6</v>
      </c>
      <c r="W81" s="99">
        <v>7</v>
      </c>
      <c r="X81" s="99" t="s">
        <v>676</v>
      </c>
      <c r="Y81" s="99">
        <v>15</v>
      </c>
      <c r="Z81" s="99">
        <v>22</v>
      </c>
      <c r="AA81" s="99" t="s">
        <v>676</v>
      </c>
      <c r="AB81" s="99" t="s">
        <v>676</v>
      </c>
      <c r="AC81" s="99" t="s">
        <v>676</v>
      </c>
      <c r="AD81" s="98" t="s">
        <v>385</v>
      </c>
      <c r="AE81" s="100">
        <v>0.2438423645320197</v>
      </c>
      <c r="AF81" s="100">
        <v>0.07</v>
      </c>
      <c r="AG81" s="98">
        <v>554.1871921182266</v>
      </c>
      <c r="AH81" s="98" t="s">
        <v>676</v>
      </c>
      <c r="AI81" s="100">
        <v>0.026000000000000002</v>
      </c>
      <c r="AJ81" s="100">
        <v>0.806763</v>
      </c>
      <c r="AK81" s="100">
        <v>0.787129</v>
      </c>
      <c r="AL81" s="100">
        <v>0.863501</v>
      </c>
      <c r="AM81" s="100">
        <v>0.624413</v>
      </c>
      <c r="AN81" s="100">
        <v>0.640351</v>
      </c>
      <c r="AO81" s="98">
        <v>1662.5615763546798</v>
      </c>
      <c r="AP81" s="158">
        <v>0.7460113525</v>
      </c>
      <c r="AQ81" s="100" t="s">
        <v>676</v>
      </c>
      <c r="AR81" s="100" t="s">
        <v>676</v>
      </c>
      <c r="AS81" s="98" t="s">
        <v>676</v>
      </c>
      <c r="AT81" s="98" t="s">
        <v>676</v>
      </c>
      <c r="AU81" s="98" t="s">
        <v>676</v>
      </c>
      <c r="AV81" s="98">
        <v>369.4581280788177</v>
      </c>
      <c r="AW81" s="98">
        <v>431.0344827586207</v>
      </c>
      <c r="AX81" s="98" t="s">
        <v>676</v>
      </c>
      <c r="AY81" s="98">
        <v>923.6453201970444</v>
      </c>
      <c r="AZ81" s="98">
        <v>1354.679802955665</v>
      </c>
      <c r="BA81" s="100" t="s">
        <v>676</v>
      </c>
      <c r="BB81" s="100" t="s">
        <v>676</v>
      </c>
      <c r="BC81" s="100" t="s">
        <v>676</v>
      </c>
      <c r="BD81" s="158">
        <v>0.4916262054</v>
      </c>
      <c r="BE81" s="158">
        <v>1.08540741</v>
      </c>
      <c r="BF81" s="162">
        <v>207</v>
      </c>
      <c r="BG81" s="162">
        <v>202</v>
      </c>
      <c r="BH81" s="162">
        <v>337</v>
      </c>
      <c r="BI81" s="162">
        <v>213</v>
      </c>
      <c r="BJ81" s="162">
        <v>114</v>
      </c>
      <c r="BK81" s="97"/>
      <c r="BL81" s="97"/>
      <c r="BM81" s="97"/>
      <c r="BN81" s="97"/>
    </row>
    <row r="82" spans="1:66" ht="12.75">
      <c r="A82" s="79" t="s">
        <v>679</v>
      </c>
      <c r="B82" s="79" t="s">
        <v>286</v>
      </c>
      <c r="C82" s="79" t="s">
        <v>272</v>
      </c>
      <c r="D82" s="99">
        <v>7113</v>
      </c>
      <c r="E82" s="99">
        <v>2498</v>
      </c>
      <c r="F82" s="99" t="s">
        <v>406</v>
      </c>
      <c r="G82" s="99">
        <v>63</v>
      </c>
      <c r="H82" s="99">
        <v>33</v>
      </c>
      <c r="I82" s="99">
        <v>160</v>
      </c>
      <c r="J82" s="99">
        <v>934</v>
      </c>
      <c r="K82" s="99">
        <v>33</v>
      </c>
      <c r="L82" s="99">
        <v>1115</v>
      </c>
      <c r="M82" s="99">
        <v>729</v>
      </c>
      <c r="N82" s="99">
        <v>466</v>
      </c>
      <c r="O82" s="99">
        <v>183</v>
      </c>
      <c r="P82" s="159">
        <v>183</v>
      </c>
      <c r="Q82" s="99">
        <v>32</v>
      </c>
      <c r="R82" s="99">
        <v>63</v>
      </c>
      <c r="S82" s="99">
        <v>48</v>
      </c>
      <c r="T82" s="99">
        <v>34</v>
      </c>
      <c r="U82" s="99">
        <v>6</v>
      </c>
      <c r="V82" s="99">
        <v>33</v>
      </c>
      <c r="W82" s="99">
        <v>59</v>
      </c>
      <c r="X82" s="99">
        <v>31</v>
      </c>
      <c r="Y82" s="99">
        <v>90</v>
      </c>
      <c r="Z82" s="99">
        <v>57</v>
      </c>
      <c r="AA82" s="99" t="s">
        <v>676</v>
      </c>
      <c r="AB82" s="99" t="s">
        <v>676</v>
      </c>
      <c r="AC82" s="99" t="s">
        <v>676</v>
      </c>
      <c r="AD82" s="98" t="s">
        <v>385</v>
      </c>
      <c r="AE82" s="100">
        <v>0.3511879656966118</v>
      </c>
      <c r="AF82" s="100">
        <v>0.09</v>
      </c>
      <c r="AG82" s="98">
        <v>885.7022353437368</v>
      </c>
      <c r="AH82" s="98">
        <v>463.93926613243354</v>
      </c>
      <c r="AI82" s="100">
        <v>0.022000000000000002</v>
      </c>
      <c r="AJ82" s="100">
        <v>0.771901</v>
      </c>
      <c r="AK82" s="100">
        <v>0.611111</v>
      </c>
      <c r="AL82" s="100">
        <v>0.757473</v>
      </c>
      <c r="AM82" s="100">
        <v>0.571765</v>
      </c>
      <c r="AN82" s="100">
        <v>0.647222</v>
      </c>
      <c r="AO82" s="98">
        <v>2572.75411218895</v>
      </c>
      <c r="AP82" s="158">
        <v>0.9305862427</v>
      </c>
      <c r="AQ82" s="100">
        <v>0.17486338797814208</v>
      </c>
      <c r="AR82" s="100">
        <v>0.5079365079365079</v>
      </c>
      <c r="AS82" s="98">
        <v>674.8207507380852</v>
      </c>
      <c r="AT82" s="98">
        <v>477.99803177281035</v>
      </c>
      <c r="AU82" s="98">
        <v>84.35259384226065</v>
      </c>
      <c r="AV82" s="98">
        <v>463.93926613243354</v>
      </c>
      <c r="AW82" s="98">
        <v>829.4671727822297</v>
      </c>
      <c r="AX82" s="98">
        <v>435.82173485168005</v>
      </c>
      <c r="AY82" s="98">
        <v>1265.2889076339097</v>
      </c>
      <c r="AZ82" s="98">
        <v>801.3496415014762</v>
      </c>
      <c r="BA82" s="100" t="s">
        <v>676</v>
      </c>
      <c r="BB82" s="100" t="s">
        <v>676</v>
      </c>
      <c r="BC82" s="100" t="s">
        <v>676</v>
      </c>
      <c r="BD82" s="158">
        <v>0.8006376648</v>
      </c>
      <c r="BE82" s="158">
        <v>1.075617218</v>
      </c>
      <c r="BF82" s="162">
        <v>1210</v>
      </c>
      <c r="BG82" s="162">
        <v>54</v>
      </c>
      <c r="BH82" s="162">
        <v>1472</v>
      </c>
      <c r="BI82" s="162">
        <v>1275</v>
      </c>
      <c r="BJ82" s="162">
        <v>720</v>
      </c>
      <c r="BK82" s="97"/>
      <c r="BL82" s="97"/>
      <c r="BM82" s="97"/>
      <c r="BN82" s="97"/>
    </row>
    <row r="83" spans="1:66" ht="12.75">
      <c r="A83" s="79" t="s">
        <v>639</v>
      </c>
      <c r="B83" s="79" t="s">
        <v>355</v>
      </c>
      <c r="C83" s="79" t="s">
        <v>272</v>
      </c>
      <c r="D83" s="99">
        <v>1811</v>
      </c>
      <c r="E83" s="99">
        <v>449</v>
      </c>
      <c r="F83" s="99" t="s">
        <v>406</v>
      </c>
      <c r="G83" s="99">
        <v>10</v>
      </c>
      <c r="H83" s="99">
        <v>6</v>
      </c>
      <c r="I83" s="99">
        <v>28</v>
      </c>
      <c r="J83" s="99">
        <v>253</v>
      </c>
      <c r="K83" s="99">
        <v>102</v>
      </c>
      <c r="L83" s="99">
        <v>355</v>
      </c>
      <c r="M83" s="99">
        <v>181</v>
      </c>
      <c r="N83" s="99">
        <v>125</v>
      </c>
      <c r="O83" s="99">
        <v>25</v>
      </c>
      <c r="P83" s="159">
        <v>25</v>
      </c>
      <c r="Q83" s="99">
        <v>7</v>
      </c>
      <c r="R83" s="99">
        <v>17</v>
      </c>
      <c r="S83" s="99" t="s">
        <v>676</v>
      </c>
      <c r="T83" s="99">
        <v>6</v>
      </c>
      <c r="U83" s="99" t="s">
        <v>676</v>
      </c>
      <c r="V83" s="99" t="s">
        <v>676</v>
      </c>
      <c r="W83" s="99">
        <v>9</v>
      </c>
      <c r="X83" s="99">
        <v>7</v>
      </c>
      <c r="Y83" s="99">
        <v>10</v>
      </c>
      <c r="Z83" s="99">
        <v>19</v>
      </c>
      <c r="AA83" s="99" t="s">
        <v>676</v>
      </c>
      <c r="AB83" s="99" t="s">
        <v>676</v>
      </c>
      <c r="AC83" s="99" t="s">
        <v>676</v>
      </c>
      <c r="AD83" s="98" t="s">
        <v>385</v>
      </c>
      <c r="AE83" s="100">
        <v>0.24792932081722804</v>
      </c>
      <c r="AF83" s="100">
        <v>0.09</v>
      </c>
      <c r="AG83" s="98">
        <v>552.1811154058531</v>
      </c>
      <c r="AH83" s="98">
        <v>331.3086692435119</v>
      </c>
      <c r="AI83" s="100">
        <v>0.015</v>
      </c>
      <c r="AJ83" s="100">
        <v>0.790625</v>
      </c>
      <c r="AK83" s="100">
        <v>0.755556</v>
      </c>
      <c r="AL83" s="100">
        <v>0.833333</v>
      </c>
      <c r="AM83" s="100">
        <v>0.52924</v>
      </c>
      <c r="AN83" s="100">
        <v>0.600962</v>
      </c>
      <c r="AO83" s="98">
        <v>1380.4527885146329</v>
      </c>
      <c r="AP83" s="158">
        <v>0.5766783142</v>
      </c>
      <c r="AQ83" s="100">
        <v>0.28</v>
      </c>
      <c r="AR83" s="100">
        <v>0.4117647058823529</v>
      </c>
      <c r="AS83" s="98" t="s">
        <v>676</v>
      </c>
      <c r="AT83" s="98">
        <v>331.3086692435119</v>
      </c>
      <c r="AU83" s="98" t="s">
        <v>676</v>
      </c>
      <c r="AV83" s="98" t="s">
        <v>676</v>
      </c>
      <c r="AW83" s="98">
        <v>496.9630038652678</v>
      </c>
      <c r="AX83" s="98">
        <v>386.5267807840972</v>
      </c>
      <c r="AY83" s="98">
        <v>552.1811154058531</v>
      </c>
      <c r="AZ83" s="98">
        <v>1049.1441192711209</v>
      </c>
      <c r="BA83" s="100" t="s">
        <v>676</v>
      </c>
      <c r="BB83" s="100" t="s">
        <v>676</v>
      </c>
      <c r="BC83" s="100" t="s">
        <v>676</v>
      </c>
      <c r="BD83" s="158">
        <v>0.37319580080000003</v>
      </c>
      <c r="BE83" s="158">
        <v>0.8512908936</v>
      </c>
      <c r="BF83" s="162">
        <v>320</v>
      </c>
      <c r="BG83" s="162">
        <v>135</v>
      </c>
      <c r="BH83" s="162">
        <v>426</v>
      </c>
      <c r="BI83" s="162">
        <v>342</v>
      </c>
      <c r="BJ83" s="162">
        <v>208</v>
      </c>
      <c r="BK83" s="97"/>
      <c r="BL83" s="97"/>
      <c r="BM83" s="97"/>
      <c r="BN83" s="97"/>
    </row>
    <row r="84" spans="1:66" ht="12.75">
      <c r="A84" s="79" t="s">
        <v>609</v>
      </c>
      <c r="B84" s="79" t="s">
        <v>325</v>
      </c>
      <c r="C84" s="79" t="s">
        <v>272</v>
      </c>
      <c r="D84" s="99">
        <v>14059</v>
      </c>
      <c r="E84" s="99">
        <v>5553</v>
      </c>
      <c r="F84" s="99" t="s">
        <v>408</v>
      </c>
      <c r="G84" s="99">
        <v>122</v>
      </c>
      <c r="H84" s="99">
        <v>74</v>
      </c>
      <c r="I84" s="99">
        <v>415</v>
      </c>
      <c r="J84" s="99">
        <v>1847</v>
      </c>
      <c r="K84" s="99">
        <v>1753</v>
      </c>
      <c r="L84" s="99">
        <v>2276</v>
      </c>
      <c r="M84" s="99">
        <v>1418</v>
      </c>
      <c r="N84" s="99">
        <v>891</v>
      </c>
      <c r="O84" s="99">
        <v>381</v>
      </c>
      <c r="P84" s="159">
        <v>381</v>
      </c>
      <c r="Q84" s="99">
        <v>90</v>
      </c>
      <c r="R84" s="99">
        <v>160</v>
      </c>
      <c r="S84" s="99">
        <v>63</v>
      </c>
      <c r="T84" s="99">
        <v>92</v>
      </c>
      <c r="U84" s="99">
        <v>11</v>
      </c>
      <c r="V84" s="99">
        <v>72</v>
      </c>
      <c r="W84" s="99">
        <v>130</v>
      </c>
      <c r="X84" s="99">
        <v>64</v>
      </c>
      <c r="Y84" s="99">
        <v>238</v>
      </c>
      <c r="Z84" s="99">
        <v>160</v>
      </c>
      <c r="AA84" s="99" t="s">
        <v>676</v>
      </c>
      <c r="AB84" s="99" t="s">
        <v>676</v>
      </c>
      <c r="AC84" s="99" t="s">
        <v>676</v>
      </c>
      <c r="AD84" s="98" t="s">
        <v>385</v>
      </c>
      <c r="AE84" s="100">
        <v>0.3949783057116438</v>
      </c>
      <c r="AF84" s="100">
        <v>0.08</v>
      </c>
      <c r="AG84" s="98">
        <v>867.7715342485241</v>
      </c>
      <c r="AH84" s="98">
        <v>526.3532256917277</v>
      </c>
      <c r="AI84" s="100">
        <v>0.03</v>
      </c>
      <c r="AJ84" s="100">
        <v>0.798185</v>
      </c>
      <c r="AK84" s="100">
        <v>0.796094</v>
      </c>
      <c r="AL84" s="100">
        <v>0.803672</v>
      </c>
      <c r="AM84" s="100">
        <v>0.573625</v>
      </c>
      <c r="AN84" s="100">
        <v>0.65084</v>
      </c>
      <c r="AO84" s="98">
        <v>2710.007824169571</v>
      </c>
      <c r="AP84" s="158">
        <v>0.9209688568</v>
      </c>
      <c r="AQ84" s="100">
        <v>0.23622047244094488</v>
      </c>
      <c r="AR84" s="100">
        <v>0.5625</v>
      </c>
      <c r="AS84" s="98">
        <v>448.11152998079524</v>
      </c>
      <c r="AT84" s="98">
        <v>654.3850914005263</v>
      </c>
      <c r="AU84" s="98">
        <v>78.2416957109325</v>
      </c>
      <c r="AV84" s="98">
        <v>512.1274628351946</v>
      </c>
      <c r="AW84" s="98">
        <v>924.6745856746568</v>
      </c>
      <c r="AX84" s="98">
        <v>455.2244114090618</v>
      </c>
      <c r="AY84" s="98">
        <v>1692.8657799274486</v>
      </c>
      <c r="AZ84" s="98">
        <v>1138.0610285226546</v>
      </c>
      <c r="BA84" s="100" t="s">
        <v>676</v>
      </c>
      <c r="BB84" s="100" t="s">
        <v>676</v>
      </c>
      <c r="BC84" s="100" t="s">
        <v>676</v>
      </c>
      <c r="BD84" s="158">
        <v>0.8308029175</v>
      </c>
      <c r="BE84" s="158">
        <v>1.018251572</v>
      </c>
      <c r="BF84" s="162">
        <v>2314</v>
      </c>
      <c r="BG84" s="162">
        <v>2202</v>
      </c>
      <c r="BH84" s="162">
        <v>2832</v>
      </c>
      <c r="BI84" s="162">
        <v>2472</v>
      </c>
      <c r="BJ84" s="162">
        <v>1369</v>
      </c>
      <c r="BK84" s="97"/>
      <c r="BL84" s="97"/>
      <c r="BM84" s="97"/>
      <c r="BN84" s="97"/>
    </row>
    <row r="85" spans="1:66" ht="12.75">
      <c r="A85" s="79" t="s">
        <v>614</v>
      </c>
      <c r="B85" s="79" t="s">
        <v>330</v>
      </c>
      <c r="C85" s="79" t="s">
        <v>272</v>
      </c>
      <c r="D85" s="99">
        <v>4988</v>
      </c>
      <c r="E85" s="99">
        <v>1041</v>
      </c>
      <c r="F85" s="99" t="s">
        <v>407</v>
      </c>
      <c r="G85" s="99">
        <v>31</v>
      </c>
      <c r="H85" s="99">
        <v>13</v>
      </c>
      <c r="I85" s="99">
        <v>103</v>
      </c>
      <c r="J85" s="99">
        <v>587</v>
      </c>
      <c r="K85" s="99" t="s">
        <v>676</v>
      </c>
      <c r="L85" s="99">
        <v>1001</v>
      </c>
      <c r="M85" s="99">
        <v>418</v>
      </c>
      <c r="N85" s="99">
        <v>233</v>
      </c>
      <c r="O85" s="99">
        <v>112</v>
      </c>
      <c r="P85" s="159">
        <v>112</v>
      </c>
      <c r="Q85" s="99">
        <v>18</v>
      </c>
      <c r="R85" s="99">
        <v>33</v>
      </c>
      <c r="S85" s="99">
        <v>19</v>
      </c>
      <c r="T85" s="99">
        <v>14</v>
      </c>
      <c r="U85" s="99" t="s">
        <v>676</v>
      </c>
      <c r="V85" s="99">
        <v>14</v>
      </c>
      <c r="W85" s="99" t="s">
        <v>676</v>
      </c>
      <c r="X85" s="99" t="s">
        <v>676</v>
      </c>
      <c r="Y85" s="99">
        <v>21</v>
      </c>
      <c r="Z85" s="99">
        <v>19</v>
      </c>
      <c r="AA85" s="99" t="s">
        <v>676</v>
      </c>
      <c r="AB85" s="99" t="s">
        <v>676</v>
      </c>
      <c r="AC85" s="99" t="s">
        <v>676</v>
      </c>
      <c r="AD85" s="98" t="s">
        <v>385</v>
      </c>
      <c r="AE85" s="100">
        <v>0.208700882117081</v>
      </c>
      <c r="AF85" s="100">
        <v>0.13</v>
      </c>
      <c r="AG85" s="98">
        <v>621.4915797914996</v>
      </c>
      <c r="AH85" s="98">
        <v>260.62550120288694</v>
      </c>
      <c r="AI85" s="100">
        <v>0.021</v>
      </c>
      <c r="AJ85" s="100">
        <v>0.781625</v>
      </c>
      <c r="AK85" s="100" t="s">
        <v>676</v>
      </c>
      <c r="AL85" s="100">
        <v>0.799521</v>
      </c>
      <c r="AM85" s="100">
        <v>0.623881</v>
      </c>
      <c r="AN85" s="100">
        <v>0.683284</v>
      </c>
      <c r="AO85" s="98">
        <v>2245.3889334402566</v>
      </c>
      <c r="AP85" s="158">
        <v>1.0357178500000002</v>
      </c>
      <c r="AQ85" s="100">
        <v>0.16071428571428573</v>
      </c>
      <c r="AR85" s="100">
        <v>0.5454545454545454</v>
      </c>
      <c r="AS85" s="98">
        <v>380.91419406575784</v>
      </c>
      <c r="AT85" s="98">
        <v>280.67361668003207</v>
      </c>
      <c r="AU85" s="98" t="s">
        <v>676</v>
      </c>
      <c r="AV85" s="98">
        <v>280.67361668003207</v>
      </c>
      <c r="AW85" s="98" t="s">
        <v>676</v>
      </c>
      <c r="AX85" s="98" t="s">
        <v>676</v>
      </c>
      <c r="AY85" s="98">
        <v>421.0104250200481</v>
      </c>
      <c r="AZ85" s="98">
        <v>380.91419406575784</v>
      </c>
      <c r="BA85" s="100" t="s">
        <v>676</v>
      </c>
      <c r="BB85" s="100" t="s">
        <v>676</v>
      </c>
      <c r="BC85" s="100" t="s">
        <v>676</v>
      </c>
      <c r="BD85" s="158">
        <v>0.8528068542</v>
      </c>
      <c r="BE85" s="158">
        <v>1.246237717</v>
      </c>
      <c r="BF85" s="162">
        <v>751</v>
      </c>
      <c r="BG85" s="162" t="s">
        <v>676</v>
      </c>
      <c r="BH85" s="162">
        <v>1252</v>
      </c>
      <c r="BI85" s="162">
        <v>670</v>
      </c>
      <c r="BJ85" s="162">
        <v>341</v>
      </c>
      <c r="BK85" s="97"/>
      <c r="BL85" s="97"/>
      <c r="BM85" s="97"/>
      <c r="BN85" s="97"/>
    </row>
    <row r="86" spans="1:66" ht="12.75">
      <c r="A86" s="79" t="s">
        <v>620</v>
      </c>
      <c r="B86" s="79" t="s">
        <v>336</v>
      </c>
      <c r="C86" s="79" t="s">
        <v>272</v>
      </c>
      <c r="D86" s="99">
        <v>7669</v>
      </c>
      <c r="E86" s="99">
        <v>1168</v>
      </c>
      <c r="F86" s="99" t="s">
        <v>406</v>
      </c>
      <c r="G86" s="99">
        <v>28</v>
      </c>
      <c r="H86" s="99">
        <v>20</v>
      </c>
      <c r="I86" s="99">
        <v>131</v>
      </c>
      <c r="J86" s="99">
        <v>765</v>
      </c>
      <c r="K86" s="99">
        <v>715</v>
      </c>
      <c r="L86" s="99">
        <v>1564</v>
      </c>
      <c r="M86" s="99">
        <v>369</v>
      </c>
      <c r="N86" s="99">
        <v>251</v>
      </c>
      <c r="O86" s="99">
        <v>127</v>
      </c>
      <c r="P86" s="159">
        <v>127</v>
      </c>
      <c r="Q86" s="99">
        <v>17</v>
      </c>
      <c r="R86" s="99">
        <v>39</v>
      </c>
      <c r="S86" s="99">
        <v>20</v>
      </c>
      <c r="T86" s="99">
        <v>34</v>
      </c>
      <c r="U86" s="99" t="s">
        <v>676</v>
      </c>
      <c r="V86" s="99">
        <v>14</v>
      </c>
      <c r="W86" s="99">
        <v>54</v>
      </c>
      <c r="X86" s="99">
        <v>23</v>
      </c>
      <c r="Y86" s="99">
        <v>75</v>
      </c>
      <c r="Z86" s="99">
        <v>38</v>
      </c>
      <c r="AA86" s="99" t="s">
        <v>676</v>
      </c>
      <c r="AB86" s="99" t="s">
        <v>676</v>
      </c>
      <c r="AC86" s="99" t="s">
        <v>676</v>
      </c>
      <c r="AD86" s="98" t="s">
        <v>385</v>
      </c>
      <c r="AE86" s="100">
        <v>0.15230147346459774</v>
      </c>
      <c r="AF86" s="100">
        <v>0.12</v>
      </c>
      <c r="AG86" s="98">
        <v>365.10627200417264</v>
      </c>
      <c r="AH86" s="98">
        <v>260.79019428869475</v>
      </c>
      <c r="AI86" s="100">
        <v>0.017</v>
      </c>
      <c r="AJ86" s="100">
        <v>0.852843</v>
      </c>
      <c r="AK86" s="100">
        <v>0.802469</v>
      </c>
      <c r="AL86" s="100">
        <v>0.799591</v>
      </c>
      <c r="AM86" s="100">
        <v>0.509669</v>
      </c>
      <c r="AN86" s="100">
        <v>0.569161</v>
      </c>
      <c r="AO86" s="98">
        <v>1656.0177337332116</v>
      </c>
      <c r="AP86" s="158">
        <v>0.9049068451</v>
      </c>
      <c r="AQ86" s="100">
        <v>0.13385826771653545</v>
      </c>
      <c r="AR86" s="100">
        <v>0.4358974358974359</v>
      </c>
      <c r="AS86" s="98">
        <v>260.79019428869475</v>
      </c>
      <c r="AT86" s="98">
        <v>443.34333029078107</v>
      </c>
      <c r="AU86" s="98" t="s">
        <v>676</v>
      </c>
      <c r="AV86" s="98">
        <v>182.55313600208632</v>
      </c>
      <c r="AW86" s="98">
        <v>704.1335245794758</v>
      </c>
      <c r="AX86" s="98">
        <v>299.90872343199896</v>
      </c>
      <c r="AY86" s="98">
        <v>977.9632285826053</v>
      </c>
      <c r="AZ86" s="98">
        <v>495.50136914852004</v>
      </c>
      <c r="BA86" s="100" t="s">
        <v>676</v>
      </c>
      <c r="BB86" s="100" t="s">
        <v>676</v>
      </c>
      <c r="BC86" s="100" t="s">
        <v>676</v>
      </c>
      <c r="BD86" s="158">
        <v>0.7543800354</v>
      </c>
      <c r="BE86" s="158">
        <v>1.07666748</v>
      </c>
      <c r="BF86" s="162">
        <v>897</v>
      </c>
      <c r="BG86" s="162">
        <v>891</v>
      </c>
      <c r="BH86" s="162">
        <v>1956</v>
      </c>
      <c r="BI86" s="162">
        <v>724</v>
      </c>
      <c r="BJ86" s="162">
        <v>441</v>
      </c>
      <c r="BK86" s="97"/>
      <c r="BL86" s="97"/>
      <c r="BM86" s="97"/>
      <c r="BN86" s="97"/>
    </row>
    <row r="87" spans="1:66" ht="12.75">
      <c r="A87" s="79" t="s">
        <v>645</v>
      </c>
      <c r="B87" s="79" t="s">
        <v>361</v>
      </c>
      <c r="C87" s="79" t="s">
        <v>272</v>
      </c>
      <c r="D87" s="99">
        <v>5414</v>
      </c>
      <c r="E87" s="99">
        <v>1161</v>
      </c>
      <c r="F87" s="99" t="s">
        <v>406</v>
      </c>
      <c r="G87" s="99">
        <v>35</v>
      </c>
      <c r="H87" s="99">
        <v>7</v>
      </c>
      <c r="I87" s="99">
        <v>108</v>
      </c>
      <c r="J87" s="99">
        <v>574</v>
      </c>
      <c r="K87" s="99">
        <v>18</v>
      </c>
      <c r="L87" s="99">
        <v>992</v>
      </c>
      <c r="M87" s="99">
        <v>388</v>
      </c>
      <c r="N87" s="99">
        <v>257</v>
      </c>
      <c r="O87" s="99">
        <v>104</v>
      </c>
      <c r="P87" s="159">
        <v>104</v>
      </c>
      <c r="Q87" s="99">
        <v>8</v>
      </c>
      <c r="R87" s="99">
        <v>23</v>
      </c>
      <c r="S87" s="99">
        <v>26</v>
      </c>
      <c r="T87" s="99">
        <v>18</v>
      </c>
      <c r="U87" s="99">
        <v>7</v>
      </c>
      <c r="V87" s="99">
        <v>11</v>
      </c>
      <c r="W87" s="99">
        <v>25</v>
      </c>
      <c r="X87" s="99">
        <v>29</v>
      </c>
      <c r="Y87" s="99">
        <v>52</v>
      </c>
      <c r="Z87" s="99">
        <v>28</v>
      </c>
      <c r="AA87" s="99" t="s">
        <v>676</v>
      </c>
      <c r="AB87" s="99" t="s">
        <v>676</v>
      </c>
      <c r="AC87" s="99" t="s">
        <v>676</v>
      </c>
      <c r="AD87" s="98" t="s">
        <v>385</v>
      </c>
      <c r="AE87" s="100">
        <v>0.21444403398596232</v>
      </c>
      <c r="AF87" s="100">
        <v>0.12</v>
      </c>
      <c r="AG87" s="98">
        <v>646.4721093461396</v>
      </c>
      <c r="AH87" s="98">
        <v>129.29442186922793</v>
      </c>
      <c r="AI87" s="100">
        <v>0.02</v>
      </c>
      <c r="AJ87" s="100">
        <v>0.729352</v>
      </c>
      <c r="AK87" s="100">
        <v>0.486486</v>
      </c>
      <c r="AL87" s="100">
        <v>0.789809</v>
      </c>
      <c r="AM87" s="100">
        <v>0.51255</v>
      </c>
      <c r="AN87" s="100">
        <v>0.610451</v>
      </c>
      <c r="AO87" s="98">
        <v>1920.945696342815</v>
      </c>
      <c r="AP87" s="158">
        <v>0.9026308441</v>
      </c>
      <c r="AQ87" s="100">
        <v>0.07692307692307693</v>
      </c>
      <c r="AR87" s="100">
        <v>0.34782608695652173</v>
      </c>
      <c r="AS87" s="98">
        <v>480.23642408570373</v>
      </c>
      <c r="AT87" s="98">
        <v>332.4713705208718</v>
      </c>
      <c r="AU87" s="98">
        <v>129.29442186922793</v>
      </c>
      <c r="AV87" s="98">
        <v>203.1769486516439</v>
      </c>
      <c r="AW87" s="98">
        <v>461.76579239009976</v>
      </c>
      <c r="AX87" s="98">
        <v>535.6483191725157</v>
      </c>
      <c r="AY87" s="98">
        <v>960.4728481714075</v>
      </c>
      <c r="AZ87" s="98">
        <v>517.1776874769117</v>
      </c>
      <c r="BA87" s="100" t="s">
        <v>676</v>
      </c>
      <c r="BB87" s="100" t="s">
        <v>676</v>
      </c>
      <c r="BC87" s="100" t="s">
        <v>676</v>
      </c>
      <c r="BD87" s="158">
        <v>0.737514801</v>
      </c>
      <c r="BE87" s="158">
        <v>1.0936882780000001</v>
      </c>
      <c r="BF87" s="162">
        <v>787</v>
      </c>
      <c r="BG87" s="162">
        <v>37</v>
      </c>
      <c r="BH87" s="162">
        <v>1256</v>
      </c>
      <c r="BI87" s="162">
        <v>757</v>
      </c>
      <c r="BJ87" s="162">
        <v>421</v>
      </c>
      <c r="BK87" s="97"/>
      <c r="BL87" s="97"/>
      <c r="BM87" s="97"/>
      <c r="BN87" s="97"/>
    </row>
    <row r="88" spans="1:66" ht="12.75">
      <c r="A88" s="79" t="s">
        <v>606</v>
      </c>
      <c r="B88" s="79" t="s">
        <v>321</v>
      </c>
      <c r="C88" s="79" t="s">
        <v>272</v>
      </c>
      <c r="D88" s="99">
        <v>7789</v>
      </c>
      <c r="E88" s="99">
        <v>1419</v>
      </c>
      <c r="F88" s="99" t="s">
        <v>407</v>
      </c>
      <c r="G88" s="99">
        <v>33</v>
      </c>
      <c r="H88" s="99">
        <v>22</v>
      </c>
      <c r="I88" s="99">
        <v>153</v>
      </c>
      <c r="J88" s="99">
        <v>588</v>
      </c>
      <c r="K88" s="99">
        <v>23</v>
      </c>
      <c r="L88" s="99">
        <v>1419</v>
      </c>
      <c r="M88" s="99">
        <v>420</v>
      </c>
      <c r="N88" s="99">
        <v>298</v>
      </c>
      <c r="O88" s="99">
        <v>140</v>
      </c>
      <c r="P88" s="159">
        <v>140</v>
      </c>
      <c r="Q88" s="99">
        <v>18</v>
      </c>
      <c r="R88" s="99">
        <v>47</v>
      </c>
      <c r="S88" s="99">
        <v>36</v>
      </c>
      <c r="T88" s="99">
        <v>21</v>
      </c>
      <c r="U88" s="99" t="s">
        <v>676</v>
      </c>
      <c r="V88" s="99">
        <v>19</v>
      </c>
      <c r="W88" s="99">
        <v>51</v>
      </c>
      <c r="X88" s="99">
        <v>22</v>
      </c>
      <c r="Y88" s="99">
        <v>111</v>
      </c>
      <c r="Z88" s="99">
        <v>45</v>
      </c>
      <c r="AA88" s="99" t="s">
        <v>676</v>
      </c>
      <c r="AB88" s="99" t="s">
        <v>676</v>
      </c>
      <c r="AC88" s="99" t="s">
        <v>676</v>
      </c>
      <c r="AD88" s="98" t="s">
        <v>385</v>
      </c>
      <c r="AE88" s="100">
        <v>0.18217999743227628</v>
      </c>
      <c r="AF88" s="100">
        <v>0.13</v>
      </c>
      <c r="AG88" s="98">
        <v>423.6744126332007</v>
      </c>
      <c r="AH88" s="98">
        <v>282.4496084221338</v>
      </c>
      <c r="AI88" s="100">
        <v>0.02</v>
      </c>
      <c r="AJ88" s="100">
        <v>0.680556</v>
      </c>
      <c r="AK88" s="100">
        <v>0.589744</v>
      </c>
      <c r="AL88" s="100">
        <v>0.726575</v>
      </c>
      <c r="AM88" s="100">
        <v>0.507246</v>
      </c>
      <c r="AN88" s="100">
        <v>0.619543</v>
      </c>
      <c r="AO88" s="98">
        <v>1797.4065990499423</v>
      </c>
      <c r="AP88" s="158">
        <v>0.9350507355000001</v>
      </c>
      <c r="AQ88" s="100">
        <v>0.12857142857142856</v>
      </c>
      <c r="AR88" s="100">
        <v>0.3829787234042553</v>
      </c>
      <c r="AS88" s="98">
        <v>462.190268327128</v>
      </c>
      <c r="AT88" s="98">
        <v>269.61098985749135</v>
      </c>
      <c r="AU88" s="98" t="s">
        <v>676</v>
      </c>
      <c r="AV88" s="98">
        <v>243.93375272820646</v>
      </c>
      <c r="AW88" s="98">
        <v>654.7695467967646</v>
      </c>
      <c r="AX88" s="98">
        <v>282.4496084221338</v>
      </c>
      <c r="AY88" s="98">
        <v>1425.0866606753114</v>
      </c>
      <c r="AZ88" s="98">
        <v>577.73783540891</v>
      </c>
      <c r="BA88" s="100" t="s">
        <v>676</v>
      </c>
      <c r="BB88" s="100" t="s">
        <v>676</v>
      </c>
      <c r="BC88" s="100" t="s">
        <v>676</v>
      </c>
      <c r="BD88" s="158">
        <v>0.7865818787000001</v>
      </c>
      <c r="BE88" s="158">
        <v>1.10339653</v>
      </c>
      <c r="BF88" s="162">
        <v>864</v>
      </c>
      <c r="BG88" s="162">
        <v>39</v>
      </c>
      <c r="BH88" s="162">
        <v>1953</v>
      </c>
      <c r="BI88" s="162">
        <v>828</v>
      </c>
      <c r="BJ88" s="162">
        <v>481</v>
      </c>
      <c r="BK88" s="97"/>
      <c r="BL88" s="97"/>
      <c r="BM88" s="97"/>
      <c r="BN88" s="97"/>
    </row>
    <row r="89" spans="1:66" ht="12.75">
      <c r="A89" s="79" t="s">
        <v>593</v>
      </c>
      <c r="B89" s="79" t="s">
        <v>307</v>
      </c>
      <c r="C89" s="79" t="s">
        <v>272</v>
      </c>
      <c r="D89" s="99">
        <v>7769</v>
      </c>
      <c r="E89" s="99">
        <v>1170</v>
      </c>
      <c r="F89" s="99" t="s">
        <v>406</v>
      </c>
      <c r="G89" s="99">
        <v>38</v>
      </c>
      <c r="H89" s="99">
        <v>17</v>
      </c>
      <c r="I89" s="99">
        <v>78</v>
      </c>
      <c r="J89" s="99">
        <v>621</v>
      </c>
      <c r="K89" s="99">
        <v>18</v>
      </c>
      <c r="L89" s="99">
        <v>1628</v>
      </c>
      <c r="M89" s="99">
        <v>395</v>
      </c>
      <c r="N89" s="99">
        <v>257</v>
      </c>
      <c r="O89" s="99">
        <v>224</v>
      </c>
      <c r="P89" s="159">
        <v>224</v>
      </c>
      <c r="Q89" s="99">
        <v>17</v>
      </c>
      <c r="R89" s="99">
        <v>34</v>
      </c>
      <c r="S89" s="99">
        <v>41</v>
      </c>
      <c r="T89" s="99">
        <v>46</v>
      </c>
      <c r="U89" s="99" t="s">
        <v>676</v>
      </c>
      <c r="V89" s="99">
        <v>40</v>
      </c>
      <c r="W89" s="99">
        <v>62</v>
      </c>
      <c r="X89" s="99">
        <v>23</v>
      </c>
      <c r="Y89" s="99">
        <v>109</v>
      </c>
      <c r="Z89" s="99">
        <v>63</v>
      </c>
      <c r="AA89" s="99" t="s">
        <v>676</v>
      </c>
      <c r="AB89" s="99" t="s">
        <v>676</v>
      </c>
      <c r="AC89" s="99" t="s">
        <v>676</v>
      </c>
      <c r="AD89" s="98" t="s">
        <v>385</v>
      </c>
      <c r="AE89" s="100">
        <v>0.15059853262968206</v>
      </c>
      <c r="AF89" s="100">
        <v>0.12</v>
      </c>
      <c r="AG89" s="98">
        <v>489.12343931007854</v>
      </c>
      <c r="AH89" s="98">
        <v>218.8183807439825</v>
      </c>
      <c r="AI89" s="100">
        <v>0.01</v>
      </c>
      <c r="AJ89" s="100">
        <v>0.673536</v>
      </c>
      <c r="AK89" s="100">
        <v>0.642857</v>
      </c>
      <c r="AL89" s="100">
        <v>0.76974</v>
      </c>
      <c r="AM89" s="100">
        <v>0.495609</v>
      </c>
      <c r="AN89" s="100">
        <v>0.556277</v>
      </c>
      <c r="AO89" s="98">
        <v>2883.2539580383577</v>
      </c>
      <c r="AP89" s="158">
        <v>1.5766433720000002</v>
      </c>
      <c r="AQ89" s="100">
        <v>0.07589285714285714</v>
      </c>
      <c r="AR89" s="100">
        <v>0.5</v>
      </c>
      <c r="AS89" s="98">
        <v>527.7384476766637</v>
      </c>
      <c r="AT89" s="98">
        <v>592.0967949543056</v>
      </c>
      <c r="AU89" s="98" t="s">
        <v>676</v>
      </c>
      <c r="AV89" s="98">
        <v>514.8667782211353</v>
      </c>
      <c r="AW89" s="98">
        <v>798.0435062427597</v>
      </c>
      <c r="AX89" s="98">
        <v>296.0483974771528</v>
      </c>
      <c r="AY89" s="98">
        <v>1403.0119706525936</v>
      </c>
      <c r="AZ89" s="98">
        <v>810.9151756982881</v>
      </c>
      <c r="BA89" s="100" t="s">
        <v>676</v>
      </c>
      <c r="BB89" s="100" t="s">
        <v>676</v>
      </c>
      <c r="BC89" s="100" t="s">
        <v>676</v>
      </c>
      <c r="BD89" s="158">
        <v>1.376918335</v>
      </c>
      <c r="BE89" s="158">
        <v>1.79719635</v>
      </c>
      <c r="BF89" s="162">
        <v>922</v>
      </c>
      <c r="BG89" s="162">
        <v>28</v>
      </c>
      <c r="BH89" s="162">
        <v>2115</v>
      </c>
      <c r="BI89" s="162">
        <v>797</v>
      </c>
      <c r="BJ89" s="162">
        <v>462</v>
      </c>
      <c r="BK89" s="97"/>
      <c r="BL89" s="97"/>
      <c r="BM89" s="97"/>
      <c r="BN89" s="97"/>
    </row>
    <row r="90" spans="1:66" ht="12.75">
      <c r="A90" s="79" t="s">
        <v>578</v>
      </c>
      <c r="B90" s="79" t="s">
        <v>291</v>
      </c>
      <c r="C90" s="79" t="s">
        <v>272</v>
      </c>
      <c r="D90" s="99">
        <v>32523</v>
      </c>
      <c r="E90" s="99">
        <v>3821</v>
      </c>
      <c r="F90" s="99" t="s">
        <v>406</v>
      </c>
      <c r="G90" s="99">
        <v>108</v>
      </c>
      <c r="H90" s="99">
        <v>58</v>
      </c>
      <c r="I90" s="99">
        <v>232</v>
      </c>
      <c r="J90" s="99">
        <v>2029</v>
      </c>
      <c r="K90" s="99">
        <v>1964</v>
      </c>
      <c r="L90" s="99">
        <v>4129</v>
      </c>
      <c r="M90" s="99">
        <v>1256</v>
      </c>
      <c r="N90" s="99">
        <v>796</v>
      </c>
      <c r="O90" s="99">
        <v>428</v>
      </c>
      <c r="P90" s="159">
        <v>428</v>
      </c>
      <c r="Q90" s="99">
        <v>67</v>
      </c>
      <c r="R90" s="99">
        <v>154</v>
      </c>
      <c r="S90" s="99">
        <v>109</v>
      </c>
      <c r="T90" s="99">
        <v>71</v>
      </c>
      <c r="U90" s="99">
        <v>11</v>
      </c>
      <c r="V90" s="99">
        <v>83</v>
      </c>
      <c r="W90" s="99">
        <v>130</v>
      </c>
      <c r="X90" s="99">
        <v>82</v>
      </c>
      <c r="Y90" s="99">
        <v>253</v>
      </c>
      <c r="Z90" s="99">
        <v>149</v>
      </c>
      <c r="AA90" s="99" t="s">
        <v>676</v>
      </c>
      <c r="AB90" s="99" t="s">
        <v>676</v>
      </c>
      <c r="AC90" s="99" t="s">
        <v>676</v>
      </c>
      <c r="AD90" s="98" t="s">
        <v>385</v>
      </c>
      <c r="AE90" s="100">
        <v>0.11748608676936322</v>
      </c>
      <c r="AF90" s="100">
        <v>0.09</v>
      </c>
      <c r="AG90" s="98">
        <v>332.07268702149247</v>
      </c>
      <c r="AH90" s="98">
        <v>178.33533191894966</v>
      </c>
      <c r="AI90" s="100">
        <v>0.006999999999999999</v>
      </c>
      <c r="AJ90" s="100">
        <v>0.772364</v>
      </c>
      <c r="AK90" s="100">
        <v>0.772924</v>
      </c>
      <c r="AL90" s="100">
        <v>0.75141</v>
      </c>
      <c r="AM90" s="100">
        <v>0.527731</v>
      </c>
      <c r="AN90" s="100">
        <v>0.600302</v>
      </c>
      <c r="AO90" s="98">
        <v>1315.9917596777666</v>
      </c>
      <c r="AP90" s="158">
        <v>0.9183992767</v>
      </c>
      <c r="AQ90" s="100">
        <v>0.15654205607476634</v>
      </c>
      <c r="AR90" s="100">
        <v>0.43506493506493504</v>
      </c>
      <c r="AS90" s="98">
        <v>335.14743412354335</v>
      </c>
      <c r="AT90" s="98">
        <v>218.3070442456108</v>
      </c>
      <c r="AU90" s="98">
        <v>33.82221812255942</v>
      </c>
      <c r="AV90" s="98">
        <v>255.20400947022108</v>
      </c>
      <c r="AW90" s="98">
        <v>399.71712326661134</v>
      </c>
      <c r="AX90" s="98">
        <v>252.12926236817023</v>
      </c>
      <c r="AY90" s="98">
        <v>777.9110168188666</v>
      </c>
      <c r="AZ90" s="98">
        <v>458.13731820557757</v>
      </c>
      <c r="BA90" s="100" t="s">
        <v>676</v>
      </c>
      <c r="BB90" s="100" t="s">
        <v>676</v>
      </c>
      <c r="BC90" s="100" t="s">
        <v>676</v>
      </c>
      <c r="BD90" s="158">
        <v>0.8334397124999999</v>
      </c>
      <c r="BE90" s="158">
        <v>1.009670029</v>
      </c>
      <c r="BF90" s="162">
        <v>2627</v>
      </c>
      <c r="BG90" s="162">
        <v>2541</v>
      </c>
      <c r="BH90" s="162">
        <v>5495</v>
      </c>
      <c r="BI90" s="162">
        <v>2380</v>
      </c>
      <c r="BJ90" s="162">
        <v>1326</v>
      </c>
      <c r="BK90" s="97"/>
      <c r="BL90" s="97"/>
      <c r="BM90" s="97"/>
      <c r="BN90" s="97"/>
    </row>
    <row r="91" spans="1:66" ht="12.75">
      <c r="A91" s="79" t="s">
        <v>590</v>
      </c>
      <c r="B91" s="79" t="s">
        <v>304</v>
      </c>
      <c r="C91" s="79" t="s">
        <v>272</v>
      </c>
      <c r="D91" s="99">
        <v>8351</v>
      </c>
      <c r="E91" s="99">
        <v>1914</v>
      </c>
      <c r="F91" s="99" t="s">
        <v>406</v>
      </c>
      <c r="G91" s="99">
        <v>36</v>
      </c>
      <c r="H91" s="99">
        <v>22</v>
      </c>
      <c r="I91" s="99">
        <v>145</v>
      </c>
      <c r="J91" s="99">
        <v>1072</v>
      </c>
      <c r="K91" s="99">
        <v>17</v>
      </c>
      <c r="L91" s="99">
        <v>1631</v>
      </c>
      <c r="M91" s="99">
        <v>828</v>
      </c>
      <c r="N91" s="99">
        <v>431</v>
      </c>
      <c r="O91" s="99">
        <v>211</v>
      </c>
      <c r="P91" s="159">
        <v>211</v>
      </c>
      <c r="Q91" s="99">
        <v>32</v>
      </c>
      <c r="R91" s="99">
        <v>56</v>
      </c>
      <c r="S91" s="99">
        <v>43</v>
      </c>
      <c r="T91" s="99">
        <v>26</v>
      </c>
      <c r="U91" s="99">
        <v>8</v>
      </c>
      <c r="V91" s="99">
        <v>42</v>
      </c>
      <c r="W91" s="99">
        <v>6</v>
      </c>
      <c r="X91" s="99">
        <v>11</v>
      </c>
      <c r="Y91" s="99">
        <v>10</v>
      </c>
      <c r="Z91" s="99">
        <v>17</v>
      </c>
      <c r="AA91" s="99" t="s">
        <v>676</v>
      </c>
      <c r="AB91" s="99" t="s">
        <v>676</v>
      </c>
      <c r="AC91" s="99" t="s">
        <v>676</v>
      </c>
      <c r="AD91" s="98" t="s">
        <v>385</v>
      </c>
      <c r="AE91" s="100">
        <v>0.22919410849000119</v>
      </c>
      <c r="AF91" s="100">
        <v>0.1</v>
      </c>
      <c r="AG91" s="98">
        <v>431.08609747335646</v>
      </c>
      <c r="AH91" s="98">
        <v>263.4415040114956</v>
      </c>
      <c r="AI91" s="100">
        <v>0.017</v>
      </c>
      <c r="AJ91" s="100">
        <v>0.741869</v>
      </c>
      <c r="AK91" s="100">
        <v>0.73913</v>
      </c>
      <c r="AL91" s="100">
        <v>0.797165</v>
      </c>
      <c r="AM91" s="100">
        <v>0.614699</v>
      </c>
      <c r="AN91" s="100">
        <v>0.660031</v>
      </c>
      <c r="AO91" s="98">
        <v>2526.643515746617</v>
      </c>
      <c r="AP91" s="158">
        <v>1.104676361</v>
      </c>
      <c r="AQ91" s="100">
        <v>0.15165876777251186</v>
      </c>
      <c r="AR91" s="100">
        <v>0.5714285714285714</v>
      </c>
      <c r="AS91" s="98">
        <v>514.9083942042869</v>
      </c>
      <c r="AT91" s="98">
        <v>311.339959286313</v>
      </c>
      <c r="AU91" s="98">
        <v>95.79691054963477</v>
      </c>
      <c r="AV91" s="98">
        <v>502.93378038558257</v>
      </c>
      <c r="AW91" s="98">
        <v>71.84768291222608</v>
      </c>
      <c r="AX91" s="98">
        <v>131.7207520057478</v>
      </c>
      <c r="AY91" s="98">
        <v>119.74613818704347</v>
      </c>
      <c r="AZ91" s="98">
        <v>203.5684349179739</v>
      </c>
      <c r="BA91" s="100" t="s">
        <v>676</v>
      </c>
      <c r="BB91" s="100" t="s">
        <v>676</v>
      </c>
      <c r="BC91" s="100" t="s">
        <v>676</v>
      </c>
      <c r="BD91" s="158">
        <v>0.9606419373</v>
      </c>
      <c r="BE91" s="158">
        <v>1.264213333</v>
      </c>
      <c r="BF91" s="162">
        <v>1445</v>
      </c>
      <c r="BG91" s="162">
        <v>23</v>
      </c>
      <c r="BH91" s="162">
        <v>2046</v>
      </c>
      <c r="BI91" s="162">
        <v>1347</v>
      </c>
      <c r="BJ91" s="162">
        <v>653</v>
      </c>
      <c r="BK91" s="97"/>
      <c r="BL91" s="97"/>
      <c r="BM91" s="97"/>
      <c r="BN91" s="97"/>
    </row>
    <row r="92" spans="1:66" ht="12.75">
      <c r="A92" s="79" t="s">
        <v>589</v>
      </c>
      <c r="B92" s="79" t="s">
        <v>303</v>
      </c>
      <c r="C92" s="79" t="s">
        <v>272</v>
      </c>
      <c r="D92" s="99">
        <v>6990</v>
      </c>
      <c r="E92" s="99">
        <v>1723</v>
      </c>
      <c r="F92" s="99" t="s">
        <v>406</v>
      </c>
      <c r="G92" s="99">
        <v>46</v>
      </c>
      <c r="H92" s="99">
        <v>16</v>
      </c>
      <c r="I92" s="99">
        <v>130</v>
      </c>
      <c r="J92" s="99">
        <v>718</v>
      </c>
      <c r="K92" s="99">
        <v>20</v>
      </c>
      <c r="L92" s="99">
        <v>1295</v>
      </c>
      <c r="M92" s="99">
        <v>538</v>
      </c>
      <c r="N92" s="99">
        <v>344</v>
      </c>
      <c r="O92" s="99">
        <v>255</v>
      </c>
      <c r="P92" s="159">
        <v>255</v>
      </c>
      <c r="Q92" s="99">
        <v>23</v>
      </c>
      <c r="R92" s="99">
        <v>45</v>
      </c>
      <c r="S92" s="99">
        <v>55</v>
      </c>
      <c r="T92" s="99">
        <v>48</v>
      </c>
      <c r="U92" s="99" t="s">
        <v>676</v>
      </c>
      <c r="V92" s="99">
        <v>73</v>
      </c>
      <c r="W92" s="99">
        <v>54</v>
      </c>
      <c r="X92" s="99">
        <v>18</v>
      </c>
      <c r="Y92" s="99">
        <v>91</v>
      </c>
      <c r="Z92" s="99">
        <v>57</v>
      </c>
      <c r="AA92" s="99" t="s">
        <v>676</v>
      </c>
      <c r="AB92" s="99" t="s">
        <v>676</v>
      </c>
      <c r="AC92" s="99" t="s">
        <v>676</v>
      </c>
      <c r="AD92" s="98" t="s">
        <v>385</v>
      </c>
      <c r="AE92" s="100">
        <v>0.24649499284692417</v>
      </c>
      <c r="AF92" s="100">
        <v>0.09</v>
      </c>
      <c r="AG92" s="98">
        <v>658.0829756795422</v>
      </c>
      <c r="AH92" s="98">
        <v>228.89842632331903</v>
      </c>
      <c r="AI92" s="100">
        <v>0.019</v>
      </c>
      <c r="AJ92" s="100">
        <v>0.706693</v>
      </c>
      <c r="AK92" s="100">
        <v>0.740741</v>
      </c>
      <c r="AL92" s="100">
        <v>0.778245</v>
      </c>
      <c r="AM92" s="100">
        <v>0.54842</v>
      </c>
      <c r="AN92" s="100">
        <v>0.605634</v>
      </c>
      <c r="AO92" s="98">
        <v>3648.068669527897</v>
      </c>
      <c r="AP92" s="158">
        <v>1.614468689</v>
      </c>
      <c r="AQ92" s="100">
        <v>0.09019607843137255</v>
      </c>
      <c r="AR92" s="100">
        <v>0.5111111111111111</v>
      </c>
      <c r="AS92" s="98">
        <v>786.8383404864092</v>
      </c>
      <c r="AT92" s="98">
        <v>686.695278969957</v>
      </c>
      <c r="AU92" s="98" t="s">
        <v>676</v>
      </c>
      <c r="AV92" s="98">
        <v>1044.349070100143</v>
      </c>
      <c r="AW92" s="98">
        <v>772.5321888412017</v>
      </c>
      <c r="AX92" s="98">
        <v>257.51072961373393</v>
      </c>
      <c r="AY92" s="98">
        <v>1301.859799713877</v>
      </c>
      <c r="AZ92" s="98">
        <v>815.450643776824</v>
      </c>
      <c r="BA92" s="101" t="s">
        <v>676</v>
      </c>
      <c r="BB92" s="101" t="s">
        <v>676</v>
      </c>
      <c r="BC92" s="101" t="s">
        <v>676</v>
      </c>
      <c r="BD92" s="158">
        <v>1.422375641</v>
      </c>
      <c r="BE92" s="158">
        <v>1.825271301</v>
      </c>
      <c r="BF92" s="162">
        <v>1016</v>
      </c>
      <c r="BG92" s="162">
        <v>27</v>
      </c>
      <c r="BH92" s="162">
        <v>1664</v>
      </c>
      <c r="BI92" s="162">
        <v>981</v>
      </c>
      <c r="BJ92" s="162">
        <v>568</v>
      </c>
      <c r="BK92" s="97"/>
      <c r="BL92" s="97"/>
      <c r="BM92" s="97"/>
      <c r="BN92" s="97"/>
    </row>
    <row r="93" spans="1:66" ht="12.75">
      <c r="A93" s="79" t="s">
        <v>585</v>
      </c>
      <c r="B93" s="79" t="s">
        <v>298</v>
      </c>
      <c r="C93" s="79" t="s">
        <v>272</v>
      </c>
      <c r="D93" s="99">
        <v>5280</v>
      </c>
      <c r="E93" s="99">
        <v>1169</v>
      </c>
      <c r="F93" s="99" t="s">
        <v>406</v>
      </c>
      <c r="G93" s="99">
        <v>31</v>
      </c>
      <c r="H93" s="99">
        <v>16</v>
      </c>
      <c r="I93" s="99">
        <v>108</v>
      </c>
      <c r="J93" s="99">
        <v>605</v>
      </c>
      <c r="K93" s="99">
        <v>18</v>
      </c>
      <c r="L93" s="99">
        <v>1059</v>
      </c>
      <c r="M93" s="99">
        <v>432</v>
      </c>
      <c r="N93" s="99">
        <v>293</v>
      </c>
      <c r="O93" s="99">
        <v>102</v>
      </c>
      <c r="P93" s="159">
        <v>102</v>
      </c>
      <c r="Q93" s="99">
        <v>7</v>
      </c>
      <c r="R93" s="99">
        <v>21</v>
      </c>
      <c r="S93" s="99">
        <v>23</v>
      </c>
      <c r="T93" s="99">
        <v>24</v>
      </c>
      <c r="U93" s="99" t="s">
        <v>676</v>
      </c>
      <c r="V93" s="99" t="s">
        <v>676</v>
      </c>
      <c r="W93" s="99">
        <v>33</v>
      </c>
      <c r="X93" s="99">
        <v>22</v>
      </c>
      <c r="Y93" s="99">
        <v>56</v>
      </c>
      <c r="Z93" s="99">
        <v>45</v>
      </c>
      <c r="AA93" s="99" t="s">
        <v>676</v>
      </c>
      <c r="AB93" s="99" t="s">
        <v>676</v>
      </c>
      <c r="AC93" s="99" t="s">
        <v>676</v>
      </c>
      <c r="AD93" s="98" t="s">
        <v>385</v>
      </c>
      <c r="AE93" s="100">
        <v>0.22140151515151515</v>
      </c>
      <c r="AF93" s="100">
        <v>0.11</v>
      </c>
      <c r="AG93" s="98">
        <v>587.1212121212121</v>
      </c>
      <c r="AH93" s="98">
        <v>303.030303030303</v>
      </c>
      <c r="AI93" s="100">
        <v>0.02</v>
      </c>
      <c r="AJ93" s="100">
        <v>0.728916</v>
      </c>
      <c r="AK93" s="100">
        <v>0.545455</v>
      </c>
      <c r="AL93" s="100">
        <v>0.851971</v>
      </c>
      <c r="AM93" s="100">
        <v>0.527473</v>
      </c>
      <c r="AN93" s="100">
        <v>0.597959</v>
      </c>
      <c r="AO93" s="98">
        <v>1931.8181818181818</v>
      </c>
      <c r="AP93" s="158">
        <v>0.8786502838</v>
      </c>
      <c r="AQ93" s="100">
        <v>0.06862745098039216</v>
      </c>
      <c r="AR93" s="100">
        <v>0.3333333333333333</v>
      </c>
      <c r="AS93" s="98">
        <v>435.6060606060606</v>
      </c>
      <c r="AT93" s="98">
        <v>454.54545454545456</v>
      </c>
      <c r="AU93" s="98" t="s">
        <v>676</v>
      </c>
      <c r="AV93" s="98" t="s">
        <v>676</v>
      </c>
      <c r="AW93" s="98">
        <v>625</v>
      </c>
      <c r="AX93" s="98">
        <v>416.6666666666667</v>
      </c>
      <c r="AY93" s="98">
        <v>1060.6060606060605</v>
      </c>
      <c r="AZ93" s="98">
        <v>852.2727272727273</v>
      </c>
      <c r="BA93" s="100" t="s">
        <v>676</v>
      </c>
      <c r="BB93" s="100" t="s">
        <v>676</v>
      </c>
      <c r="BC93" s="100" t="s">
        <v>676</v>
      </c>
      <c r="BD93" s="158">
        <v>0.7164342499</v>
      </c>
      <c r="BE93" s="158">
        <v>1.066621475</v>
      </c>
      <c r="BF93" s="162">
        <v>830</v>
      </c>
      <c r="BG93" s="162">
        <v>33</v>
      </c>
      <c r="BH93" s="162">
        <v>1243</v>
      </c>
      <c r="BI93" s="162">
        <v>819</v>
      </c>
      <c r="BJ93" s="162">
        <v>490</v>
      </c>
      <c r="BK93" s="97"/>
      <c r="BL93" s="97"/>
      <c r="BM93" s="97"/>
      <c r="BN93" s="97"/>
    </row>
    <row r="94" spans="1:66" ht="12.75">
      <c r="A94" s="79" t="s">
        <v>603</v>
      </c>
      <c r="B94" s="79" t="s">
        <v>318</v>
      </c>
      <c r="C94" s="79" t="s">
        <v>272</v>
      </c>
      <c r="D94" s="99">
        <v>6655</v>
      </c>
      <c r="E94" s="99">
        <v>2339</v>
      </c>
      <c r="F94" s="99" t="s">
        <v>406</v>
      </c>
      <c r="G94" s="99">
        <v>73</v>
      </c>
      <c r="H94" s="99">
        <v>34</v>
      </c>
      <c r="I94" s="99">
        <v>157</v>
      </c>
      <c r="J94" s="99">
        <v>923</v>
      </c>
      <c r="K94" s="99">
        <v>27</v>
      </c>
      <c r="L94" s="99">
        <v>1069</v>
      </c>
      <c r="M94" s="99">
        <v>661</v>
      </c>
      <c r="N94" s="99">
        <v>407</v>
      </c>
      <c r="O94" s="99">
        <v>226</v>
      </c>
      <c r="P94" s="159">
        <v>226</v>
      </c>
      <c r="Q94" s="99">
        <v>31</v>
      </c>
      <c r="R94" s="99">
        <v>54</v>
      </c>
      <c r="S94" s="99">
        <v>51</v>
      </c>
      <c r="T94" s="99">
        <v>62</v>
      </c>
      <c r="U94" s="99">
        <v>16</v>
      </c>
      <c r="V94" s="99">
        <v>17</v>
      </c>
      <c r="W94" s="99">
        <v>76</v>
      </c>
      <c r="X94" s="99">
        <v>37</v>
      </c>
      <c r="Y94" s="99">
        <v>123</v>
      </c>
      <c r="Z94" s="99">
        <v>67</v>
      </c>
      <c r="AA94" s="99" t="s">
        <v>676</v>
      </c>
      <c r="AB94" s="99" t="s">
        <v>676</v>
      </c>
      <c r="AC94" s="99" t="s">
        <v>676</v>
      </c>
      <c r="AD94" s="98" t="s">
        <v>385</v>
      </c>
      <c r="AE94" s="100">
        <v>0.3514650638617581</v>
      </c>
      <c r="AF94" s="100">
        <v>0.09</v>
      </c>
      <c r="AG94" s="98">
        <v>1096.9196093163034</v>
      </c>
      <c r="AH94" s="98">
        <v>510.8940646130729</v>
      </c>
      <c r="AI94" s="100">
        <v>0.024</v>
      </c>
      <c r="AJ94" s="100">
        <v>0.801911</v>
      </c>
      <c r="AK94" s="100">
        <v>0.5</v>
      </c>
      <c r="AL94" s="100">
        <v>0.78893</v>
      </c>
      <c r="AM94" s="100">
        <v>0.519246</v>
      </c>
      <c r="AN94" s="100">
        <v>0.585612</v>
      </c>
      <c r="AO94" s="98">
        <v>3395.9429000751315</v>
      </c>
      <c r="AP94" s="158">
        <v>1.2256404109999999</v>
      </c>
      <c r="AQ94" s="100">
        <v>0.13716814159292035</v>
      </c>
      <c r="AR94" s="100">
        <v>0.5740740740740741</v>
      </c>
      <c r="AS94" s="98">
        <v>766.3410969196093</v>
      </c>
      <c r="AT94" s="98">
        <v>931.6303531179565</v>
      </c>
      <c r="AU94" s="98">
        <v>240.42073628850488</v>
      </c>
      <c r="AV94" s="98">
        <v>255.44703230653644</v>
      </c>
      <c r="AW94" s="98">
        <v>1141.9984973703981</v>
      </c>
      <c r="AX94" s="98">
        <v>555.9729526671675</v>
      </c>
      <c r="AY94" s="98">
        <v>1848.2344102178813</v>
      </c>
      <c r="AZ94" s="98">
        <v>1006.7618332081142</v>
      </c>
      <c r="BA94" s="100" t="s">
        <v>676</v>
      </c>
      <c r="BB94" s="100" t="s">
        <v>676</v>
      </c>
      <c r="BC94" s="100" t="s">
        <v>676</v>
      </c>
      <c r="BD94" s="158">
        <v>1.0710446930000002</v>
      </c>
      <c r="BE94" s="158">
        <v>1.396282501</v>
      </c>
      <c r="BF94" s="162">
        <v>1151</v>
      </c>
      <c r="BG94" s="162">
        <v>54</v>
      </c>
      <c r="BH94" s="162">
        <v>1355</v>
      </c>
      <c r="BI94" s="162">
        <v>1273</v>
      </c>
      <c r="BJ94" s="162">
        <v>695</v>
      </c>
      <c r="BK94" s="97"/>
      <c r="BL94" s="97"/>
      <c r="BM94" s="97"/>
      <c r="BN94" s="97"/>
    </row>
    <row r="95" spans="1:66" ht="12.75">
      <c r="A95" s="79" t="s">
        <v>584</v>
      </c>
      <c r="B95" s="79" t="s">
        <v>297</v>
      </c>
      <c r="C95" s="79" t="s">
        <v>272</v>
      </c>
      <c r="D95" s="99">
        <v>6481</v>
      </c>
      <c r="E95" s="99">
        <v>1686</v>
      </c>
      <c r="F95" s="99" t="s">
        <v>406</v>
      </c>
      <c r="G95" s="99">
        <v>46</v>
      </c>
      <c r="H95" s="99">
        <v>24</v>
      </c>
      <c r="I95" s="99">
        <v>123</v>
      </c>
      <c r="J95" s="99">
        <v>892</v>
      </c>
      <c r="K95" s="99">
        <v>871</v>
      </c>
      <c r="L95" s="99">
        <v>1152</v>
      </c>
      <c r="M95" s="99">
        <v>666</v>
      </c>
      <c r="N95" s="99">
        <v>397</v>
      </c>
      <c r="O95" s="99">
        <v>138</v>
      </c>
      <c r="P95" s="159">
        <v>138</v>
      </c>
      <c r="Q95" s="99">
        <v>26</v>
      </c>
      <c r="R95" s="99">
        <v>55</v>
      </c>
      <c r="S95" s="99">
        <v>25</v>
      </c>
      <c r="T95" s="99">
        <v>34</v>
      </c>
      <c r="U95" s="99" t="s">
        <v>676</v>
      </c>
      <c r="V95" s="99">
        <v>15</v>
      </c>
      <c r="W95" s="99">
        <v>48</v>
      </c>
      <c r="X95" s="99">
        <v>30</v>
      </c>
      <c r="Y95" s="99">
        <v>60</v>
      </c>
      <c r="Z95" s="99">
        <v>41</v>
      </c>
      <c r="AA95" s="99" t="s">
        <v>676</v>
      </c>
      <c r="AB95" s="99" t="s">
        <v>676</v>
      </c>
      <c r="AC95" s="99" t="s">
        <v>676</v>
      </c>
      <c r="AD95" s="98" t="s">
        <v>385</v>
      </c>
      <c r="AE95" s="100">
        <v>0.26014503934578</v>
      </c>
      <c r="AF95" s="100">
        <v>0.1</v>
      </c>
      <c r="AG95" s="98">
        <v>709.7670112636939</v>
      </c>
      <c r="AH95" s="98">
        <v>370.3132232680142</v>
      </c>
      <c r="AI95" s="100">
        <v>0.019</v>
      </c>
      <c r="AJ95" s="100">
        <v>0.785903</v>
      </c>
      <c r="AK95" s="100">
        <v>0.780466</v>
      </c>
      <c r="AL95" s="100">
        <v>0.799445</v>
      </c>
      <c r="AM95" s="100">
        <v>0.568745</v>
      </c>
      <c r="AN95" s="100">
        <v>0.620313</v>
      </c>
      <c r="AO95" s="98">
        <v>2129.3010337910814</v>
      </c>
      <c r="AP95" s="158">
        <v>0.8870565033</v>
      </c>
      <c r="AQ95" s="100">
        <v>0.18840579710144928</v>
      </c>
      <c r="AR95" s="100">
        <v>0.4727272727272727</v>
      </c>
      <c r="AS95" s="98">
        <v>385.74294090418147</v>
      </c>
      <c r="AT95" s="98">
        <v>524.6103996296868</v>
      </c>
      <c r="AU95" s="98" t="s">
        <v>676</v>
      </c>
      <c r="AV95" s="98">
        <v>231.44576454250887</v>
      </c>
      <c r="AW95" s="98">
        <v>740.6264465360284</v>
      </c>
      <c r="AX95" s="98">
        <v>462.89152908501774</v>
      </c>
      <c r="AY95" s="98">
        <v>925.7830581700355</v>
      </c>
      <c r="AZ95" s="98">
        <v>632.6184230828576</v>
      </c>
      <c r="BA95" s="100" t="s">
        <v>676</v>
      </c>
      <c r="BB95" s="100" t="s">
        <v>676</v>
      </c>
      <c r="BC95" s="100" t="s">
        <v>676</v>
      </c>
      <c r="BD95" s="158">
        <v>0.7452362061</v>
      </c>
      <c r="BE95" s="158">
        <v>1.048010559</v>
      </c>
      <c r="BF95" s="162">
        <v>1135</v>
      </c>
      <c r="BG95" s="162">
        <v>1116</v>
      </c>
      <c r="BH95" s="162">
        <v>1441</v>
      </c>
      <c r="BI95" s="162">
        <v>1171</v>
      </c>
      <c r="BJ95" s="162">
        <v>640</v>
      </c>
      <c r="BK95" s="97"/>
      <c r="BL95" s="97"/>
      <c r="BM95" s="97"/>
      <c r="BN95" s="97"/>
    </row>
    <row r="96" spans="1:66" ht="12.75">
      <c r="A96" s="79" t="s">
        <v>628</v>
      </c>
      <c r="B96" s="79" t="s">
        <v>344</v>
      </c>
      <c r="C96" s="79" t="s">
        <v>272</v>
      </c>
      <c r="D96" s="99">
        <v>9067</v>
      </c>
      <c r="E96" s="99">
        <v>1861</v>
      </c>
      <c r="F96" s="99" t="s">
        <v>407</v>
      </c>
      <c r="G96" s="99">
        <v>48</v>
      </c>
      <c r="H96" s="99">
        <v>31</v>
      </c>
      <c r="I96" s="99">
        <v>170</v>
      </c>
      <c r="J96" s="99">
        <v>916</v>
      </c>
      <c r="K96" s="99">
        <v>11</v>
      </c>
      <c r="L96" s="99">
        <v>1670</v>
      </c>
      <c r="M96" s="99">
        <v>629</v>
      </c>
      <c r="N96" s="99">
        <v>436</v>
      </c>
      <c r="O96" s="99">
        <v>126</v>
      </c>
      <c r="P96" s="159">
        <v>126</v>
      </c>
      <c r="Q96" s="99">
        <v>19</v>
      </c>
      <c r="R96" s="99">
        <v>42</v>
      </c>
      <c r="S96" s="99">
        <v>24</v>
      </c>
      <c r="T96" s="99">
        <v>18</v>
      </c>
      <c r="U96" s="99">
        <v>12</v>
      </c>
      <c r="V96" s="99">
        <v>11</v>
      </c>
      <c r="W96" s="99">
        <v>37</v>
      </c>
      <c r="X96" s="99">
        <v>42</v>
      </c>
      <c r="Y96" s="99">
        <v>69</v>
      </c>
      <c r="Z96" s="99">
        <v>54</v>
      </c>
      <c r="AA96" s="99" t="s">
        <v>676</v>
      </c>
      <c r="AB96" s="99" t="s">
        <v>676</v>
      </c>
      <c r="AC96" s="99" t="s">
        <v>676</v>
      </c>
      <c r="AD96" s="98" t="s">
        <v>385</v>
      </c>
      <c r="AE96" s="100">
        <v>0.20524980699238998</v>
      </c>
      <c r="AF96" s="100">
        <v>0.16</v>
      </c>
      <c r="AG96" s="98">
        <v>529.392301753612</v>
      </c>
      <c r="AH96" s="98">
        <v>341.8991948825411</v>
      </c>
      <c r="AI96" s="100">
        <v>0.019</v>
      </c>
      <c r="AJ96" s="100">
        <v>0.693939</v>
      </c>
      <c r="AK96" s="100">
        <v>0.323529</v>
      </c>
      <c r="AL96" s="100">
        <v>0.782935</v>
      </c>
      <c r="AM96" s="100">
        <v>0.466617</v>
      </c>
      <c r="AN96" s="100">
        <v>0.559692</v>
      </c>
      <c r="AO96" s="98">
        <v>1389.6547921032316</v>
      </c>
      <c r="AP96" s="158">
        <v>0.6663885498000001</v>
      </c>
      <c r="AQ96" s="100">
        <v>0.15079365079365079</v>
      </c>
      <c r="AR96" s="100">
        <v>0.4523809523809524</v>
      </c>
      <c r="AS96" s="98">
        <v>264.696150876806</v>
      </c>
      <c r="AT96" s="98">
        <v>198.5221131576045</v>
      </c>
      <c r="AU96" s="98">
        <v>132.348075438403</v>
      </c>
      <c r="AV96" s="98">
        <v>121.31906915186941</v>
      </c>
      <c r="AW96" s="98">
        <v>408.0732326017426</v>
      </c>
      <c r="AX96" s="98">
        <v>463.2182640344105</v>
      </c>
      <c r="AY96" s="98">
        <v>761.0014337708172</v>
      </c>
      <c r="AZ96" s="98">
        <v>595.5663394728135</v>
      </c>
      <c r="BA96" s="100" t="s">
        <v>676</v>
      </c>
      <c r="BB96" s="100" t="s">
        <v>676</v>
      </c>
      <c r="BC96" s="100" t="s">
        <v>676</v>
      </c>
      <c r="BD96" s="158">
        <v>0.5551194382</v>
      </c>
      <c r="BE96" s="158">
        <v>0.7934204102</v>
      </c>
      <c r="BF96" s="162">
        <v>1320</v>
      </c>
      <c r="BG96" s="162">
        <v>34</v>
      </c>
      <c r="BH96" s="162">
        <v>2133</v>
      </c>
      <c r="BI96" s="162">
        <v>1348</v>
      </c>
      <c r="BJ96" s="162">
        <v>779</v>
      </c>
      <c r="BK96" s="97"/>
      <c r="BL96" s="97"/>
      <c r="BM96" s="97"/>
      <c r="BN96" s="97"/>
    </row>
    <row r="97" spans="1:66" ht="12.75">
      <c r="A97" s="79" t="s">
        <v>579</v>
      </c>
      <c r="B97" s="79" t="s">
        <v>292</v>
      </c>
      <c r="C97" s="79" t="s">
        <v>272</v>
      </c>
      <c r="D97" s="99">
        <v>9988</v>
      </c>
      <c r="E97" s="99">
        <v>2027</v>
      </c>
      <c r="F97" s="99" t="s">
        <v>407</v>
      </c>
      <c r="G97" s="99">
        <v>59</v>
      </c>
      <c r="H97" s="99">
        <v>34</v>
      </c>
      <c r="I97" s="99">
        <v>148</v>
      </c>
      <c r="J97" s="99">
        <v>1083</v>
      </c>
      <c r="K97" s="99">
        <v>13</v>
      </c>
      <c r="L97" s="99">
        <v>1769</v>
      </c>
      <c r="M97" s="99">
        <v>722</v>
      </c>
      <c r="N97" s="99">
        <v>446</v>
      </c>
      <c r="O97" s="99">
        <v>215</v>
      </c>
      <c r="P97" s="159">
        <v>215</v>
      </c>
      <c r="Q97" s="99">
        <v>27</v>
      </c>
      <c r="R97" s="99">
        <v>55</v>
      </c>
      <c r="S97" s="99">
        <v>55</v>
      </c>
      <c r="T97" s="99">
        <v>32</v>
      </c>
      <c r="U97" s="99">
        <v>16</v>
      </c>
      <c r="V97" s="99">
        <v>25</v>
      </c>
      <c r="W97" s="99">
        <v>44</v>
      </c>
      <c r="X97" s="99">
        <v>48</v>
      </c>
      <c r="Y97" s="99">
        <v>104</v>
      </c>
      <c r="Z97" s="99">
        <v>60</v>
      </c>
      <c r="AA97" s="99" t="s">
        <v>676</v>
      </c>
      <c r="AB97" s="99" t="s">
        <v>676</v>
      </c>
      <c r="AC97" s="99" t="s">
        <v>676</v>
      </c>
      <c r="AD97" s="98" t="s">
        <v>385</v>
      </c>
      <c r="AE97" s="100">
        <v>0.2029435322386864</v>
      </c>
      <c r="AF97" s="100">
        <v>0.17</v>
      </c>
      <c r="AG97" s="98">
        <v>590.7088506207449</v>
      </c>
      <c r="AH97" s="98">
        <v>340.40849018822587</v>
      </c>
      <c r="AI97" s="100">
        <v>0.015</v>
      </c>
      <c r="AJ97" s="100">
        <v>0.722964</v>
      </c>
      <c r="AK97" s="100">
        <v>0.419355</v>
      </c>
      <c r="AL97" s="100">
        <v>0.773164</v>
      </c>
      <c r="AM97" s="100">
        <v>0.490489</v>
      </c>
      <c r="AN97" s="100">
        <v>0.554037</v>
      </c>
      <c r="AO97" s="98">
        <v>2152.5830997196636</v>
      </c>
      <c r="AP97" s="158">
        <v>1.034753494</v>
      </c>
      <c r="AQ97" s="100">
        <v>0.12558139534883722</v>
      </c>
      <c r="AR97" s="100">
        <v>0.4909090909090909</v>
      </c>
      <c r="AS97" s="98">
        <v>550.6607929515418</v>
      </c>
      <c r="AT97" s="98">
        <v>320.3844613536244</v>
      </c>
      <c r="AU97" s="98">
        <v>160.1922306768122</v>
      </c>
      <c r="AV97" s="98">
        <v>250.30036043251903</v>
      </c>
      <c r="AW97" s="98">
        <v>440.52863436123346</v>
      </c>
      <c r="AX97" s="98">
        <v>480.5766920304365</v>
      </c>
      <c r="AY97" s="98">
        <v>1041.249499399279</v>
      </c>
      <c r="AZ97" s="98">
        <v>600.7208650380456</v>
      </c>
      <c r="BA97" s="100" t="s">
        <v>676</v>
      </c>
      <c r="BB97" s="100" t="s">
        <v>676</v>
      </c>
      <c r="BC97" s="100" t="s">
        <v>676</v>
      </c>
      <c r="BD97" s="158">
        <v>0.9010529327000001</v>
      </c>
      <c r="BE97" s="158">
        <v>1.182702103</v>
      </c>
      <c r="BF97" s="162">
        <v>1498</v>
      </c>
      <c r="BG97" s="162">
        <v>31</v>
      </c>
      <c r="BH97" s="162">
        <v>2288</v>
      </c>
      <c r="BI97" s="162">
        <v>1472</v>
      </c>
      <c r="BJ97" s="162">
        <v>805</v>
      </c>
      <c r="BK97" s="97"/>
      <c r="BL97" s="97"/>
      <c r="BM97" s="97"/>
      <c r="BN97" s="97"/>
    </row>
    <row r="98" spans="1:66" ht="12.75">
      <c r="A98" s="79" t="s">
        <v>657</v>
      </c>
      <c r="B98" s="79" t="s">
        <v>373</v>
      </c>
      <c r="C98" s="79" t="s">
        <v>272</v>
      </c>
      <c r="D98" s="99">
        <v>2163</v>
      </c>
      <c r="E98" s="99">
        <v>654</v>
      </c>
      <c r="F98" s="99" t="s">
        <v>408</v>
      </c>
      <c r="G98" s="99">
        <v>13</v>
      </c>
      <c r="H98" s="99">
        <v>7</v>
      </c>
      <c r="I98" s="99">
        <v>67</v>
      </c>
      <c r="J98" s="99">
        <v>351</v>
      </c>
      <c r="K98" s="99">
        <v>6</v>
      </c>
      <c r="L98" s="99">
        <v>451</v>
      </c>
      <c r="M98" s="99">
        <v>305</v>
      </c>
      <c r="N98" s="99">
        <v>140</v>
      </c>
      <c r="O98" s="99">
        <v>62</v>
      </c>
      <c r="P98" s="159">
        <v>62</v>
      </c>
      <c r="Q98" s="99">
        <v>8</v>
      </c>
      <c r="R98" s="99">
        <v>18</v>
      </c>
      <c r="S98" s="99">
        <v>9</v>
      </c>
      <c r="T98" s="99">
        <v>10</v>
      </c>
      <c r="U98" s="99" t="s">
        <v>676</v>
      </c>
      <c r="V98" s="99">
        <v>13</v>
      </c>
      <c r="W98" s="99" t="s">
        <v>676</v>
      </c>
      <c r="X98" s="99" t="s">
        <v>676</v>
      </c>
      <c r="Y98" s="99" t="s">
        <v>676</v>
      </c>
      <c r="Z98" s="99">
        <v>14</v>
      </c>
      <c r="AA98" s="99" t="s">
        <v>676</v>
      </c>
      <c r="AB98" s="99" t="s">
        <v>676</v>
      </c>
      <c r="AC98" s="99" t="s">
        <v>676</v>
      </c>
      <c r="AD98" s="98" t="s">
        <v>385</v>
      </c>
      <c r="AE98" s="100">
        <v>0.30235783633841884</v>
      </c>
      <c r="AF98" s="100">
        <v>0.06</v>
      </c>
      <c r="AG98" s="98">
        <v>601.0171058714748</v>
      </c>
      <c r="AH98" s="98">
        <v>323.62459546925567</v>
      </c>
      <c r="AI98" s="100">
        <v>0.031</v>
      </c>
      <c r="AJ98" s="100">
        <v>0.849879</v>
      </c>
      <c r="AK98" s="100">
        <v>0.75</v>
      </c>
      <c r="AL98" s="100">
        <v>0.894841</v>
      </c>
      <c r="AM98" s="100">
        <v>0.712617</v>
      </c>
      <c r="AN98" s="100">
        <v>0.721649</v>
      </c>
      <c r="AO98" s="98">
        <v>2866.3892741562645</v>
      </c>
      <c r="AP98" s="158">
        <v>1.111778564</v>
      </c>
      <c r="AQ98" s="100">
        <v>0.12903225806451613</v>
      </c>
      <c r="AR98" s="100">
        <v>0.4444444444444444</v>
      </c>
      <c r="AS98" s="98">
        <v>416.08876560332874</v>
      </c>
      <c r="AT98" s="98">
        <v>462.32085067036525</v>
      </c>
      <c r="AU98" s="98" t="s">
        <v>676</v>
      </c>
      <c r="AV98" s="98">
        <v>601.0171058714748</v>
      </c>
      <c r="AW98" s="98" t="s">
        <v>676</v>
      </c>
      <c r="AX98" s="98" t="s">
        <v>676</v>
      </c>
      <c r="AY98" s="98" t="s">
        <v>676</v>
      </c>
      <c r="AZ98" s="98">
        <v>647.2491909385113</v>
      </c>
      <c r="BA98" s="100" t="s">
        <v>676</v>
      </c>
      <c r="BB98" s="100" t="s">
        <v>676</v>
      </c>
      <c r="BC98" s="100" t="s">
        <v>676</v>
      </c>
      <c r="BD98" s="158">
        <v>0.8523942565999999</v>
      </c>
      <c r="BE98" s="158">
        <v>1.425249939</v>
      </c>
      <c r="BF98" s="162">
        <v>413</v>
      </c>
      <c r="BG98" s="162">
        <v>8</v>
      </c>
      <c r="BH98" s="162">
        <v>504</v>
      </c>
      <c r="BI98" s="162">
        <v>428</v>
      </c>
      <c r="BJ98" s="162">
        <v>194</v>
      </c>
      <c r="BK98" s="97"/>
      <c r="BL98" s="97"/>
      <c r="BM98" s="97"/>
      <c r="BN98" s="97"/>
    </row>
    <row r="99" spans="1:66" ht="12.75">
      <c r="A99" s="79" t="s">
        <v>592</v>
      </c>
      <c r="B99" s="79" t="s">
        <v>306</v>
      </c>
      <c r="C99" s="79" t="s">
        <v>272</v>
      </c>
      <c r="D99" s="99">
        <v>7564</v>
      </c>
      <c r="E99" s="99">
        <v>1553</v>
      </c>
      <c r="F99" s="99" t="s">
        <v>408</v>
      </c>
      <c r="G99" s="99">
        <v>43</v>
      </c>
      <c r="H99" s="99">
        <v>23</v>
      </c>
      <c r="I99" s="99">
        <v>187</v>
      </c>
      <c r="J99" s="99">
        <v>834</v>
      </c>
      <c r="K99" s="99">
        <v>144</v>
      </c>
      <c r="L99" s="99">
        <v>1514</v>
      </c>
      <c r="M99" s="99">
        <v>577</v>
      </c>
      <c r="N99" s="99">
        <v>375</v>
      </c>
      <c r="O99" s="99">
        <v>277</v>
      </c>
      <c r="P99" s="159">
        <v>277</v>
      </c>
      <c r="Q99" s="99">
        <v>34</v>
      </c>
      <c r="R99" s="99">
        <v>51</v>
      </c>
      <c r="S99" s="99">
        <v>48</v>
      </c>
      <c r="T99" s="99">
        <v>56</v>
      </c>
      <c r="U99" s="99">
        <v>8</v>
      </c>
      <c r="V99" s="99">
        <v>77</v>
      </c>
      <c r="W99" s="99">
        <v>67</v>
      </c>
      <c r="X99" s="99">
        <v>36</v>
      </c>
      <c r="Y99" s="99">
        <v>107</v>
      </c>
      <c r="Z99" s="99">
        <v>58</v>
      </c>
      <c r="AA99" s="99" t="s">
        <v>676</v>
      </c>
      <c r="AB99" s="99" t="s">
        <v>676</v>
      </c>
      <c r="AC99" s="99" t="s">
        <v>676</v>
      </c>
      <c r="AD99" s="98" t="s">
        <v>385</v>
      </c>
      <c r="AE99" s="100">
        <v>0.2053146483342147</v>
      </c>
      <c r="AF99" s="100">
        <v>0.08</v>
      </c>
      <c r="AG99" s="98">
        <v>568.4822845055526</v>
      </c>
      <c r="AH99" s="98">
        <v>304.07191961924906</v>
      </c>
      <c r="AI99" s="100">
        <v>0.025</v>
      </c>
      <c r="AJ99" s="100">
        <v>0.76584</v>
      </c>
      <c r="AK99" s="100">
        <v>0.605042</v>
      </c>
      <c r="AL99" s="100">
        <v>0.82417</v>
      </c>
      <c r="AM99" s="100">
        <v>0.548479</v>
      </c>
      <c r="AN99" s="100">
        <v>0.637755</v>
      </c>
      <c r="AO99" s="98">
        <v>3662.083553675304</v>
      </c>
      <c r="AP99" s="158">
        <v>1.732448425</v>
      </c>
      <c r="AQ99" s="100">
        <v>0.12274368231046931</v>
      </c>
      <c r="AR99" s="100">
        <v>0.6666666666666666</v>
      </c>
      <c r="AS99" s="98">
        <v>634.5848757271285</v>
      </c>
      <c r="AT99" s="98">
        <v>740.3490216816499</v>
      </c>
      <c r="AU99" s="98">
        <v>105.76414595452141</v>
      </c>
      <c r="AV99" s="98">
        <v>1017.9799048122686</v>
      </c>
      <c r="AW99" s="98">
        <v>885.7747223691168</v>
      </c>
      <c r="AX99" s="98">
        <v>475.9386567953464</v>
      </c>
      <c r="AY99" s="98">
        <v>1414.5954521417239</v>
      </c>
      <c r="AZ99" s="98">
        <v>766.7900581702803</v>
      </c>
      <c r="BA99" s="100" t="s">
        <v>676</v>
      </c>
      <c r="BB99" s="100" t="s">
        <v>676</v>
      </c>
      <c r="BC99" s="100" t="s">
        <v>676</v>
      </c>
      <c r="BD99" s="158">
        <v>1.534417267</v>
      </c>
      <c r="BE99" s="158">
        <v>1.948946533</v>
      </c>
      <c r="BF99" s="162">
        <v>1089</v>
      </c>
      <c r="BG99" s="162">
        <v>238</v>
      </c>
      <c r="BH99" s="162">
        <v>1837</v>
      </c>
      <c r="BI99" s="162">
        <v>1052</v>
      </c>
      <c r="BJ99" s="162">
        <v>588</v>
      </c>
      <c r="BK99" s="97"/>
      <c r="BL99" s="97"/>
      <c r="BM99" s="97"/>
      <c r="BN99" s="97"/>
    </row>
    <row r="100" spans="1:66" ht="12.75">
      <c r="A100" s="79" t="s">
        <v>636</v>
      </c>
      <c r="B100" s="79" t="s">
        <v>352</v>
      </c>
      <c r="C100" s="79" t="s">
        <v>272</v>
      </c>
      <c r="D100" s="99">
        <v>3961</v>
      </c>
      <c r="E100" s="99">
        <v>751</v>
      </c>
      <c r="F100" s="99" t="s">
        <v>407</v>
      </c>
      <c r="G100" s="99">
        <v>25</v>
      </c>
      <c r="H100" s="99">
        <v>14</v>
      </c>
      <c r="I100" s="99">
        <v>72</v>
      </c>
      <c r="J100" s="99">
        <v>302</v>
      </c>
      <c r="K100" s="99">
        <v>11</v>
      </c>
      <c r="L100" s="99">
        <v>699</v>
      </c>
      <c r="M100" s="99">
        <v>184</v>
      </c>
      <c r="N100" s="99">
        <v>129</v>
      </c>
      <c r="O100" s="99">
        <v>113</v>
      </c>
      <c r="P100" s="159">
        <v>113</v>
      </c>
      <c r="Q100" s="99">
        <v>12</v>
      </c>
      <c r="R100" s="99">
        <v>25</v>
      </c>
      <c r="S100" s="99">
        <v>27</v>
      </c>
      <c r="T100" s="99">
        <v>19</v>
      </c>
      <c r="U100" s="99" t="s">
        <v>676</v>
      </c>
      <c r="V100" s="99">
        <v>20</v>
      </c>
      <c r="W100" s="99">
        <v>33</v>
      </c>
      <c r="X100" s="99">
        <v>11</v>
      </c>
      <c r="Y100" s="99">
        <v>45</v>
      </c>
      <c r="Z100" s="99">
        <v>21</v>
      </c>
      <c r="AA100" s="99" t="s">
        <v>676</v>
      </c>
      <c r="AB100" s="99" t="s">
        <v>676</v>
      </c>
      <c r="AC100" s="99" t="s">
        <v>676</v>
      </c>
      <c r="AD100" s="98" t="s">
        <v>385</v>
      </c>
      <c r="AE100" s="100">
        <v>0.18959858621560213</v>
      </c>
      <c r="AF100" s="100">
        <v>0.16</v>
      </c>
      <c r="AG100" s="98">
        <v>631.1537490532694</v>
      </c>
      <c r="AH100" s="98">
        <v>353.44609946983087</v>
      </c>
      <c r="AI100" s="100">
        <v>0.018000000000000002</v>
      </c>
      <c r="AJ100" s="100">
        <v>0.67713</v>
      </c>
      <c r="AK100" s="100">
        <v>0.733333</v>
      </c>
      <c r="AL100" s="100">
        <v>0.791619</v>
      </c>
      <c r="AM100" s="100">
        <v>0.45098</v>
      </c>
      <c r="AN100" s="100">
        <v>0.54661</v>
      </c>
      <c r="AO100" s="98">
        <v>2852.8149457207774</v>
      </c>
      <c r="AP100" s="158">
        <v>1.489250031</v>
      </c>
      <c r="AQ100" s="100">
        <v>0.10619469026548672</v>
      </c>
      <c r="AR100" s="100">
        <v>0.48</v>
      </c>
      <c r="AS100" s="98">
        <v>681.6460489775309</v>
      </c>
      <c r="AT100" s="98">
        <v>479.6768492804847</v>
      </c>
      <c r="AU100" s="98" t="s">
        <v>676</v>
      </c>
      <c r="AV100" s="98">
        <v>504.9229992426155</v>
      </c>
      <c r="AW100" s="98">
        <v>833.1229487503156</v>
      </c>
      <c r="AX100" s="98">
        <v>277.7076495834385</v>
      </c>
      <c r="AY100" s="98">
        <v>1136.076748295885</v>
      </c>
      <c r="AZ100" s="98">
        <v>530.1691492047463</v>
      </c>
      <c r="BA100" s="100" t="s">
        <v>676</v>
      </c>
      <c r="BB100" s="100" t="s">
        <v>676</v>
      </c>
      <c r="BC100" s="100" t="s">
        <v>676</v>
      </c>
      <c r="BD100" s="158">
        <v>1.227352829</v>
      </c>
      <c r="BE100" s="158">
        <v>1.790489349</v>
      </c>
      <c r="BF100" s="162">
        <v>446</v>
      </c>
      <c r="BG100" s="162">
        <v>15</v>
      </c>
      <c r="BH100" s="162">
        <v>883</v>
      </c>
      <c r="BI100" s="162">
        <v>408</v>
      </c>
      <c r="BJ100" s="162">
        <v>236</v>
      </c>
      <c r="BK100" s="97"/>
      <c r="BL100" s="97"/>
      <c r="BM100" s="97"/>
      <c r="BN100" s="97"/>
    </row>
    <row r="101" spans="1:66" ht="12.75">
      <c r="A101" s="79" t="s">
        <v>660</v>
      </c>
      <c r="B101" s="79" t="s">
        <v>376</v>
      </c>
      <c r="C101" s="79" t="s">
        <v>272</v>
      </c>
      <c r="D101" s="99">
        <v>5086</v>
      </c>
      <c r="E101" s="99">
        <v>467</v>
      </c>
      <c r="F101" s="99" t="s">
        <v>405</v>
      </c>
      <c r="G101" s="99">
        <v>20</v>
      </c>
      <c r="H101" s="99">
        <v>9</v>
      </c>
      <c r="I101" s="99">
        <v>54</v>
      </c>
      <c r="J101" s="99">
        <v>252</v>
      </c>
      <c r="K101" s="99">
        <v>236</v>
      </c>
      <c r="L101" s="99">
        <v>831</v>
      </c>
      <c r="M101" s="99">
        <v>109</v>
      </c>
      <c r="N101" s="99">
        <v>64</v>
      </c>
      <c r="O101" s="99">
        <v>88</v>
      </c>
      <c r="P101" s="159">
        <v>88</v>
      </c>
      <c r="Q101" s="99">
        <v>6</v>
      </c>
      <c r="R101" s="99">
        <v>19</v>
      </c>
      <c r="S101" s="99">
        <v>24</v>
      </c>
      <c r="T101" s="99">
        <v>14</v>
      </c>
      <c r="U101" s="99" t="s">
        <v>676</v>
      </c>
      <c r="V101" s="99">
        <v>14</v>
      </c>
      <c r="W101" s="99">
        <v>36</v>
      </c>
      <c r="X101" s="99">
        <v>7</v>
      </c>
      <c r="Y101" s="99">
        <v>42</v>
      </c>
      <c r="Z101" s="99">
        <v>17</v>
      </c>
      <c r="AA101" s="99" t="s">
        <v>676</v>
      </c>
      <c r="AB101" s="99" t="s">
        <v>676</v>
      </c>
      <c r="AC101" s="99" t="s">
        <v>676</v>
      </c>
      <c r="AD101" s="98" t="s">
        <v>385</v>
      </c>
      <c r="AE101" s="100">
        <v>0.09182068423122297</v>
      </c>
      <c r="AF101" s="100">
        <v>0.2</v>
      </c>
      <c r="AG101" s="98">
        <v>393.23633503735743</v>
      </c>
      <c r="AH101" s="98">
        <v>176.95635076681086</v>
      </c>
      <c r="AI101" s="100">
        <v>0.011000000000000001</v>
      </c>
      <c r="AJ101" s="100">
        <v>0.572727</v>
      </c>
      <c r="AK101" s="100">
        <v>0.56057</v>
      </c>
      <c r="AL101" s="100">
        <v>0.694236</v>
      </c>
      <c r="AM101" s="100">
        <v>0.343849</v>
      </c>
      <c r="AN101" s="100">
        <v>0.367816</v>
      </c>
      <c r="AO101" s="98">
        <v>1730.2398741643728</v>
      </c>
      <c r="AP101" s="158">
        <v>1.223160324</v>
      </c>
      <c r="AQ101" s="100">
        <v>0.06818181818181818</v>
      </c>
      <c r="AR101" s="100">
        <v>0.3157894736842105</v>
      </c>
      <c r="AS101" s="98">
        <v>471.88360204482893</v>
      </c>
      <c r="AT101" s="98">
        <v>275.2654345261502</v>
      </c>
      <c r="AU101" s="98" t="s">
        <v>676</v>
      </c>
      <c r="AV101" s="98">
        <v>275.2654345261502</v>
      </c>
      <c r="AW101" s="98">
        <v>707.8254030672434</v>
      </c>
      <c r="AX101" s="98">
        <v>137.6327172630751</v>
      </c>
      <c r="AY101" s="98">
        <v>825.7963035784506</v>
      </c>
      <c r="AZ101" s="98">
        <v>334.2508847817538</v>
      </c>
      <c r="BA101" s="100" t="s">
        <v>676</v>
      </c>
      <c r="BB101" s="100" t="s">
        <v>676</v>
      </c>
      <c r="BC101" s="100" t="s">
        <v>676</v>
      </c>
      <c r="BD101" s="158">
        <v>0.9810103607</v>
      </c>
      <c r="BE101" s="158">
        <v>1.5069677730000002</v>
      </c>
      <c r="BF101" s="162">
        <v>440</v>
      </c>
      <c r="BG101" s="162">
        <v>421</v>
      </c>
      <c r="BH101" s="162">
        <v>1197</v>
      </c>
      <c r="BI101" s="162">
        <v>317</v>
      </c>
      <c r="BJ101" s="162">
        <v>174</v>
      </c>
      <c r="BK101" s="97"/>
      <c r="BL101" s="97"/>
      <c r="BM101" s="97"/>
      <c r="BN101" s="97"/>
    </row>
    <row r="102" spans="1:66" ht="12.75">
      <c r="A102" s="79" t="s">
        <v>635</v>
      </c>
      <c r="B102" s="79" t="s">
        <v>351</v>
      </c>
      <c r="C102" s="79" t="s">
        <v>272</v>
      </c>
      <c r="D102" s="99">
        <v>8584</v>
      </c>
      <c r="E102" s="99">
        <v>1811</v>
      </c>
      <c r="F102" s="99" t="s">
        <v>407</v>
      </c>
      <c r="G102" s="99">
        <v>48</v>
      </c>
      <c r="H102" s="99">
        <v>25</v>
      </c>
      <c r="I102" s="99">
        <v>139</v>
      </c>
      <c r="J102" s="99">
        <v>877</v>
      </c>
      <c r="K102" s="99">
        <v>18</v>
      </c>
      <c r="L102" s="99">
        <v>1534</v>
      </c>
      <c r="M102" s="99">
        <v>621</v>
      </c>
      <c r="N102" s="99">
        <v>387</v>
      </c>
      <c r="O102" s="99">
        <v>163</v>
      </c>
      <c r="P102" s="159">
        <v>163</v>
      </c>
      <c r="Q102" s="99">
        <v>14</v>
      </c>
      <c r="R102" s="99">
        <v>34</v>
      </c>
      <c r="S102" s="99">
        <v>43</v>
      </c>
      <c r="T102" s="99">
        <v>21</v>
      </c>
      <c r="U102" s="99" t="s">
        <v>676</v>
      </c>
      <c r="V102" s="99">
        <v>15</v>
      </c>
      <c r="W102" s="99">
        <v>44</v>
      </c>
      <c r="X102" s="99">
        <v>49</v>
      </c>
      <c r="Y102" s="99">
        <v>91</v>
      </c>
      <c r="Z102" s="99">
        <v>43</v>
      </c>
      <c r="AA102" s="99" t="s">
        <v>676</v>
      </c>
      <c r="AB102" s="99" t="s">
        <v>676</v>
      </c>
      <c r="AC102" s="99" t="s">
        <v>676</v>
      </c>
      <c r="AD102" s="98" t="s">
        <v>385</v>
      </c>
      <c r="AE102" s="100">
        <v>0.21097390493942217</v>
      </c>
      <c r="AF102" s="100">
        <v>0.16</v>
      </c>
      <c r="AG102" s="98">
        <v>559.1798695246971</v>
      </c>
      <c r="AH102" s="98">
        <v>291.2395153774464</v>
      </c>
      <c r="AI102" s="100">
        <v>0.016</v>
      </c>
      <c r="AJ102" s="100">
        <v>0.720033</v>
      </c>
      <c r="AK102" s="100">
        <v>0.62069</v>
      </c>
      <c r="AL102" s="100">
        <v>0.767384</v>
      </c>
      <c r="AM102" s="100">
        <v>0.510271</v>
      </c>
      <c r="AN102" s="100">
        <v>0.557637</v>
      </c>
      <c r="AO102" s="98">
        <v>1898.8816402609507</v>
      </c>
      <c r="AP102" s="158">
        <v>0.9024865723000001</v>
      </c>
      <c r="AQ102" s="100">
        <v>0.08588957055214724</v>
      </c>
      <c r="AR102" s="100">
        <v>0.4117647058823529</v>
      </c>
      <c r="AS102" s="98">
        <v>500.93196644920783</v>
      </c>
      <c r="AT102" s="98">
        <v>244.64119291705498</v>
      </c>
      <c r="AU102" s="98" t="s">
        <v>676</v>
      </c>
      <c r="AV102" s="98">
        <v>174.74370922646784</v>
      </c>
      <c r="AW102" s="98">
        <v>512.5815470643057</v>
      </c>
      <c r="AX102" s="98">
        <v>570.829450139795</v>
      </c>
      <c r="AY102" s="98">
        <v>1060.111835973905</v>
      </c>
      <c r="AZ102" s="98">
        <v>500.93196644920783</v>
      </c>
      <c r="BA102" s="100" t="s">
        <v>676</v>
      </c>
      <c r="BB102" s="100" t="s">
        <v>676</v>
      </c>
      <c r="BC102" s="100" t="s">
        <v>676</v>
      </c>
      <c r="BD102" s="158">
        <v>0.7692565155</v>
      </c>
      <c r="BE102" s="158">
        <v>1.05216156</v>
      </c>
      <c r="BF102" s="162">
        <v>1218</v>
      </c>
      <c r="BG102" s="162">
        <v>29</v>
      </c>
      <c r="BH102" s="162">
        <v>1999</v>
      </c>
      <c r="BI102" s="162">
        <v>1217</v>
      </c>
      <c r="BJ102" s="162">
        <v>694</v>
      </c>
      <c r="BK102" s="97"/>
      <c r="BL102" s="97"/>
      <c r="BM102" s="97"/>
      <c r="BN102" s="97"/>
    </row>
    <row r="103" spans="1:66" ht="12.75">
      <c r="A103" s="79" t="s">
        <v>637</v>
      </c>
      <c r="B103" s="79" t="s">
        <v>353</v>
      </c>
      <c r="C103" s="79" t="s">
        <v>272</v>
      </c>
      <c r="D103" s="99">
        <v>3461</v>
      </c>
      <c r="E103" s="99">
        <v>706</v>
      </c>
      <c r="F103" s="99" t="s">
        <v>408</v>
      </c>
      <c r="G103" s="99">
        <v>16</v>
      </c>
      <c r="H103" s="99">
        <v>7</v>
      </c>
      <c r="I103" s="99">
        <v>50</v>
      </c>
      <c r="J103" s="99">
        <v>439</v>
      </c>
      <c r="K103" s="99">
        <v>280</v>
      </c>
      <c r="L103" s="99">
        <v>704</v>
      </c>
      <c r="M103" s="99">
        <v>264</v>
      </c>
      <c r="N103" s="99">
        <v>173</v>
      </c>
      <c r="O103" s="99">
        <v>93</v>
      </c>
      <c r="P103" s="159">
        <v>93</v>
      </c>
      <c r="Q103" s="99">
        <v>14</v>
      </c>
      <c r="R103" s="99">
        <v>23</v>
      </c>
      <c r="S103" s="99">
        <v>22</v>
      </c>
      <c r="T103" s="99">
        <v>27</v>
      </c>
      <c r="U103" s="99" t="s">
        <v>676</v>
      </c>
      <c r="V103" s="99">
        <v>10</v>
      </c>
      <c r="W103" s="99">
        <v>50</v>
      </c>
      <c r="X103" s="99">
        <v>12</v>
      </c>
      <c r="Y103" s="99">
        <v>54</v>
      </c>
      <c r="Z103" s="99">
        <v>14</v>
      </c>
      <c r="AA103" s="99" t="s">
        <v>676</v>
      </c>
      <c r="AB103" s="99" t="s">
        <v>676</v>
      </c>
      <c r="AC103" s="99" t="s">
        <v>676</v>
      </c>
      <c r="AD103" s="98" t="s">
        <v>385</v>
      </c>
      <c r="AE103" s="100">
        <v>0.2039872869112973</v>
      </c>
      <c r="AF103" s="100">
        <v>0.06</v>
      </c>
      <c r="AG103" s="98">
        <v>462.29413464316673</v>
      </c>
      <c r="AH103" s="98">
        <v>202.25368390638545</v>
      </c>
      <c r="AI103" s="100">
        <v>0.013999999999999999</v>
      </c>
      <c r="AJ103" s="100">
        <v>0.814471</v>
      </c>
      <c r="AK103" s="100">
        <v>0.773481</v>
      </c>
      <c r="AL103" s="100">
        <v>0.801822</v>
      </c>
      <c r="AM103" s="100">
        <v>0.55814</v>
      </c>
      <c r="AN103" s="100">
        <v>0.645522</v>
      </c>
      <c r="AO103" s="98">
        <v>2687.0846576134063</v>
      </c>
      <c r="AP103" s="158">
        <v>1.228597717</v>
      </c>
      <c r="AQ103" s="100">
        <v>0.15053763440860216</v>
      </c>
      <c r="AR103" s="100">
        <v>0.6086956521739131</v>
      </c>
      <c r="AS103" s="98">
        <v>635.6544351343542</v>
      </c>
      <c r="AT103" s="98">
        <v>780.1213522103438</v>
      </c>
      <c r="AU103" s="98" t="s">
        <v>676</v>
      </c>
      <c r="AV103" s="98">
        <v>288.93383415197917</v>
      </c>
      <c r="AW103" s="98">
        <v>1444.669170759896</v>
      </c>
      <c r="AX103" s="98">
        <v>346.72060098237506</v>
      </c>
      <c r="AY103" s="98">
        <v>1560.2427044206877</v>
      </c>
      <c r="AZ103" s="98">
        <v>404.5073678127709</v>
      </c>
      <c r="BA103" s="100" t="s">
        <v>676</v>
      </c>
      <c r="BB103" s="100" t="s">
        <v>676</v>
      </c>
      <c r="BC103" s="100" t="s">
        <v>676</v>
      </c>
      <c r="BD103" s="158">
        <v>0.9916369629</v>
      </c>
      <c r="BE103" s="158">
        <v>1.505115204</v>
      </c>
      <c r="BF103" s="162">
        <v>539</v>
      </c>
      <c r="BG103" s="162">
        <v>362</v>
      </c>
      <c r="BH103" s="162">
        <v>878</v>
      </c>
      <c r="BI103" s="162">
        <v>473</v>
      </c>
      <c r="BJ103" s="162">
        <v>268</v>
      </c>
      <c r="BK103" s="97"/>
      <c r="BL103" s="97"/>
      <c r="BM103" s="97"/>
      <c r="BN103" s="97"/>
    </row>
    <row r="104" spans="1:66" ht="12.75">
      <c r="A104" s="79" t="s">
        <v>643</v>
      </c>
      <c r="B104" s="79" t="s">
        <v>359</v>
      </c>
      <c r="C104" s="79" t="s">
        <v>272</v>
      </c>
      <c r="D104" s="99">
        <v>3725</v>
      </c>
      <c r="E104" s="99">
        <v>875</v>
      </c>
      <c r="F104" s="99" t="s">
        <v>408</v>
      </c>
      <c r="G104" s="99">
        <v>22</v>
      </c>
      <c r="H104" s="99">
        <v>16</v>
      </c>
      <c r="I104" s="99">
        <v>53</v>
      </c>
      <c r="J104" s="99">
        <v>439</v>
      </c>
      <c r="K104" s="99">
        <v>11</v>
      </c>
      <c r="L104" s="99">
        <v>739</v>
      </c>
      <c r="M104" s="99">
        <v>330</v>
      </c>
      <c r="N104" s="99">
        <v>223</v>
      </c>
      <c r="O104" s="99">
        <v>72</v>
      </c>
      <c r="P104" s="159">
        <v>72</v>
      </c>
      <c r="Q104" s="99">
        <v>11</v>
      </c>
      <c r="R104" s="99">
        <v>26</v>
      </c>
      <c r="S104" s="99">
        <v>16</v>
      </c>
      <c r="T104" s="99">
        <v>15</v>
      </c>
      <c r="U104" s="99" t="s">
        <v>676</v>
      </c>
      <c r="V104" s="99">
        <v>18</v>
      </c>
      <c r="W104" s="99">
        <v>28</v>
      </c>
      <c r="X104" s="99">
        <v>12</v>
      </c>
      <c r="Y104" s="99">
        <v>34</v>
      </c>
      <c r="Z104" s="99">
        <v>27</v>
      </c>
      <c r="AA104" s="99" t="s">
        <v>676</v>
      </c>
      <c r="AB104" s="99" t="s">
        <v>676</v>
      </c>
      <c r="AC104" s="99" t="s">
        <v>676</v>
      </c>
      <c r="AD104" s="98" t="s">
        <v>385</v>
      </c>
      <c r="AE104" s="100">
        <v>0.2348993288590604</v>
      </c>
      <c r="AF104" s="100">
        <v>0.08</v>
      </c>
      <c r="AG104" s="98">
        <v>590.6040268456376</v>
      </c>
      <c r="AH104" s="98">
        <v>429.5302013422819</v>
      </c>
      <c r="AI104" s="100">
        <v>0.013999999999999999</v>
      </c>
      <c r="AJ104" s="100">
        <v>0.758204</v>
      </c>
      <c r="AK104" s="100">
        <v>0.611111</v>
      </c>
      <c r="AL104" s="100">
        <v>0.831271</v>
      </c>
      <c r="AM104" s="100">
        <v>0.564103</v>
      </c>
      <c r="AN104" s="100">
        <v>0.659763</v>
      </c>
      <c r="AO104" s="98">
        <v>1932.8859060402685</v>
      </c>
      <c r="AP104" s="158">
        <v>0.8640905762</v>
      </c>
      <c r="AQ104" s="100">
        <v>0.1527777777777778</v>
      </c>
      <c r="AR104" s="100">
        <v>0.4230769230769231</v>
      </c>
      <c r="AS104" s="98">
        <v>429.5302013422819</v>
      </c>
      <c r="AT104" s="98">
        <v>402.6845637583893</v>
      </c>
      <c r="AU104" s="98" t="s">
        <v>676</v>
      </c>
      <c r="AV104" s="98">
        <v>483.22147651006713</v>
      </c>
      <c r="AW104" s="98">
        <v>751.6778523489933</v>
      </c>
      <c r="AX104" s="98">
        <v>322.1476510067114</v>
      </c>
      <c r="AY104" s="98">
        <v>912.751677852349</v>
      </c>
      <c r="AZ104" s="98">
        <v>724.8322147651006</v>
      </c>
      <c r="BA104" s="100" t="s">
        <v>676</v>
      </c>
      <c r="BB104" s="100" t="s">
        <v>676</v>
      </c>
      <c r="BC104" s="100" t="s">
        <v>676</v>
      </c>
      <c r="BD104" s="158">
        <v>0.676097641</v>
      </c>
      <c r="BE104" s="158">
        <v>1.088179016</v>
      </c>
      <c r="BF104" s="162">
        <v>579</v>
      </c>
      <c r="BG104" s="162">
        <v>18</v>
      </c>
      <c r="BH104" s="162">
        <v>889</v>
      </c>
      <c r="BI104" s="162">
        <v>585</v>
      </c>
      <c r="BJ104" s="162">
        <v>338</v>
      </c>
      <c r="BK104" s="97"/>
      <c r="BL104" s="97"/>
      <c r="BM104" s="97"/>
      <c r="BN104" s="97"/>
    </row>
    <row r="105" spans="1:66" ht="12.75">
      <c r="A105" s="79" t="s">
        <v>617</v>
      </c>
      <c r="B105" s="79" t="s">
        <v>333</v>
      </c>
      <c r="C105" s="79" t="s">
        <v>272</v>
      </c>
      <c r="D105" s="99">
        <v>5315</v>
      </c>
      <c r="E105" s="99">
        <v>1441</v>
      </c>
      <c r="F105" s="99" t="s">
        <v>406</v>
      </c>
      <c r="G105" s="99">
        <v>36</v>
      </c>
      <c r="H105" s="99">
        <v>19</v>
      </c>
      <c r="I105" s="99">
        <v>128</v>
      </c>
      <c r="J105" s="99">
        <v>759</v>
      </c>
      <c r="K105" s="99">
        <v>105</v>
      </c>
      <c r="L105" s="99">
        <v>1009</v>
      </c>
      <c r="M105" s="99">
        <v>637</v>
      </c>
      <c r="N105" s="99">
        <v>333</v>
      </c>
      <c r="O105" s="99">
        <v>174</v>
      </c>
      <c r="P105" s="159">
        <v>174</v>
      </c>
      <c r="Q105" s="99">
        <v>27</v>
      </c>
      <c r="R105" s="99">
        <v>51</v>
      </c>
      <c r="S105" s="99">
        <v>28</v>
      </c>
      <c r="T105" s="99">
        <v>28</v>
      </c>
      <c r="U105" s="99">
        <v>6</v>
      </c>
      <c r="V105" s="99">
        <v>54</v>
      </c>
      <c r="W105" s="99" t="s">
        <v>676</v>
      </c>
      <c r="X105" s="99" t="s">
        <v>676</v>
      </c>
      <c r="Y105" s="99">
        <v>8</v>
      </c>
      <c r="Z105" s="99">
        <v>31</v>
      </c>
      <c r="AA105" s="99" t="s">
        <v>676</v>
      </c>
      <c r="AB105" s="99" t="s">
        <v>676</v>
      </c>
      <c r="AC105" s="99" t="s">
        <v>676</v>
      </c>
      <c r="AD105" s="98" t="s">
        <v>385</v>
      </c>
      <c r="AE105" s="100">
        <v>0.27111947318908747</v>
      </c>
      <c r="AF105" s="100">
        <v>0.09</v>
      </c>
      <c r="AG105" s="98">
        <v>677.3283160865475</v>
      </c>
      <c r="AH105" s="98">
        <v>357.47883349012227</v>
      </c>
      <c r="AI105" s="100">
        <v>0.024</v>
      </c>
      <c r="AJ105" s="100">
        <v>0.825</v>
      </c>
      <c r="AK105" s="100">
        <v>0.889831</v>
      </c>
      <c r="AL105" s="100">
        <v>0.830453</v>
      </c>
      <c r="AM105" s="100">
        <v>0.683476</v>
      </c>
      <c r="AN105" s="100">
        <v>0.717672</v>
      </c>
      <c r="AO105" s="98">
        <v>3273.7535277516463</v>
      </c>
      <c r="AP105" s="158">
        <v>1.350455627</v>
      </c>
      <c r="AQ105" s="100">
        <v>0.15517241379310345</v>
      </c>
      <c r="AR105" s="100">
        <v>0.5294117647058824</v>
      </c>
      <c r="AS105" s="98">
        <v>526.8109125117592</v>
      </c>
      <c r="AT105" s="98">
        <v>526.8109125117592</v>
      </c>
      <c r="AU105" s="98">
        <v>112.88805268109125</v>
      </c>
      <c r="AV105" s="98">
        <v>1015.9924741298213</v>
      </c>
      <c r="AW105" s="98" t="s">
        <v>676</v>
      </c>
      <c r="AX105" s="98" t="s">
        <v>676</v>
      </c>
      <c r="AY105" s="98">
        <v>150.51740357478835</v>
      </c>
      <c r="AZ105" s="98">
        <v>583.2549388523048</v>
      </c>
      <c r="BA105" s="100" t="s">
        <v>676</v>
      </c>
      <c r="BB105" s="100" t="s">
        <v>676</v>
      </c>
      <c r="BC105" s="100" t="s">
        <v>676</v>
      </c>
      <c r="BD105" s="158">
        <v>1.157247925</v>
      </c>
      <c r="BE105" s="158">
        <v>1.5666966249999998</v>
      </c>
      <c r="BF105" s="162">
        <v>920</v>
      </c>
      <c r="BG105" s="162">
        <v>118</v>
      </c>
      <c r="BH105" s="162">
        <v>1215</v>
      </c>
      <c r="BI105" s="162">
        <v>932</v>
      </c>
      <c r="BJ105" s="162">
        <v>464</v>
      </c>
      <c r="BK105" s="97"/>
      <c r="BL105" s="97"/>
      <c r="BM105" s="97"/>
      <c r="BN105" s="97"/>
    </row>
    <row r="106" spans="1:66" ht="12.75">
      <c r="A106" s="79" t="s">
        <v>633</v>
      </c>
      <c r="B106" s="79" t="s">
        <v>349</v>
      </c>
      <c r="C106" s="79" t="s">
        <v>272</v>
      </c>
      <c r="D106" s="99">
        <v>7204</v>
      </c>
      <c r="E106" s="99">
        <v>1686</v>
      </c>
      <c r="F106" s="99" t="s">
        <v>408</v>
      </c>
      <c r="G106" s="99">
        <v>49</v>
      </c>
      <c r="H106" s="99">
        <v>23</v>
      </c>
      <c r="I106" s="99">
        <v>198</v>
      </c>
      <c r="J106" s="99">
        <v>919</v>
      </c>
      <c r="K106" s="99">
        <v>770</v>
      </c>
      <c r="L106" s="99">
        <v>1467</v>
      </c>
      <c r="M106" s="99">
        <v>786</v>
      </c>
      <c r="N106" s="99">
        <v>404</v>
      </c>
      <c r="O106" s="99">
        <v>240</v>
      </c>
      <c r="P106" s="159">
        <v>240</v>
      </c>
      <c r="Q106" s="99">
        <v>30</v>
      </c>
      <c r="R106" s="99">
        <v>51</v>
      </c>
      <c r="S106" s="99">
        <v>48</v>
      </c>
      <c r="T106" s="99">
        <v>33</v>
      </c>
      <c r="U106" s="99">
        <v>6</v>
      </c>
      <c r="V106" s="99">
        <v>68</v>
      </c>
      <c r="W106" s="99" t="s">
        <v>676</v>
      </c>
      <c r="X106" s="99">
        <v>6</v>
      </c>
      <c r="Y106" s="99">
        <v>19</v>
      </c>
      <c r="Z106" s="99">
        <v>59</v>
      </c>
      <c r="AA106" s="99" t="s">
        <v>676</v>
      </c>
      <c r="AB106" s="99" t="s">
        <v>676</v>
      </c>
      <c r="AC106" s="99" t="s">
        <v>676</v>
      </c>
      <c r="AD106" s="98" t="s">
        <v>385</v>
      </c>
      <c r="AE106" s="100">
        <v>0.23403664630760687</v>
      </c>
      <c r="AF106" s="100">
        <v>0.08</v>
      </c>
      <c r="AG106" s="98">
        <v>680.177679067185</v>
      </c>
      <c r="AH106" s="98">
        <v>319.2670738478623</v>
      </c>
      <c r="AI106" s="100">
        <v>0.027000000000000003</v>
      </c>
      <c r="AJ106" s="100">
        <v>0.762023</v>
      </c>
      <c r="AK106" s="100">
        <v>0.912322</v>
      </c>
      <c r="AL106" s="100">
        <v>0.812742</v>
      </c>
      <c r="AM106" s="100">
        <v>0.664975</v>
      </c>
      <c r="AN106" s="100">
        <v>0.711268</v>
      </c>
      <c r="AO106" s="98">
        <v>3331.482509716824</v>
      </c>
      <c r="AP106" s="158">
        <v>1.4439559940000002</v>
      </c>
      <c r="AQ106" s="100">
        <v>0.125</v>
      </c>
      <c r="AR106" s="100">
        <v>0.5882352941176471</v>
      </c>
      <c r="AS106" s="98">
        <v>666.2965019433648</v>
      </c>
      <c r="AT106" s="98">
        <v>458.0788450860633</v>
      </c>
      <c r="AU106" s="98">
        <v>83.2870627429206</v>
      </c>
      <c r="AV106" s="98">
        <v>943.9200444197668</v>
      </c>
      <c r="AW106" s="98" t="s">
        <v>676</v>
      </c>
      <c r="AX106" s="98">
        <v>83.2870627429206</v>
      </c>
      <c r="AY106" s="98">
        <v>263.7423653525819</v>
      </c>
      <c r="AZ106" s="98">
        <v>818.9894503053858</v>
      </c>
      <c r="BA106" s="100" t="s">
        <v>676</v>
      </c>
      <c r="BB106" s="100" t="s">
        <v>676</v>
      </c>
      <c r="BC106" s="100" t="s">
        <v>676</v>
      </c>
      <c r="BD106" s="158">
        <v>1.267037277</v>
      </c>
      <c r="BE106" s="158">
        <v>1.638665314</v>
      </c>
      <c r="BF106" s="162">
        <v>1206</v>
      </c>
      <c r="BG106" s="162">
        <v>844</v>
      </c>
      <c r="BH106" s="162">
        <v>1805</v>
      </c>
      <c r="BI106" s="162">
        <v>1182</v>
      </c>
      <c r="BJ106" s="162">
        <v>568</v>
      </c>
      <c r="BK106" s="97"/>
      <c r="BL106" s="97"/>
      <c r="BM106" s="97"/>
      <c r="BN106" s="97"/>
    </row>
    <row r="107" spans="1:66" ht="12.75">
      <c r="A107" s="79" t="s">
        <v>506</v>
      </c>
      <c r="B107" s="94" t="s">
        <v>272</v>
      </c>
      <c r="C107" s="94" t="s">
        <v>7</v>
      </c>
      <c r="D107" s="99">
        <v>746707</v>
      </c>
      <c r="E107" s="99">
        <v>164369</v>
      </c>
      <c r="F107" s="99">
        <v>82514.21999999999</v>
      </c>
      <c r="G107" s="99">
        <v>4297</v>
      </c>
      <c r="H107" s="99">
        <v>2162</v>
      </c>
      <c r="I107" s="99">
        <v>14471</v>
      </c>
      <c r="J107" s="99">
        <v>80920</v>
      </c>
      <c r="K107" s="99">
        <v>25313</v>
      </c>
      <c r="L107" s="99">
        <v>138011</v>
      </c>
      <c r="M107" s="99">
        <v>57690</v>
      </c>
      <c r="N107" s="99">
        <v>35037</v>
      </c>
      <c r="O107" s="99">
        <v>17769</v>
      </c>
      <c r="P107" s="99">
        <v>17769</v>
      </c>
      <c r="Q107" s="99">
        <v>2256</v>
      </c>
      <c r="R107" s="99">
        <v>4596</v>
      </c>
      <c r="S107" s="99">
        <v>3631</v>
      </c>
      <c r="T107" s="99">
        <v>3334</v>
      </c>
      <c r="U107" s="99">
        <v>576</v>
      </c>
      <c r="V107" s="99">
        <v>3160</v>
      </c>
      <c r="W107" s="99">
        <v>4804</v>
      </c>
      <c r="X107" s="99">
        <v>2730</v>
      </c>
      <c r="Y107" s="99">
        <v>8061</v>
      </c>
      <c r="Z107" s="99">
        <v>4940</v>
      </c>
      <c r="AA107" s="99">
        <v>0</v>
      </c>
      <c r="AB107" s="99">
        <v>0</v>
      </c>
      <c r="AC107" s="99">
        <v>0</v>
      </c>
      <c r="AD107" s="98">
        <v>0</v>
      </c>
      <c r="AE107" s="101">
        <v>0.22012516288182649</v>
      </c>
      <c r="AF107" s="101">
        <v>0.11050414687420901</v>
      </c>
      <c r="AG107" s="98">
        <v>575.4599863132394</v>
      </c>
      <c r="AH107" s="98">
        <v>289.5379312099659</v>
      </c>
      <c r="AI107" s="101">
        <v>0.01937975671849869</v>
      </c>
      <c r="AJ107" s="101">
        <v>0.7575927798374714</v>
      </c>
      <c r="AK107" s="101">
        <v>0.7753070538148182</v>
      </c>
      <c r="AL107" s="101">
        <v>0.7941205240777716</v>
      </c>
      <c r="AM107" s="101">
        <v>0.55876797907889</v>
      </c>
      <c r="AN107" s="101">
        <v>0.6196851786345949</v>
      </c>
      <c r="AO107" s="98">
        <v>2379.6482422154872</v>
      </c>
      <c r="AP107" s="98">
        <v>0</v>
      </c>
      <c r="AQ107" s="101">
        <v>0.12696268782711465</v>
      </c>
      <c r="AR107" s="101">
        <v>0.4908616187989556</v>
      </c>
      <c r="AS107" s="98">
        <v>486.2683756814922</v>
      </c>
      <c r="AT107" s="98">
        <v>446.49373850787526</v>
      </c>
      <c r="AU107" s="98">
        <v>77.13869027610562</v>
      </c>
      <c r="AV107" s="98">
        <v>423.1914258203017</v>
      </c>
      <c r="AW107" s="98">
        <v>643.3581043166864</v>
      </c>
      <c r="AX107" s="98">
        <v>365.6052507877923</v>
      </c>
      <c r="AY107" s="98">
        <v>1079.5398998536239</v>
      </c>
      <c r="AZ107" s="98">
        <v>661.5714061874336</v>
      </c>
      <c r="BA107" s="101">
        <v>0</v>
      </c>
      <c r="BB107" s="101">
        <v>0</v>
      </c>
      <c r="BC107" s="101">
        <v>0</v>
      </c>
      <c r="BD107" s="98">
        <v>0</v>
      </c>
      <c r="BE107" s="98">
        <v>0</v>
      </c>
      <c r="BF107" s="99">
        <v>106812</v>
      </c>
      <c r="BG107" s="99">
        <v>32649</v>
      </c>
      <c r="BH107" s="99">
        <v>173791</v>
      </c>
      <c r="BI107" s="99">
        <v>103245</v>
      </c>
      <c r="BJ107" s="99">
        <v>56540</v>
      </c>
      <c r="BK107" s="97"/>
      <c r="BL107" s="97"/>
      <c r="BM107" s="97"/>
      <c r="BN107" s="97"/>
    </row>
    <row r="108" spans="1:66" ht="12.75">
      <c r="A108" s="79" t="s">
        <v>24</v>
      </c>
      <c r="B108" s="94" t="s">
        <v>7</v>
      </c>
      <c r="C108" s="94" t="s">
        <v>7</v>
      </c>
      <c r="D108" s="99">
        <v>54615830</v>
      </c>
      <c r="E108" s="99">
        <v>8737890</v>
      </c>
      <c r="F108" s="99">
        <v>8198344.169999988</v>
      </c>
      <c r="G108" s="99">
        <v>243379</v>
      </c>
      <c r="H108" s="99">
        <v>127868</v>
      </c>
      <c r="I108" s="99">
        <v>870616</v>
      </c>
      <c r="J108" s="99">
        <v>4592627</v>
      </c>
      <c r="K108" s="99">
        <v>1679592</v>
      </c>
      <c r="L108" s="99">
        <v>10150944</v>
      </c>
      <c r="M108" s="99">
        <v>2959539</v>
      </c>
      <c r="N108" s="99">
        <v>1629320</v>
      </c>
      <c r="O108" s="99">
        <v>989730</v>
      </c>
      <c r="P108" s="99">
        <v>989730</v>
      </c>
      <c r="Q108" s="99">
        <v>108072</v>
      </c>
      <c r="R108" s="99">
        <v>238330</v>
      </c>
      <c r="S108" s="99">
        <v>206300</v>
      </c>
      <c r="T108" s="99">
        <v>154264</v>
      </c>
      <c r="U108" s="99">
        <v>38486</v>
      </c>
      <c r="V108" s="99">
        <v>176535</v>
      </c>
      <c r="W108" s="99">
        <v>307276</v>
      </c>
      <c r="X108" s="99">
        <v>221506</v>
      </c>
      <c r="Y108" s="99">
        <v>578574</v>
      </c>
      <c r="Z108" s="99">
        <v>318377</v>
      </c>
      <c r="AA108" s="99">
        <v>0</v>
      </c>
      <c r="AB108" s="99">
        <v>0</v>
      </c>
      <c r="AC108" s="99">
        <v>0</v>
      </c>
      <c r="AD108" s="98">
        <v>0</v>
      </c>
      <c r="AE108" s="101">
        <v>0.1599882305185145</v>
      </c>
      <c r="AF108" s="101">
        <v>0.15010930292554353</v>
      </c>
      <c r="AG108" s="98">
        <v>445.6198871279627</v>
      </c>
      <c r="AH108" s="98">
        <v>234.12259778895606</v>
      </c>
      <c r="AI108" s="101">
        <v>0.015940726342527432</v>
      </c>
      <c r="AJ108" s="101">
        <v>0.7248631360507991</v>
      </c>
      <c r="AK108" s="101">
        <v>0.7467412166569077</v>
      </c>
      <c r="AL108" s="101">
        <v>0.7559681673907895</v>
      </c>
      <c r="AM108" s="101">
        <v>0.5147293797466616</v>
      </c>
      <c r="AN108" s="101">
        <v>0.5752927626212945</v>
      </c>
      <c r="AO108" s="98">
        <v>1812.1669120472948</v>
      </c>
      <c r="AP108" s="98">
        <v>1</v>
      </c>
      <c r="AQ108" s="101">
        <v>0.10919341638628717</v>
      </c>
      <c r="AR108" s="101">
        <v>0.4534552930810221</v>
      </c>
      <c r="AS108" s="98">
        <v>377.7293140102421</v>
      </c>
      <c r="AT108" s="98">
        <v>282.45290788403287</v>
      </c>
      <c r="AU108" s="98">
        <v>70.46674929228394</v>
      </c>
      <c r="AV108" s="98">
        <v>323.23046266988894</v>
      </c>
      <c r="AW108" s="98">
        <v>562.6134400960308</v>
      </c>
      <c r="AX108" s="98">
        <v>405.57105879375996</v>
      </c>
      <c r="AY108" s="98">
        <v>1059.3522061277838</v>
      </c>
      <c r="AZ108" s="98">
        <v>582.9390489900089</v>
      </c>
      <c r="BA108" s="101">
        <v>0</v>
      </c>
      <c r="BB108" s="101">
        <v>0</v>
      </c>
      <c r="BC108" s="101">
        <v>0</v>
      </c>
      <c r="BD108" s="98">
        <v>0</v>
      </c>
      <c r="BE108" s="98">
        <v>0</v>
      </c>
      <c r="BF108" s="99">
        <v>6335854</v>
      </c>
      <c r="BG108" s="99">
        <v>2249229</v>
      </c>
      <c r="BH108" s="99">
        <v>13427740</v>
      </c>
      <c r="BI108" s="99">
        <v>5749699</v>
      </c>
      <c r="BJ108" s="99">
        <v>2832158</v>
      </c>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2"/>
      <c r="BB113" s="302"/>
      <c r="BC113" s="302"/>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434</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390</v>
      </c>
      <c r="O4" s="75" t="s">
        <v>389</v>
      </c>
      <c r="P4" s="75" t="s">
        <v>516</v>
      </c>
      <c r="Q4" s="75" t="s">
        <v>517</v>
      </c>
      <c r="R4" s="75" t="s">
        <v>518</v>
      </c>
      <c r="S4" s="75" t="s">
        <v>519</v>
      </c>
      <c r="T4" s="39" t="s">
        <v>278</v>
      </c>
      <c r="U4" s="40" t="s">
        <v>279</v>
      </c>
      <c r="V4" s="41" t="s">
        <v>7</v>
      </c>
      <c r="W4" s="24" t="s">
        <v>2</v>
      </c>
      <c r="X4" s="24" t="s">
        <v>3</v>
      </c>
      <c r="Y4" s="75" t="s">
        <v>684</v>
      </c>
      <c r="Z4" s="75" t="s">
        <v>683</v>
      </c>
      <c r="AA4" s="26" t="s">
        <v>280</v>
      </c>
      <c r="AB4" s="24" t="s">
        <v>5</v>
      </c>
      <c r="AC4" s="75" t="s">
        <v>35</v>
      </c>
      <c r="AD4" s="24" t="s">
        <v>6</v>
      </c>
      <c r="AE4" s="24" t="s">
        <v>281</v>
      </c>
      <c r="AF4" s="24" t="s">
        <v>16</v>
      </c>
      <c r="AG4" s="24" t="s">
        <v>15</v>
      </c>
      <c r="AH4" s="24" t="s">
        <v>14</v>
      </c>
      <c r="AI4" s="25" t="s">
        <v>30</v>
      </c>
      <c r="AJ4" s="47" t="s">
        <v>10</v>
      </c>
      <c r="AK4" s="26" t="s">
        <v>21</v>
      </c>
      <c r="AL4" s="25" t="s">
        <v>22</v>
      </c>
      <c r="AQ4" s="102" t="s">
        <v>431</v>
      </c>
      <c r="AR4" s="102" t="s">
        <v>433</v>
      </c>
      <c r="AS4" s="102" t="s">
        <v>432</v>
      </c>
      <c r="AY4" s="102" t="s">
        <v>513</v>
      </c>
      <c r="AZ4" s="102" t="s">
        <v>514</v>
      </c>
      <c r="BA4" s="102" t="s">
        <v>515</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454</v>
      </c>
      <c r="BA5" s="103" t="s">
        <v>385</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439</v>
      </c>
      <c r="BA6" s="103" t="s">
        <v>385</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2069</v>
      </c>
      <c r="E7" s="38">
        <f>IF(LEFT(VLOOKUP($B7,'Indicator chart'!$D$1:$J$36,5,FALSE),1)=" "," ",VLOOKUP($B7,'Indicator chart'!$D$1:$J$36,5,FALSE))</f>
        <v>0.21138128320392316</v>
      </c>
      <c r="F7" s="38">
        <f>IF(LEFT(VLOOKUP($B7,'Indicator chart'!$D$1:$J$36,6,FALSE),1)=" "," ",VLOOKUP($B7,'Indicator chart'!$D$1:$J$36,6,FALSE))</f>
        <v>0.2034066629170079</v>
      </c>
      <c r="G7" s="38">
        <f>IF(LEFT(VLOOKUP($B7,'Indicator chart'!$D$1:$J$36,7,FALSE),1)=" "," ",VLOOKUP($B7,'Indicator chart'!$D$1:$J$36,7,FALSE))</f>
        <v>0.21958236909511122</v>
      </c>
      <c r="H7" s="50">
        <f aca="true" t="shared" si="0" ref="H7:H31">IF(LEFT(F7,1)=" ",4,IF(AND(ABS(N7-E7)&gt;SQRT((E7-G7)^2+(N7-R7)^2),E7&lt;N7),1,IF(AND(ABS(N7-E7)&gt;SQRT((E7-F7)^2+(N7-S7)^2),E7&gt;N7),3,2)))</f>
        <v>1</v>
      </c>
      <c r="I7" s="38">
        <v>0.0899825245141983</v>
      </c>
      <c r="J7" s="38">
        <v>0.19934242963790894</v>
      </c>
      <c r="K7" s="38">
        <v>0.22175732254981995</v>
      </c>
      <c r="L7" s="38">
        <v>0.24836108088493347</v>
      </c>
      <c r="M7" s="38">
        <v>0.3949783146381378</v>
      </c>
      <c r="N7" s="80">
        <f>VLOOKUP('Hide - Control'!B$3,'All practice data'!A:CA,A7+29,FALSE)</f>
        <v>0.22012516288182649</v>
      </c>
      <c r="O7" s="80">
        <f>VLOOKUP('Hide - Control'!C$3,'All practice data'!A:CA,A7+29,FALSE)</f>
        <v>0.1599882305185145</v>
      </c>
      <c r="P7" s="38">
        <f>VLOOKUP('Hide - Control'!$B$4,'All practice data'!B:BC,A7+2,FALSE)</f>
        <v>164369</v>
      </c>
      <c r="Q7" s="38">
        <f>VLOOKUP('Hide - Control'!$B$4,'All practice data'!B:BC,3,FALSE)</f>
        <v>746707</v>
      </c>
      <c r="R7" s="38">
        <f>+((2*P7+1.96^2-1.96*SQRT(1.96^2+4*P7*(1-P7/Q7)))/(2*(Q7+1.96^2)))</f>
        <v>0.21918681960755096</v>
      </c>
      <c r="S7" s="38">
        <f>+((2*P7+1.96^2+1.96*SQRT(1.96^2+4*P7*(1-P7/Q7)))/(2*(Q7+1.96^2)))</f>
        <v>0.22106638589780214</v>
      </c>
      <c r="T7" s="53">
        <f>IF($C7=1,M7,I7)</f>
        <v>0.3949783146381378</v>
      </c>
      <c r="U7" s="51">
        <f aca="true" t="shared" si="1" ref="U7:U15">IF($C7=1,I7,M7)</f>
        <v>0.0899825245141983</v>
      </c>
      <c r="V7" s="7">
        <v>1</v>
      </c>
      <c r="W7" s="27">
        <f aca="true" t="shared" si="2" ref="W7:W31">IF((K7-I7)&gt;(M7-K7),I7,(K7-(M7-K7)))</f>
        <v>0.048536330461502075</v>
      </c>
      <c r="X7" s="27">
        <f aca="true" t="shared" si="3" ref="X7:X31">IF(W7=I7,K7+(K7-I7),M7)</f>
        <v>0.3949783146381378</v>
      </c>
      <c r="Y7" s="27">
        <f aca="true" t="shared" si="4" ref="Y7:Y31">IF(C7=1,W7,X7)</f>
        <v>0.048536330461502075</v>
      </c>
      <c r="Z7" s="27">
        <f aca="true" t="shared" si="5" ref="Z7:Z31">IF(C7=1,X7,W7)</f>
        <v>0.3949783146381378</v>
      </c>
      <c r="AA7" s="32">
        <f aca="true" t="shared" si="6" ref="AA7:AA31">IF(ISERROR(IF(C7=1,(I7-$Y7)/($Z7-$Y7),(U7-$Y7)/($Z7-$Y7))),"",IF(C7=1,(I7-$Y7)/($Z7-$Y7),(U7-$Y7)/($Z7-$Y7)))</f>
        <v>0.11963386640680539</v>
      </c>
      <c r="AB7" s="33">
        <f aca="true" t="shared" si="7" ref="AB7:AB31">IF(ISERROR(IF(C7=1,(J7-$Y7)/($Z7-$Y7),(L7-$Y7)/($Z7-$Y7))),"",IF(C7=1,(J7-$Y7)/($Z7-$Y7),(L7-$Y7)/($Z7-$Y7)))</f>
        <v>0.4352997213510859</v>
      </c>
      <c r="AC7" s="33">
        <v>0.5</v>
      </c>
      <c r="AD7" s="33">
        <f aca="true" t="shared" si="8" ref="AD7:AD31">IF(ISERROR(IF(C7=1,(L7-$Y7)/($Z7-$Y7),(J7-$Y7)/($Z7-$Y7))),"",IF(C7=1,(L7-$Y7)/($Z7-$Y7),(J7-$Y7)/($Z7-$Y7)))</f>
        <v>0.5767913808089421</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0.4700497058098868</v>
      </c>
      <c r="AI7" s="34">
        <f aca="true" t="shared" si="13" ref="AI7:AI31">IF(ISERROR((O7-$Y7)/($Z7-$Y7)),-999,(O7-$Y7)/($Z7-$Y7))</f>
        <v>0.3217043694109197</v>
      </c>
      <c r="AJ7" s="4">
        <v>2.7020512924389086</v>
      </c>
      <c r="AK7" s="32">
        <f aca="true" t="shared" si="14" ref="AK7:AK31">IF(H7=1,(E7-$Y7)/($Z7-$Y7),-999)</f>
        <v>0.4700497058098868</v>
      </c>
      <c r="AL7" s="34">
        <f aca="true" t="shared" si="15" ref="AL7:AL31">IF(H7=3,(E7-$Y7)/($Z7-$Y7),-999)</f>
        <v>-999</v>
      </c>
      <c r="AQ7" s="103">
        <v>2</v>
      </c>
      <c r="AR7" s="103">
        <v>0.2422</v>
      </c>
      <c r="AS7" s="103">
        <v>7.2247</v>
      </c>
      <c r="AY7" s="103" t="s">
        <v>68</v>
      </c>
      <c r="AZ7" s="103" t="s">
        <v>438</v>
      </c>
      <c r="BA7" s="103" t="s">
        <v>385</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0.13</v>
      </c>
      <c r="F8" s="38">
        <f>IF(LEFT(VLOOKUP($B8,'Indicator chart'!$D$1:$J$36,6,FALSE),1)=" "," ",VLOOKUP($B8,'Indicator chart'!$D$1:$J$36,6,FALSE))</f>
        <v>0.12348233779278181</v>
      </c>
      <c r="G8" s="38">
        <f>IF(LEFT(VLOOKUP($B8,'Indicator chart'!$D$1:$J$36,7,FALSE),1)=" "," ",VLOOKUP($B8,'Indicator chart'!$D$1:$J$36,7,FALSE))</f>
        <v>0.13680798389706256</v>
      </c>
      <c r="H8" s="50">
        <f t="shared" si="0"/>
        <v>3</v>
      </c>
      <c r="I8" s="38">
        <v>0.05999999865889549</v>
      </c>
      <c r="J8" s="38">
        <v>0.09000000357627869</v>
      </c>
      <c r="K8" s="38">
        <v>0.10999999940395355</v>
      </c>
      <c r="L8" s="38">
        <v>0.11999999731779099</v>
      </c>
      <c r="M8" s="38">
        <v>0.20000000298023224</v>
      </c>
      <c r="N8" s="80">
        <f>VLOOKUP('Hide - Control'!B$3,'All practice data'!A:CA,A8+29,FALSE)</f>
        <v>0.11050414687420901</v>
      </c>
      <c r="O8" s="80">
        <f>VLOOKUP('Hide - Control'!C$3,'All practice data'!A:CA,A8+29,FALSE)</f>
        <v>0.15010930292554353</v>
      </c>
      <c r="P8" s="38">
        <f>VLOOKUP('Hide - Control'!$B$4,'All practice data'!B:BC,A8+2,FALSE)</f>
        <v>82514.21999999999</v>
      </c>
      <c r="Q8" s="38">
        <f>VLOOKUP('Hide - Control'!$B$4,'All practice data'!B:BC,3,FALSE)</f>
        <v>746707</v>
      </c>
      <c r="R8" s="38">
        <f>+((2*P8+1.96^2-1.96*SQRT(1.96^2+4*P8*(1-P8/Q8)))/(2*(Q8+1.96^2)))</f>
        <v>0.10979503083332147</v>
      </c>
      <c r="S8" s="38">
        <f>+((2*P8+1.96^2+1.96*SQRT(1.96^2+4*P8*(1-P8/Q8)))/(2*(Q8+1.96^2)))</f>
        <v>0.1112172705903197</v>
      </c>
      <c r="T8" s="53">
        <f aca="true" t="shared" si="16" ref="T8:T15">IF($C8=1,M8,I8)</f>
        <v>0.20000000298023224</v>
      </c>
      <c r="U8" s="51">
        <f t="shared" si="1"/>
        <v>0.05999999865889549</v>
      </c>
      <c r="V8" s="7"/>
      <c r="W8" s="27">
        <f t="shared" si="2"/>
        <v>0.019999995827674866</v>
      </c>
      <c r="X8" s="27">
        <f t="shared" si="3"/>
        <v>0.20000000298023224</v>
      </c>
      <c r="Y8" s="27">
        <f t="shared" si="4"/>
        <v>0.019999995827674866</v>
      </c>
      <c r="Z8" s="27">
        <f t="shared" si="5"/>
        <v>0.20000000298023224</v>
      </c>
      <c r="AA8" s="32">
        <f t="shared" si="6"/>
        <v>0.2222222291209077</v>
      </c>
      <c r="AB8" s="33">
        <f t="shared" si="7"/>
        <v>0.3888889164836307</v>
      </c>
      <c r="AC8" s="33">
        <v>0.5</v>
      </c>
      <c r="AD8" s="33">
        <f t="shared" si="8"/>
        <v>0.5555555417581847</v>
      </c>
      <c r="AE8" s="33">
        <f t="shared" si="9"/>
        <v>1</v>
      </c>
      <c r="AF8" s="33">
        <f t="shared" si="10"/>
        <v>-999</v>
      </c>
      <c r="AG8" s="33">
        <f t="shared" si="11"/>
        <v>-999</v>
      </c>
      <c r="AH8" s="33">
        <f t="shared" si="12"/>
        <v>0.6111111100073214</v>
      </c>
      <c r="AI8" s="34">
        <f t="shared" si="13"/>
        <v>0.7228294551543862</v>
      </c>
      <c r="AJ8" s="4">
        <v>3.778046717820832</v>
      </c>
      <c r="AK8" s="32">
        <f t="shared" si="14"/>
        <v>-999</v>
      </c>
      <c r="AL8" s="34">
        <f t="shared" si="15"/>
        <v>0.6111111100073214</v>
      </c>
      <c r="AQ8" s="103">
        <v>3</v>
      </c>
      <c r="AR8" s="103">
        <v>0.6187</v>
      </c>
      <c r="AS8" s="103">
        <v>8.7673</v>
      </c>
      <c r="AY8" s="103" t="s">
        <v>118</v>
      </c>
      <c r="AZ8" s="103" t="s">
        <v>119</v>
      </c>
      <c r="BA8" s="103" t="s">
        <v>385</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40</v>
      </c>
      <c r="E9" s="38">
        <f>IF(LEFT(VLOOKUP($B9,'Indicator chart'!$D$1:$J$36,5,FALSE),1)=" "," ",VLOOKUP($B9,'Indicator chart'!$D$1:$J$36,5,FALSE))</f>
        <v>408.6636697997548</v>
      </c>
      <c r="F9" s="38">
        <f>IF(LEFT(VLOOKUP($B9,'Indicator chart'!$D$1:$J$36,6,FALSE),1)=" "," ",VLOOKUP($B9,'Indicator chart'!$D$1:$J$36,6,FALSE))</f>
        <v>291.91987992206714</v>
      </c>
      <c r="G9" s="38">
        <f>IF(LEFT(VLOOKUP($B9,'Indicator chart'!$D$1:$J$36,7,FALSE),1)=" "," ",VLOOKUP($B9,'Indicator chart'!$D$1:$J$36,7,FALSE))</f>
        <v>556.5016143880887</v>
      </c>
      <c r="H9" s="50">
        <f t="shared" si="0"/>
        <v>1</v>
      </c>
      <c r="I9" s="38">
        <v>92.60600280761719</v>
      </c>
      <c r="J9" s="38">
        <v>505.0889587402344</v>
      </c>
      <c r="K9" s="38">
        <v>584.747802734375</v>
      </c>
      <c r="L9" s="38">
        <v>673.7578735351562</v>
      </c>
      <c r="M9" s="38">
        <v>1096.9195556640625</v>
      </c>
      <c r="N9" s="80">
        <f>VLOOKUP('Hide - Control'!B$3,'All practice data'!A:CA,A9+29,FALSE)</f>
        <v>575.4599863132394</v>
      </c>
      <c r="O9" s="80">
        <f>VLOOKUP('Hide - Control'!C$3,'All practice data'!A:CA,A9+29,FALSE)</f>
        <v>445.6198871279627</v>
      </c>
      <c r="P9" s="38">
        <f>VLOOKUP('Hide - Control'!$B$4,'All practice data'!B:BC,A9+2,FALSE)</f>
        <v>4297</v>
      </c>
      <c r="Q9" s="38">
        <f>VLOOKUP('Hide - Control'!$B$4,'All practice data'!B:BC,3,FALSE)</f>
        <v>746707</v>
      </c>
      <c r="R9" s="38">
        <f>100000*(P9*(1-1/(9*P9)-1.96/(3*SQRT(P9)))^3)/Q9</f>
        <v>558.3808124187723</v>
      </c>
      <c r="S9" s="38">
        <f>100000*((P9+1)*(1-1/(9*(P9+1))+1.96/(3*SQRT(P9+1)))^3)/Q9</f>
        <v>592.9287776218684</v>
      </c>
      <c r="T9" s="53">
        <f t="shared" si="16"/>
        <v>1096.9195556640625</v>
      </c>
      <c r="U9" s="51">
        <f t="shared" si="1"/>
        <v>92.60600280761719</v>
      </c>
      <c r="V9" s="7"/>
      <c r="W9" s="27">
        <f t="shared" si="2"/>
        <v>72.5760498046875</v>
      </c>
      <c r="X9" s="27">
        <f t="shared" si="3"/>
        <v>1096.9195556640625</v>
      </c>
      <c r="Y9" s="27">
        <f t="shared" si="4"/>
        <v>72.5760498046875</v>
      </c>
      <c r="Z9" s="27">
        <f t="shared" si="5"/>
        <v>1096.9195556640625</v>
      </c>
      <c r="AA9" s="32">
        <f t="shared" si="6"/>
        <v>0.019553941513130908</v>
      </c>
      <c r="AB9" s="33">
        <f t="shared" si="7"/>
        <v>0.42223424706801777</v>
      </c>
      <c r="AC9" s="33">
        <v>0.5</v>
      </c>
      <c r="AD9" s="33">
        <f t="shared" si="8"/>
        <v>0.5868947479938442</v>
      </c>
      <c r="AE9" s="33">
        <f t="shared" si="9"/>
        <v>1</v>
      </c>
      <c r="AF9" s="33">
        <f t="shared" si="10"/>
        <v>-999</v>
      </c>
      <c r="AG9" s="33">
        <f t="shared" si="11"/>
        <v>-999</v>
      </c>
      <c r="AH9" s="33">
        <f t="shared" si="12"/>
        <v>0.32810050346646746</v>
      </c>
      <c r="AI9" s="34">
        <f t="shared" si="13"/>
        <v>0.36417845692330464</v>
      </c>
      <c r="AJ9" s="4">
        <v>4.854042143202755</v>
      </c>
      <c r="AK9" s="32">
        <f t="shared" si="14"/>
        <v>0.32810050346646746</v>
      </c>
      <c r="AL9" s="34">
        <f t="shared" si="15"/>
        <v>-999</v>
      </c>
      <c r="AQ9" s="103">
        <v>4</v>
      </c>
      <c r="AR9" s="103">
        <v>1.0899</v>
      </c>
      <c r="AS9" s="103">
        <v>10.2416</v>
      </c>
      <c r="AY9" s="103" t="s">
        <v>90</v>
      </c>
      <c r="AZ9" s="103" t="s">
        <v>448</v>
      </c>
      <c r="BA9" s="103" t="s">
        <v>385</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31</v>
      </c>
      <c r="E10" s="38">
        <f>IF(LEFT(VLOOKUP($B10,'Indicator chart'!$D$1:$J$36,5,FALSE),1)=" "," ",VLOOKUP($B10,'Indicator chart'!$D$1:$J$36,5,FALSE))</f>
        <v>316.71434409481</v>
      </c>
      <c r="F10" s="38">
        <f>IF(LEFT(VLOOKUP($B10,'Indicator chart'!$D$1:$J$36,6,FALSE),1)=" "," ",VLOOKUP($B10,'Indicator chart'!$D$1:$J$36,6,FALSE))</f>
        <v>215.15106759494515</v>
      </c>
      <c r="G10" s="38">
        <f>IF(LEFT(VLOOKUP($B10,'Indicator chart'!$D$1:$J$36,7,FALSE),1)=" "," ",VLOOKUP($B10,'Indicator chart'!$D$1:$J$36,7,FALSE))</f>
        <v>449.56865264326905</v>
      </c>
      <c r="H10" s="50">
        <f t="shared" si="0"/>
        <v>2</v>
      </c>
      <c r="I10" s="38">
        <v>44.173431396484375</v>
      </c>
      <c r="J10" s="38">
        <v>231.56137084960938</v>
      </c>
      <c r="K10" s="38">
        <v>291.239501953125</v>
      </c>
      <c r="L10" s="38">
        <v>340.60345458984375</v>
      </c>
      <c r="M10" s="38">
        <v>563.100341796875</v>
      </c>
      <c r="N10" s="80">
        <f>VLOOKUP('Hide - Control'!B$3,'All practice data'!A:CA,A10+29,FALSE)</f>
        <v>289.5379312099659</v>
      </c>
      <c r="O10" s="80">
        <f>VLOOKUP('Hide - Control'!C$3,'All practice data'!A:CA,A10+29,FALSE)</f>
        <v>234.12259778895606</v>
      </c>
      <c r="P10" s="38">
        <f>VLOOKUP('Hide - Control'!$B$4,'All practice data'!B:BC,A10+2,FALSE)</f>
        <v>2162</v>
      </c>
      <c r="Q10" s="38">
        <f>VLOOKUP('Hide - Control'!$B$4,'All practice data'!B:BC,3,FALSE)</f>
        <v>746707</v>
      </c>
      <c r="R10" s="38">
        <f>100000*(P10*(1-1/(9*P10)-1.96/(3*SQRT(P10)))^3)/Q10</f>
        <v>277.4603411765678</v>
      </c>
      <c r="S10" s="38">
        <f>100000*((P10+1)*(1-1/(9*(P10+1))+1.96/(3*SQRT(P10+1)))^3)/Q10</f>
        <v>302.0059524959274</v>
      </c>
      <c r="T10" s="53">
        <f t="shared" si="16"/>
        <v>563.100341796875</v>
      </c>
      <c r="U10" s="51">
        <f t="shared" si="1"/>
        <v>44.173431396484375</v>
      </c>
      <c r="V10" s="7"/>
      <c r="W10" s="27">
        <f t="shared" si="2"/>
        <v>19.378662109375</v>
      </c>
      <c r="X10" s="27">
        <f t="shared" si="3"/>
        <v>563.100341796875</v>
      </c>
      <c r="Y10" s="27">
        <f t="shared" si="4"/>
        <v>19.378662109375</v>
      </c>
      <c r="Z10" s="27">
        <f t="shared" si="5"/>
        <v>563.100341796875</v>
      </c>
      <c r="AA10" s="32">
        <f t="shared" si="6"/>
        <v>0.04560195080203531</v>
      </c>
      <c r="AB10" s="33">
        <f t="shared" si="7"/>
        <v>0.3902413986181033</v>
      </c>
      <c r="AC10" s="33">
        <v>0.5</v>
      </c>
      <c r="AD10" s="33">
        <f t="shared" si="8"/>
        <v>0.5907890093054415</v>
      </c>
      <c r="AE10" s="33">
        <f t="shared" si="9"/>
        <v>1</v>
      </c>
      <c r="AF10" s="33">
        <f t="shared" si="10"/>
        <v>-999</v>
      </c>
      <c r="AG10" s="33">
        <f t="shared" si="11"/>
        <v>0.5468527246445763</v>
      </c>
      <c r="AH10" s="33">
        <f t="shared" si="12"/>
        <v>-999</v>
      </c>
      <c r="AI10" s="34">
        <f t="shared" si="13"/>
        <v>0.3949519463763217</v>
      </c>
      <c r="AJ10" s="4">
        <v>5.930037568584676</v>
      </c>
      <c r="AK10" s="32">
        <f t="shared" si="14"/>
        <v>-999</v>
      </c>
      <c r="AL10" s="34">
        <f t="shared" si="15"/>
        <v>-999</v>
      </c>
      <c r="AY10" s="103" t="s">
        <v>96</v>
      </c>
      <c r="AZ10" s="103" t="s">
        <v>97</v>
      </c>
      <c r="BA10" s="103" t="s">
        <v>565</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224</v>
      </c>
      <c r="E11" s="38">
        <f>IF(LEFT(VLOOKUP($B11,'Indicator chart'!$D$1:$J$36,5,FALSE),1)=" "," ",VLOOKUP($B11,'Indicator chart'!$D$1:$J$36,5,FALSE))</f>
        <v>0.023</v>
      </c>
      <c r="F11" s="38">
        <f>IF(LEFT(VLOOKUP($B11,'Indicator chart'!$D$1:$J$36,6,FALSE),1)=" "," ",VLOOKUP($B11,'Indicator chart'!$D$1:$J$36,6,FALSE))</f>
        <v>0.020104518822964556</v>
      </c>
      <c r="G11" s="38">
        <f>IF(LEFT(VLOOKUP($B11,'Indicator chart'!$D$1:$J$36,7,FALSE),1)=" "," ",VLOOKUP($B11,'Indicator chart'!$D$1:$J$36,7,FALSE))</f>
        <v>0.02604018188379524</v>
      </c>
      <c r="H11" s="50">
        <f t="shared" si="0"/>
        <v>3</v>
      </c>
      <c r="I11" s="38">
        <v>0.007000000216066837</v>
      </c>
      <c r="J11" s="38">
        <v>0.01600000075995922</v>
      </c>
      <c r="K11" s="38">
        <v>0.019999999552965164</v>
      </c>
      <c r="L11" s="38">
        <v>0.023000000044703484</v>
      </c>
      <c r="M11" s="38">
        <v>0.03999999910593033</v>
      </c>
      <c r="N11" s="80">
        <f>VLOOKUP('Hide - Control'!B$3,'All practice data'!A:CA,A11+29,FALSE)</f>
        <v>0.01937975671849869</v>
      </c>
      <c r="O11" s="80">
        <f>VLOOKUP('Hide - Control'!C$3,'All practice data'!A:CA,A11+29,FALSE)</f>
        <v>0.015940726342527432</v>
      </c>
      <c r="P11" s="38">
        <f>VLOOKUP('Hide - Control'!$B$4,'All practice data'!B:BC,A11+2,FALSE)</f>
        <v>14471</v>
      </c>
      <c r="Q11" s="38">
        <f>VLOOKUP('Hide - Control'!$B$4,'All practice data'!B:BC,3,FALSE)</f>
        <v>746707</v>
      </c>
      <c r="R11" s="80">
        <f aca="true" t="shared" si="17" ref="R11:R16">+((2*P11+1.96^2-1.96*SQRT(1.96^2+4*P11*(1-P11/Q11)))/(2*(Q11+1.96^2)))</f>
        <v>0.019069536471420578</v>
      </c>
      <c r="S11" s="80">
        <f aca="true" t="shared" si="18" ref="S11:S16">+((2*P11+1.96^2+1.96*SQRT(1.96^2+4*P11*(1-P11/Q11)))/(2*(Q11+1.96^2)))</f>
        <v>0.019694922255302692</v>
      </c>
      <c r="T11" s="53">
        <f t="shared" si="16"/>
        <v>0.03999999910593033</v>
      </c>
      <c r="U11" s="51">
        <f t="shared" si="1"/>
        <v>0.007000000216066837</v>
      </c>
      <c r="V11" s="7"/>
      <c r="W11" s="27">
        <f t="shared" si="2"/>
        <v>0</v>
      </c>
      <c r="X11" s="27">
        <f t="shared" si="3"/>
        <v>0.03999999910593033</v>
      </c>
      <c r="Y11" s="27">
        <f t="shared" si="4"/>
        <v>0</v>
      </c>
      <c r="Z11" s="27">
        <f t="shared" si="5"/>
        <v>0.03999999910593033</v>
      </c>
      <c r="AA11" s="32">
        <f t="shared" si="6"/>
        <v>0.17500000931322596</v>
      </c>
      <c r="AB11" s="33">
        <f t="shared" si="7"/>
        <v>0.40000002793967787</v>
      </c>
      <c r="AC11" s="33">
        <v>0.5</v>
      </c>
      <c r="AD11" s="33">
        <f t="shared" si="8"/>
        <v>0.5750000139698389</v>
      </c>
      <c r="AE11" s="33">
        <f t="shared" si="9"/>
        <v>1</v>
      </c>
      <c r="AF11" s="33">
        <f t="shared" si="10"/>
        <v>-999</v>
      </c>
      <c r="AG11" s="33">
        <f t="shared" si="11"/>
        <v>-999</v>
      </c>
      <c r="AH11" s="33">
        <f t="shared" si="12"/>
        <v>0.5750000128522518</v>
      </c>
      <c r="AI11" s="34">
        <f t="shared" si="13"/>
        <v>0.39851816747076096</v>
      </c>
      <c r="AJ11" s="4">
        <v>7.0060329939666</v>
      </c>
      <c r="AK11" s="32">
        <f t="shared" si="14"/>
        <v>-999</v>
      </c>
      <c r="AL11" s="34">
        <f t="shared" si="15"/>
        <v>0.5750000128522518</v>
      </c>
      <c r="AY11" s="103" t="s">
        <v>214</v>
      </c>
      <c r="AZ11" s="103" t="s">
        <v>215</v>
      </c>
      <c r="BA11" s="103" t="s">
        <v>565</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932</v>
      </c>
      <c r="E12" s="38">
        <f>IF(LEFT(VLOOKUP($B12,'Indicator chart'!$D$1:$J$36,5,FALSE),1)=" "," ",VLOOKUP($B12,'Indicator chart'!$D$1:$J$36,5,FALSE))</f>
        <v>0.721921</v>
      </c>
      <c r="F12" s="38">
        <f>IF(LEFT(VLOOKUP($B12,'Indicator chart'!$D$1:$J$36,6,FALSE),1)=" "," ",VLOOKUP($B12,'Indicator chart'!$D$1:$J$36,6,FALSE))</f>
        <v>0.6968488249200576</v>
      </c>
      <c r="G12" s="38">
        <f>IF(LEFT(VLOOKUP($B12,'Indicator chart'!$D$1:$J$36,7,FALSE),1)=" "," ",VLOOKUP($B12,'Indicator chart'!$D$1:$J$36,7,FALSE))</f>
        <v>0.7456763457262979</v>
      </c>
      <c r="H12" s="50">
        <f t="shared" si="0"/>
        <v>1</v>
      </c>
      <c r="I12" s="38">
        <v>0.5727270245552063</v>
      </c>
      <c r="J12" s="38">
        <v>0.7189794778823853</v>
      </c>
      <c r="K12" s="38">
        <v>0.7475249767303467</v>
      </c>
      <c r="L12" s="38">
        <v>0.792010486125946</v>
      </c>
      <c r="M12" s="38">
        <v>0.8589739799499512</v>
      </c>
      <c r="N12" s="80">
        <f>VLOOKUP('Hide - Control'!B$3,'All practice data'!A:CA,A12+29,FALSE)</f>
        <v>0.7575927798374714</v>
      </c>
      <c r="O12" s="80">
        <f>VLOOKUP('Hide - Control'!C$3,'All practice data'!A:CA,A12+29,FALSE)</f>
        <v>0.7248631360507991</v>
      </c>
      <c r="P12" s="38">
        <f>VLOOKUP('Hide - Control'!$B$4,'All practice data'!B:BC,A12+2,FALSE)</f>
        <v>80920</v>
      </c>
      <c r="Q12" s="38">
        <f>VLOOKUP('Hide - Control'!$B$4,'All practice data'!B:BJ,57,FALSE)</f>
        <v>106812</v>
      </c>
      <c r="R12" s="38">
        <f t="shared" si="17"/>
        <v>0.7550135237230977</v>
      </c>
      <c r="S12" s="38">
        <f t="shared" si="18"/>
        <v>0.7601535074562926</v>
      </c>
      <c r="T12" s="53">
        <f t="shared" si="16"/>
        <v>0.8589739799499512</v>
      </c>
      <c r="U12" s="51">
        <f t="shared" si="1"/>
        <v>0.5727270245552063</v>
      </c>
      <c r="V12" s="7"/>
      <c r="W12" s="27">
        <f t="shared" si="2"/>
        <v>0.5727270245552063</v>
      </c>
      <c r="X12" s="27">
        <f t="shared" si="3"/>
        <v>0.9223229289054871</v>
      </c>
      <c r="Y12" s="27">
        <f t="shared" si="4"/>
        <v>0.5727270245552063</v>
      </c>
      <c r="Z12" s="27">
        <f t="shared" si="5"/>
        <v>0.9223229289054871</v>
      </c>
      <c r="AA12" s="32">
        <f t="shared" si="6"/>
        <v>0</v>
      </c>
      <c r="AB12" s="33">
        <f t="shared" si="7"/>
        <v>0.41834715884039647</v>
      </c>
      <c r="AC12" s="33">
        <v>0.5</v>
      </c>
      <c r="AD12" s="33">
        <f t="shared" si="8"/>
        <v>0.6272483711680635</v>
      </c>
      <c r="AE12" s="33">
        <f t="shared" si="9"/>
        <v>0.8187937897233978</v>
      </c>
      <c r="AF12" s="33">
        <f t="shared" si="10"/>
        <v>-999</v>
      </c>
      <c r="AG12" s="33">
        <f t="shared" si="11"/>
        <v>-999</v>
      </c>
      <c r="AH12" s="33">
        <f t="shared" si="12"/>
        <v>0.42676122228053187</v>
      </c>
      <c r="AI12" s="34">
        <f t="shared" si="13"/>
        <v>0.43517704184302647</v>
      </c>
      <c r="AJ12" s="4">
        <v>8.082028419348523</v>
      </c>
      <c r="AK12" s="32">
        <f t="shared" si="14"/>
        <v>0.42676122228053187</v>
      </c>
      <c r="AL12" s="34">
        <f t="shared" si="15"/>
        <v>-999</v>
      </c>
      <c r="AY12" s="103" t="s">
        <v>261</v>
      </c>
      <c r="AZ12" s="103" t="s">
        <v>501</v>
      </c>
      <c r="BA12" s="103" t="s">
        <v>385</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15</v>
      </c>
      <c r="E13" s="38">
        <f>IF(LEFT(VLOOKUP($B13,'Indicator chart'!$D$1:$J$36,5,FALSE),1)=" "," ",VLOOKUP($B13,'Indicator chart'!$D$1:$J$36,5,FALSE))</f>
        <v>0.576923</v>
      </c>
      <c r="F13" s="38">
        <f>IF(LEFT(VLOOKUP($B13,'Indicator chart'!$D$1:$J$36,6,FALSE),1)=" "," ",VLOOKUP($B13,'Indicator chart'!$D$1:$J$36,6,FALSE))</f>
        <v>0.3894829692111983</v>
      </c>
      <c r="G13" s="38">
        <f>IF(LEFT(VLOOKUP($B13,'Indicator chart'!$D$1:$J$36,7,FALSE),1)=" "," ",VLOOKUP($B13,'Indicator chart'!$D$1:$J$36,7,FALSE))</f>
        <v>0.744558100972706</v>
      </c>
      <c r="H13" s="50">
        <f t="shared" si="0"/>
        <v>1</v>
      </c>
      <c r="I13" s="38">
        <v>0.09375</v>
      </c>
      <c r="J13" s="38">
        <v>0.5714290142059326</v>
      </c>
      <c r="K13" s="38">
        <v>0.6666669845581055</v>
      </c>
      <c r="L13" s="38">
        <v>0.7704535126686096</v>
      </c>
      <c r="M13" s="38">
        <v>0.9123219847679138</v>
      </c>
      <c r="N13" s="80">
        <f>VLOOKUP('Hide - Control'!B$3,'All practice data'!A:CA,A13+29,FALSE)</f>
        <v>0.7753070538148182</v>
      </c>
      <c r="O13" s="80">
        <f>VLOOKUP('Hide - Control'!C$3,'All practice data'!A:CA,A13+29,FALSE)</f>
        <v>0.7467412166569077</v>
      </c>
      <c r="P13" s="38">
        <f>VLOOKUP('Hide - Control'!$B$4,'All practice data'!B:BC,A13+2,FALSE)</f>
        <v>25313</v>
      </c>
      <c r="Q13" s="38">
        <f>VLOOKUP('Hide - Control'!$B$4,'All practice data'!B:BJ,58,FALSE)</f>
        <v>32649</v>
      </c>
      <c r="R13" s="38">
        <f t="shared" si="17"/>
        <v>0.7707473743315251</v>
      </c>
      <c r="S13" s="38">
        <f t="shared" si="18"/>
        <v>0.779801953663255</v>
      </c>
      <c r="T13" s="53">
        <f t="shared" si="16"/>
        <v>0.9123219847679138</v>
      </c>
      <c r="U13" s="51">
        <f t="shared" si="1"/>
        <v>0.09375</v>
      </c>
      <c r="V13" s="7"/>
      <c r="W13" s="27">
        <f t="shared" si="2"/>
        <v>0.09375</v>
      </c>
      <c r="X13" s="27">
        <f t="shared" si="3"/>
        <v>1.239583969116211</v>
      </c>
      <c r="Y13" s="27">
        <f t="shared" si="4"/>
        <v>0.09375</v>
      </c>
      <c r="Z13" s="27">
        <f t="shared" si="5"/>
        <v>1.239583969116211</v>
      </c>
      <c r="AA13" s="32">
        <f t="shared" si="6"/>
        <v>0</v>
      </c>
      <c r="AB13" s="33">
        <f t="shared" si="7"/>
        <v>0.4168832719930353</v>
      </c>
      <c r="AC13" s="33">
        <v>0.5</v>
      </c>
      <c r="AD13" s="33">
        <f t="shared" si="8"/>
        <v>0.5905772833655433</v>
      </c>
      <c r="AE13" s="33">
        <f t="shared" si="9"/>
        <v>0.7143896994075709</v>
      </c>
      <c r="AF13" s="33">
        <f t="shared" si="10"/>
        <v>-999</v>
      </c>
      <c r="AG13" s="33">
        <f t="shared" si="11"/>
        <v>-999</v>
      </c>
      <c r="AH13" s="33">
        <f t="shared" si="12"/>
        <v>0.4216780205710557</v>
      </c>
      <c r="AI13" s="34">
        <f t="shared" si="13"/>
        <v>0.5698829274197238</v>
      </c>
      <c r="AJ13" s="4">
        <v>9.158023844730446</v>
      </c>
      <c r="AK13" s="32">
        <f t="shared" si="14"/>
        <v>0.4216780205710557</v>
      </c>
      <c r="AL13" s="34">
        <f t="shared" si="15"/>
        <v>-999</v>
      </c>
      <c r="AY13" s="103" t="s">
        <v>260</v>
      </c>
      <c r="AZ13" s="103" t="s">
        <v>500</v>
      </c>
      <c r="BA13" s="103" t="s">
        <v>385</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1763</v>
      </c>
      <c r="E14" s="38">
        <f>IF(LEFT(VLOOKUP($B14,'Indicator chart'!$D$1:$J$36,5,FALSE),1)=" "," ",VLOOKUP($B14,'Indicator chart'!$D$1:$J$36,5,FALSE))</f>
        <v>0.792004</v>
      </c>
      <c r="F14" s="38">
        <f>IF(LEFT(VLOOKUP($B14,'Indicator chart'!$D$1:$J$36,6,FALSE),1)=" "," ",VLOOKUP($B14,'Indicator chart'!$D$1:$J$36,6,FALSE))</f>
        <v>0.7746464829930385</v>
      </c>
      <c r="G14" s="38">
        <f>IF(LEFT(VLOOKUP($B14,'Indicator chart'!$D$1:$J$36,7,FALSE),1)=" "," ",VLOOKUP($B14,'Indicator chart'!$D$1:$J$36,7,FALSE))</f>
        <v>0.8083545696377851</v>
      </c>
      <c r="H14" s="50">
        <f t="shared" si="0"/>
        <v>2</v>
      </c>
      <c r="I14" s="38">
        <v>0.6865670084953308</v>
      </c>
      <c r="J14" s="38">
        <v>0.7762954831123352</v>
      </c>
      <c r="K14" s="38">
        <v>0.7994449734687805</v>
      </c>
      <c r="L14" s="38">
        <v>0.819890022277832</v>
      </c>
      <c r="M14" s="38">
        <v>0.8948410153388977</v>
      </c>
      <c r="N14" s="80">
        <f>VLOOKUP('Hide - Control'!B$3,'All practice data'!A:CA,A14+29,FALSE)</f>
        <v>0.7941205240777716</v>
      </c>
      <c r="O14" s="80">
        <f>VLOOKUP('Hide - Control'!C$3,'All practice data'!A:CA,A14+29,FALSE)</f>
        <v>0.7559681673907895</v>
      </c>
      <c r="P14" s="38">
        <f>VLOOKUP('Hide - Control'!$B$4,'All practice data'!B:BC,A14+2,FALSE)</f>
        <v>138011</v>
      </c>
      <c r="Q14" s="38">
        <f>VLOOKUP('Hide - Control'!$B$4,'All practice data'!B:BJ,59,FALSE)</f>
        <v>173791</v>
      </c>
      <c r="R14" s="38">
        <f t="shared" si="17"/>
        <v>0.7922129886712439</v>
      </c>
      <c r="S14" s="38">
        <f t="shared" si="18"/>
        <v>0.7960150568727727</v>
      </c>
      <c r="T14" s="53">
        <f t="shared" si="16"/>
        <v>0.8948410153388977</v>
      </c>
      <c r="U14" s="51">
        <f t="shared" si="1"/>
        <v>0.6865670084953308</v>
      </c>
      <c r="V14" s="7"/>
      <c r="W14" s="27">
        <f t="shared" si="2"/>
        <v>0.6865670084953308</v>
      </c>
      <c r="X14" s="27">
        <f t="shared" si="3"/>
        <v>0.9123229384422302</v>
      </c>
      <c r="Y14" s="27">
        <f t="shared" si="4"/>
        <v>0.6865670084953308</v>
      </c>
      <c r="Z14" s="27">
        <f t="shared" si="5"/>
        <v>0.9123229384422302</v>
      </c>
      <c r="AA14" s="32">
        <f t="shared" si="6"/>
        <v>0</v>
      </c>
      <c r="AB14" s="33">
        <f t="shared" si="7"/>
        <v>0.3974578857711939</v>
      </c>
      <c r="AC14" s="33">
        <v>0.5</v>
      </c>
      <c r="AD14" s="33">
        <f t="shared" si="8"/>
        <v>0.5905626213843439</v>
      </c>
      <c r="AE14" s="33">
        <f t="shared" si="9"/>
        <v>0.9225627291055235</v>
      </c>
      <c r="AF14" s="33">
        <f t="shared" si="10"/>
        <v>-999</v>
      </c>
      <c r="AG14" s="33">
        <f t="shared" si="11"/>
        <v>0.46703974300683626</v>
      </c>
      <c r="AH14" s="33">
        <f t="shared" si="12"/>
        <v>-999</v>
      </c>
      <c r="AI14" s="34">
        <f t="shared" si="13"/>
        <v>0.3074167704555213</v>
      </c>
      <c r="AJ14" s="4">
        <v>10.234019270112368</v>
      </c>
      <c r="AK14" s="32">
        <f t="shared" si="14"/>
        <v>-999</v>
      </c>
      <c r="AL14" s="34">
        <f t="shared" si="15"/>
        <v>-999</v>
      </c>
      <c r="AY14" s="103" t="s">
        <v>53</v>
      </c>
      <c r="AZ14" s="103" t="s">
        <v>508</v>
      </c>
      <c r="BA14" s="103" t="s">
        <v>565</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767</v>
      </c>
      <c r="E15" s="38">
        <f>IF(LEFT(VLOOKUP($B15,'Indicator chart'!$D$1:$J$36,5,FALSE),1)=" "," ",VLOOKUP($B15,'Indicator chart'!$D$1:$J$36,5,FALSE))</f>
        <v>0.616559</v>
      </c>
      <c r="F15" s="38">
        <f>IF(LEFT(VLOOKUP($B15,'Indicator chart'!$D$1:$J$36,6,FALSE),1)=" "," ",VLOOKUP($B15,'Indicator chart'!$D$1:$J$36,6,FALSE))</f>
        <v>0.5892200681386296</v>
      </c>
      <c r="G15" s="38">
        <f>IF(LEFT(VLOOKUP($B15,'Indicator chart'!$D$1:$J$36,7,FALSE),1)=" "," ",VLOOKUP($B15,'Indicator chart'!$D$1:$J$36,7,FALSE))</f>
        <v>0.6431812238202216</v>
      </c>
      <c r="H15" s="50">
        <f t="shared" si="0"/>
        <v>3</v>
      </c>
      <c r="I15" s="38">
        <v>0.3438490033149719</v>
      </c>
      <c r="J15" s="38">
        <v>0.5120365023612976</v>
      </c>
      <c r="K15" s="38">
        <v>0.550000011920929</v>
      </c>
      <c r="L15" s="38">
        <v>0.5897514820098877</v>
      </c>
      <c r="M15" s="38">
        <v>0.7126169800758362</v>
      </c>
      <c r="N15" s="80">
        <f>VLOOKUP('Hide - Control'!B$3,'All practice data'!A:CA,A15+29,FALSE)</f>
        <v>0.55876797907889</v>
      </c>
      <c r="O15" s="80">
        <f>VLOOKUP('Hide - Control'!C$3,'All practice data'!A:CA,A15+29,FALSE)</f>
        <v>0.5147293797466616</v>
      </c>
      <c r="P15" s="38">
        <f>VLOOKUP('Hide - Control'!$B$4,'All practice data'!B:BC,A15+2,FALSE)</f>
        <v>57690</v>
      </c>
      <c r="Q15" s="38">
        <f>VLOOKUP('Hide - Control'!$B$4,'All practice data'!B:BJ,60,FALSE)</f>
        <v>103245</v>
      </c>
      <c r="R15" s="38">
        <f t="shared" si="17"/>
        <v>0.5557370464633006</v>
      </c>
      <c r="S15" s="38">
        <f t="shared" si="18"/>
        <v>0.5617945385109177</v>
      </c>
      <c r="T15" s="53">
        <f t="shared" si="16"/>
        <v>0.7126169800758362</v>
      </c>
      <c r="U15" s="51">
        <f t="shared" si="1"/>
        <v>0.3438490033149719</v>
      </c>
      <c r="V15" s="7"/>
      <c r="W15" s="27">
        <f t="shared" si="2"/>
        <v>0.3438490033149719</v>
      </c>
      <c r="X15" s="27">
        <f t="shared" si="3"/>
        <v>0.756151020526886</v>
      </c>
      <c r="Y15" s="27">
        <f t="shared" si="4"/>
        <v>0.3438490033149719</v>
      </c>
      <c r="Z15" s="27">
        <f t="shared" si="5"/>
        <v>0.756151020526886</v>
      </c>
      <c r="AA15" s="32">
        <f t="shared" si="6"/>
        <v>0</v>
      </c>
      <c r="AB15" s="33">
        <f t="shared" si="7"/>
        <v>0.40792305646149934</v>
      </c>
      <c r="AC15" s="33">
        <v>0.5</v>
      </c>
      <c r="AD15" s="33">
        <f t="shared" si="8"/>
        <v>0.5964134746605603</v>
      </c>
      <c r="AE15" s="33">
        <f t="shared" si="9"/>
        <v>0.8944122545277913</v>
      </c>
      <c r="AF15" s="33">
        <f t="shared" si="10"/>
        <v>-999</v>
      </c>
      <c r="AG15" s="33">
        <f t="shared" si="11"/>
        <v>-999</v>
      </c>
      <c r="AH15" s="33">
        <f t="shared" si="12"/>
        <v>0.661432603529711</v>
      </c>
      <c r="AI15" s="34">
        <f t="shared" si="13"/>
        <v>0.4144543788245909</v>
      </c>
      <c r="AJ15" s="4">
        <v>11.310014695494289</v>
      </c>
      <c r="AK15" s="32">
        <f t="shared" si="14"/>
        <v>-999</v>
      </c>
      <c r="AL15" s="34">
        <f t="shared" si="15"/>
        <v>0.661432603529711</v>
      </c>
      <c r="AY15" s="103" t="s">
        <v>229</v>
      </c>
      <c r="AZ15" s="103" t="s">
        <v>230</v>
      </c>
      <c r="BA15" s="103" t="s">
        <v>385</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431</v>
      </c>
      <c r="E16" s="38">
        <f>IF(LEFT(VLOOKUP($B16,'Indicator chart'!$D$1:$J$36,5,FALSE),1)=" "," ",VLOOKUP($B16,'Indicator chart'!$D$1:$J$36,5,FALSE))</f>
        <v>0.672387</v>
      </c>
      <c r="F16" s="38">
        <f>IF(LEFT(VLOOKUP($B16,'Indicator chart'!$D$1:$J$36,6,FALSE),1)=" "," ",VLOOKUP($B16,'Indicator chart'!$D$1:$J$36,6,FALSE))</f>
        <v>0.6351194065614213</v>
      </c>
      <c r="G16" s="38">
        <f>IF(LEFT(VLOOKUP($B16,'Indicator chart'!$D$1:$J$36,7,FALSE),1)=" "," ",VLOOKUP($B16,'Indicator chart'!$D$1:$J$36,7,FALSE))</f>
        <v>0.7076004179660286</v>
      </c>
      <c r="H16" s="50">
        <f t="shared" si="0"/>
        <v>3</v>
      </c>
      <c r="I16" s="38">
        <v>0.3678160011768341</v>
      </c>
      <c r="J16" s="38">
        <v>0.5920150279998779</v>
      </c>
      <c r="K16" s="38">
        <v>0.6154670119285583</v>
      </c>
      <c r="L16" s="38">
        <v>0.6516609787940979</v>
      </c>
      <c r="M16" s="38">
        <v>0.7250319719314575</v>
      </c>
      <c r="N16" s="80">
        <f>VLOOKUP('Hide - Control'!B$3,'All practice data'!A:CA,A16+29,FALSE)</f>
        <v>0.6196851786345949</v>
      </c>
      <c r="O16" s="80">
        <f>VLOOKUP('Hide - Control'!C$3,'All practice data'!A:CA,A16+29,FALSE)</f>
        <v>0.5752927626212945</v>
      </c>
      <c r="P16" s="38">
        <f>VLOOKUP('Hide - Control'!$B$4,'All practice data'!B:BC,A16+2,FALSE)</f>
        <v>35037</v>
      </c>
      <c r="Q16" s="38">
        <f>VLOOKUP('Hide - Control'!$B$4,'All practice data'!B:BJ,61,FALSE)</f>
        <v>56540</v>
      </c>
      <c r="R16" s="38">
        <f t="shared" si="17"/>
        <v>0.6156755594435762</v>
      </c>
      <c r="S16" s="38">
        <f t="shared" si="18"/>
        <v>0.6236785349552734</v>
      </c>
      <c r="T16" s="53">
        <f aca="true" t="shared" si="19" ref="T16:T31">IF($C16=1,M16,I16)</f>
        <v>0.7250319719314575</v>
      </c>
      <c r="U16" s="51">
        <f aca="true" t="shared" si="20" ref="U16:U31">IF($C16=1,I16,M16)</f>
        <v>0.3678160011768341</v>
      </c>
      <c r="V16" s="7"/>
      <c r="W16" s="27">
        <f t="shared" si="2"/>
        <v>0.3678160011768341</v>
      </c>
      <c r="X16" s="27">
        <f t="shared" si="3"/>
        <v>0.8631180226802826</v>
      </c>
      <c r="Y16" s="27">
        <f t="shared" si="4"/>
        <v>0.3678160011768341</v>
      </c>
      <c r="Z16" s="27">
        <f t="shared" si="5"/>
        <v>0.8631180226802826</v>
      </c>
      <c r="AA16" s="32">
        <f t="shared" si="6"/>
        <v>0</v>
      </c>
      <c r="AB16" s="33">
        <f t="shared" si="7"/>
        <v>0.45265114433110154</v>
      </c>
      <c r="AC16" s="33">
        <v>0.5</v>
      </c>
      <c r="AD16" s="33">
        <f t="shared" si="8"/>
        <v>0.5730745389564043</v>
      </c>
      <c r="AE16" s="33">
        <f t="shared" si="9"/>
        <v>0.7212083844728188</v>
      </c>
      <c r="AF16" s="33">
        <f t="shared" si="10"/>
        <v>-999</v>
      </c>
      <c r="AG16" s="33">
        <f t="shared" si="11"/>
        <v>-999</v>
      </c>
      <c r="AH16" s="33">
        <f t="shared" si="12"/>
        <v>0.614919757239564</v>
      </c>
      <c r="AI16" s="34">
        <f t="shared" si="13"/>
        <v>0.41888938957826527</v>
      </c>
      <c r="AJ16" s="4">
        <v>12.386010120876215</v>
      </c>
      <c r="AK16" s="32">
        <f t="shared" si="14"/>
        <v>-999</v>
      </c>
      <c r="AL16" s="34">
        <f t="shared" si="15"/>
        <v>0.614919757239564</v>
      </c>
      <c r="AY16" s="103" t="s">
        <v>381</v>
      </c>
      <c r="AZ16" s="103" t="s">
        <v>404</v>
      </c>
      <c r="BA16" s="103" t="s">
        <v>565</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334</v>
      </c>
      <c r="E17" s="38">
        <f>IF(LEFT(VLOOKUP($B17,'Indicator chart'!$D$1:$J$36,5,FALSE),1)=" "," ",VLOOKUP($B17,'Indicator chart'!$D$1:$J$36,5,FALSE))</f>
        <v>3412.3416428279525</v>
      </c>
      <c r="F17" s="38">
        <f>IF(LEFT(VLOOKUP($B17,'Indicator chart'!$D$1:$J$36,6,FALSE),1)=" "," ",VLOOKUP($B17,'Indicator chart'!$D$1:$J$36,6,FALSE))</f>
        <v>3056.141675415301</v>
      </c>
      <c r="G17" s="38">
        <f>IF(LEFT(VLOOKUP($B17,'Indicator chart'!$D$1:$J$36,7,FALSE),1)=" "," ",VLOOKUP($B17,'Indicator chart'!$D$1:$J$36,7,FALSE))</f>
        <v>3798.6536518707703</v>
      </c>
      <c r="H17" s="50">
        <f t="shared" si="0"/>
        <v>3</v>
      </c>
      <c r="I17" s="38">
        <v>1048.340087890625</v>
      </c>
      <c r="J17" s="38">
        <v>1887.820556640625</v>
      </c>
      <c r="K17" s="38">
        <v>2235.7724609375</v>
      </c>
      <c r="L17" s="38">
        <v>2844.30615234375</v>
      </c>
      <c r="M17" s="38">
        <v>3947.368408203125</v>
      </c>
      <c r="N17" s="80">
        <f>VLOOKUP('Hide - Control'!B$3,'All practice data'!A:CA,A17+29,FALSE)</f>
        <v>2379.6482422154872</v>
      </c>
      <c r="O17" s="80">
        <f>VLOOKUP('Hide - Control'!C$3,'All practice data'!A:CA,A17+29,FALSE)</f>
        <v>1812.1669120472948</v>
      </c>
      <c r="P17" s="38">
        <f>VLOOKUP('Hide - Control'!$B$4,'All practice data'!B:BC,A17+2,FALSE)</f>
        <v>17769</v>
      </c>
      <c r="Q17" s="38">
        <f>VLOOKUP('Hide - Control'!$B$4,'All practice data'!B:BC,3,FALSE)</f>
        <v>746707</v>
      </c>
      <c r="R17" s="38">
        <f>100000*(P17*(1-1/(9*P17)-1.96/(3*SQRT(P17)))^3)/Q17</f>
        <v>2344.7857808732256</v>
      </c>
      <c r="S17" s="38">
        <f>100000*((P17+1)*(1-1/(9*(P17+1))+1.96/(3*SQRT(P17+1)))^3)/Q17</f>
        <v>2414.899308445519</v>
      </c>
      <c r="T17" s="53">
        <f t="shared" si="19"/>
        <v>3947.368408203125</v>
      </c>
      <c r="U17" s="51">
        <f t="shared" si="20"/>
        <v>1048.340087890625</v>
      </c>
      <c r="V17" s="7"/>
      <c r="W17" s="27">
        <f t="shared" si="2"/>
        <v>524.176513671875</v>
      </c>
      <c r="X17" s="27">
        <f t="shared" si="3"/>
        <v>3947.368408203125</v>
      </c>
      <c r="Y17" s="27">
        <f t="shared" si="4"/>
        <v>524.176513671875</v>
      </c>
      <c r="Z17" s="27">
        <f t="shared" si="5"/>
        <v>3947.368408203125</v>
      </c>
      <c r="AA17" s="32">
        <f t="shared" si="6"/>
        <v>0.1531212945018163</v>
      </c>
      <c r="AB17" s="33">
        <f t="shared" si="7"/>
        <v>0.398354543064691</v>
      </c>
      <c r="AC17" s="33">
        <v>0.5</v>
      </c>
      <c r="AD17" s="33">
        <f t="shared" si="8"/>
        <v>0.6777679166565036</v>
      </c>
      <c r="AE17" s="33">
        <f t="shared" si="9"/>
        <v>1</v>
      </c>
      <c r="AF17" s="33">
        <f t="shared" si="10"/>
        <v>-999</v>
      </c>
      <c r="AG17" s="33">
        <f t="shared" si="11"/>
        <v>-999</v>
      </c>
      <c r="AH17" s="33">
        <f t="shared" si="12"/>
        <v>0.8437052955664247</v>
      </c>
      <c r="AI17" s="34">
        <f t="shared" si="13"/>
        <v>0.37625422063924024</v>
      </c>
      <c r="AJ17" s="4">
        <v>13.462005546258133</v>
      </c>
      <c r="AK17" s="32">
        <f t="shared" si="14"/>
        <v>-999</v>
      </c>
      <c r="AL17" s="34">
        <f t="shared" si="15"/>
        <v>0.8437052955664247</v>
      </c>
      <c r="AY17" s="103" t="s">
        <v>103</v>
      </c>
      <c r="AZ17" s="103" t="s">
        <v>104</v>
      </c>
      <c r="BA17" s="103" t="s">
        <v>385</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334</v>
      </c>
      <c r="E18" s="80">
        <f>IF(LEFT(VLOOKUP($B18,'Indicator chart'!$D$1:$J$36,5,FALSE),1)=" "," ",VLOOKUP($B18,'Indicator chart'!$D$1:$J$36,5,FALSE))</f>
        <v>1.643033905</v>
      </c>
      <c r="F18" s="81">
        <f>IF(LEFT(VLOOKUP($B18,'Indicator chart'!$D$1:$J$36,6,FALSE),1)=" "," ",VLOOKUP($B18,'Indicator chart'!$D$1:$J$36,6,FALSE))</f>
        <v>1.471532288</v>
      </c>
      <c r="G18" s="38">
        <f>IF(LEFT(VLOOKUP($B18,'Indicator chart'!$D$1:$J$36,7,FALSE),1)=" "," ",VLOOKUP($B18,'Indicator chart'!$D$1:$J$36,7,FALSE))</f>
        <v>1.8290351870000001</v>
      </c>
      <c r="H18" s="50">
        <f>IF(LEFT(F18,1)=" ",4,IF(AND(ABS(N18-E18)&gt;SQRT((E18-G18)^2+(N18-R18)^2),E18&lt;N18),1,IF(AND(ABS(N18-E18)&gt;SQRT((E18-F18)^2+(N18-S18)^2),E18&gt;N18),3,2)))</f>
        <v>3</v>
      </c>
      <c r="I18" s="38">
        <v>0.471932977437973</v>
      </c>
      <c r="J18" s="38"/>
      <c r="K18" s="38">
        <v>1</v>
      </c>
      <c r="L18" s="38"/>
      <c r="M18" s="38">
        <v>1.7577024698257446</v>
      </c>
      <c r="N18" s="80">
        <v>1</v>
      </c>
      <c r="O18" s="80">
        <f>VLOOKUP('Hide - Control'!C$3,'All practice data'!A:CA,A18+29,FALSE)</f>
        <v>1</v>
      </c>
      <c r="P18" s="38">
        <f>VLOOKUP('Hide - Control'!$B$4,'All practice data'!B:BC,A18+2,FALSE)</f>
        <v>17769</v>
      </c>
      <c r="Q18" s="38">
        <f>VLOOKUP('Hide - Control'!$B$4,'All practice data'!B:BC,14,FALSE)</f>
        <v>17769</v>
      </c>
      <c r="R18" s="81">
        <v>1</v>
      </c>
      <c r="S18" s="38">
        <v>1</v>
      </c>
      <c r="T18" s="53">
        <f t="shared" si="19"/>
        <v>1.7577024698257446</v>
      </c>
      <c r="U18" s="51">
        <f t="shared" si="20"/>
        <v>0.471932977437973</v>
      </c>
      <c r="V18" s="7"/>
      <c r="W18" s="27">
        <f>IF((K18-I18)&gt;(M18-K18),I18,(K18-(M18-K18)))</f>
        <v>0.24229753017425537</v>
      </c>
      <c r="X18" s="27">
        <f t="shared" si="3"/>
        <v>1.7577024698257446</v>
      </c>
      <c r="Y18" s="27">
        <f t="shared" si="4"/>
        <v>0.24229753017425537</v>
      </c>
      <c r="Z18" s="27">
        <f t="shared" si="5"/>
        <v>1.7577024698257446</v>
      </c>
      <c r="AA18" s="32" t="s">
        <v>385</v>
      </c>
      <c r="AB18" s="33" t="s">
        <v>385</v>
      </c>
      <c r="AC18" s="33">
        <v>0.5</v>
      </c>
      <c r="AD18" s="33" t="s">
        <v>385</v>
      </c>
      <c r="AE18" s="33" t="s">
        <v>385</v>
      </c>
      <c r="AF18" s="33">
        <f t="shared" si="10"/>
        <v>-999</v>
      </c>
      <c r="AG18" s="33">
        <f t="shared" si="11"/>
        <v>-999</v>
      </c>
      <c r="AH18" s="33">
        <f t="shared" si="12"/>
        <v>0.9243314035573119</v>
      </c>
      <c r="AI18" s="34">
        <v>0.5</v>
      </c>
      <c r="AJ18" s="4">
        <v>14.538000971640056</v>
      </c>
      <c r="AK18" s="32">
        <f t="shared" si="14"/>
        <v>-999</v>
      </c>
      <c r="AL18" s="34">
        <f t="shared" si="15"/>
        <v>0.9243314035573119</v>
      </c>
      <c r="AY18" s="103" t="s">
        <v>105</v>
      </c>
      <c r="AZ18" s="103" t="s">
        <v>106</v>
      </c>
      <c r="BA18" s="103" t="s">
        <v>385</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35</v>
      </c>
      <c r="E19" s="38">
        <f>IF(LEFT(VLOOKUP($B19,'Indicator chart'!$D$1:$J$36,5,FALSE),1)=" "," ",VLOOKUP($B19,'Indicator chart'!$D$1:$J$36,5,FALSE))</f>
        <v>0.10479041916167664</v>
      </c>
      <c r="F19" s="38">
        <f>IF(LEFT(VLOOKUP($B19,'Indicator chart'!$D$1:$J$36,6,FALSE),1)=" "," ",VLOOKUP($B19,'Indicator chart'!$D$1:$J$36,6,FALSE))</f>
        <v>0.07631614140261692</v>
      </c>
      <c r="G19" s="38">
        <f>IF(LEFT(VLOOKUP($B19,'Indicator chart'!$D$1:$J$36,7,FALSE),1)=" "," ",VLOOKUP($B19,'Indicator chart'!$D$1:$J$36,7,FALSE))</f>
        <v>0.14225256061631741</v>
      </c>
      <c r="H19" s="50">
        <f t="shared" si="0"/>
        <v>2</v>
      </c>
      <c r="I19" s="38">
        <v>0.02070442959666252</v>
      </c>
      <c r="J19" s="38">
        <v>0.0998154953122139</v>
      </c>
      <c r="K19" s="38">
        <v>0.1253918558359146</v>
      </c>
      <c r="L19" s="38">
        <v>0.152660071849823</v>
      </c>
      <c r="M19" s="38">
        <v>0.4791666567325592</v>
      </c>
      <c r="N19" s="80">
        <f>VLOOKUP('Hide - Control'!B$3,'All practice data'!A:CA,A19+29,FALSE)</f>
        <v>0.12696268782711465</v>
      </c>
      <c r="O19" s="80">
        <f>VLOOKUP('Hide - Control'!C$3,'All practice data'!A:CA,A19+29,FALSE)</f>
        <v>0.10919341638628717</v>
      </c>
      <c r="P19" s="38">
        <f>VLOOKUP('Hide - Control'!$B$4,'All practice data'!B:BC,A19+2,FALSE)</f>
        <v>2256</v>
      </c>
      <c r="Q19" s="38">
        <f>VLOOKUP('Hide - Control'!$B$4,'All practice data'!B:BC,15,FALSE)</f>
        <v>17769</v>
      </c>
      <c r="R19" s="38">
        <f>+((2*P19+1.96^2-1.96*SQRT(1.96^2+4*P19*(1-P19/Q19)))/(2*(Q19+1.96^2)))</f>
        <v>0.12214788798169018</v>
      </c>
      <c r="S19" s="38">
        <f>+((2*P19+1.96^2+1.96*SQRT(1.96^2+4*P19*(1-P19/Q19)))/(2*(Q19+1.96^2)))</f>
        <v>0.13193875171468789</v>
      </c>
      <c r="T19" s="53">
        <f t="shared" si="19"/>
        <v>0.4791666567325592</v>
      </c>
      <c r="U19" s="51">
        <f t="shared" si="20"/>
        <v>0.02070442959666252</v>
      </c>
      <c r="V19" s="7"/>
      <c r="W19" s="27">
        <f t="shared" si="2"/>
        <v>-0.22838294506072998</v>
      </c>
      <c r="X19" s="27">
        <f t="shared" si="3"/>
        <v>0.4791666567325592</v>
      </c>
      <c r="Y19" s="27">
        <f t="shared" si="4"/>
        <v>-0.22838294506072998</v>
      </c>
      <c r="Z19" s="27">
        <f t="shared" si="5"/>
        <v>0.4791666567325592</v>
      </c>
      <c r="AA19" s="32">
        <f t="shared" si="6"/>
        <v>0.35204227947564226</v>
      </c>
      <c r="AB19" s="33">
        <f t="shared" si="7"/>
        <v>0.46385220137375915</v>
      </c>
      <c r="AC19" s="33">
        <v>0.5</v>
      </c>
      <c r="AD19" s="33">
        <f t="shared" si="8"/>
        <v>0.5385389461668793</v>
      </c>
      <c r="AE19" s="33">
        <f t="shared" si="9"/>
        <v>1</v>
      </c>
      <c r="AF19" s="33">
        <f t="shared" si="10"/>
        <v>-999</v>
      </c>
      <c r="AG19" s="33">
        <f t="shared" si="11"/>
        <v>0.4708834029133456</v>
      </c>
      <c r="AH19" s="33">
        <f t="shared" si="12"/>
        <v>-999</v>
      </c>
      <c r="AI19" s="34">
        <f t="shared" si="13"/>
        <v>0.47710628426816665</v>
      </c>
      <c r="AJ19" s="4">
        <v>15.61399639702198</v>
      </c>
      <c r="AK19" s="32">
        <f t="shared" si="14"/>
        <v>-999</v>
      </c>
      <c r="AL19" s="34">
        <f t="shared" si="15"/>
        <v>-999</v>
      </c>
      <c r="AY19" s="103" t="s">
        <v>270</v>
      </c>
      <c r="AZ19" s="103" t="s">
        <v>504</v>
      </c>
      <c r="BA19" s="103" t="s">
        <v>385</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76</v>
      </c>
      <c r="E20" s="38">
        <f>IF(LEFT(VLOOKUP($B20,'Indicator chart'!$D$1:$J$36,5,FALSE),1)=" "," ",VLOOKUP($B20,'Indicator chart'!$D$1:$J$36,5,FALSE))</f>
        <v>0.4605263157894737</v>
      </c>
      <c r="F20" s="38">
        <f>IF(LEFT(VLOOKUP($B20,'Indicator chart'!$D$1:$J$36,6,FALSE),1)=" "," ",VLOOKUP($B20,'Indicator chart'!$D$1:$J$36,6,FALSE))</f>
        <v>0.3530754655326989</v>
      </c>
      <c r="G20" s="38">
        <f>IF(LEFT(VLOOKUP($B20,'Indicator chart'!$D$1:$J$36,7,FALSE),1)=" "," ",VLOOKUP($B20,'Indicator chart'!$D$1:$J$36,7,FALSE))</f>
        <v>0.5717757398539667</v>
      </c>
      <c r="H20" s="50">
        <f t="shared" si="0"/>
        <v>2</v>
      </c>
      <c r="I20" s="38">
        <v>0.09238772839307785</v>
      </c>
      <c r="J20" s="38">
        <v>0.4124040901660919</v>
      </c>
      <c r="K20" s="38">
        <v>0.4848484992980957</v>
      </c>
      <c r="L20" s="38">
        <v>0.5454545617103577</v>
      </c>
      <c r="M20" s="38">
        <v>0.71875</v>
      </c>
      <c r="N20" s="80">
        <f>VLOOKUP('Hide - Control'!B$3,'All practice data'!A:CA,A20+29,FALSE)</f>
        <v>0.4908616187989556</v>
      </c>
      <c r="O20" s="80">
        <f>VLOOKUP('Hide - Control'!C$3,'All practice data'!A:CA,A20+29,FALSE)</f>
        <v>0.4534552930810221</v>
      </c>
      <c r="P20" s="38">
        <f>VLOOKUP('Hide - Control'!$B$4,'All practice data'!B:BC,A20+1,FALSE)</f>
        <v>2256</v>
      </c>
      <c r="Q20" s="38">
        <f>VLOOKUP('Hide - Control'!$B$4,'All practice data'!B:BC,A20+2,FALSE)</f>
        <v>4596</v>
      </c>
      <c r="R20" s="38">
        <f>+((2*P20+1.96^2-1.96*SQRT(1.96^2+4*P20*(1-P20/Q20)))/(2*(Q20+1.96^2)))</f>
        <v>0.4764221018645715</v>
      </c>
      <c r="S20" s="38">
        <f>+((2*P20+1.96^2+1.96*SQRT(1.96^2+4*P20*(1-P20/Q20)))/(2*(Q20+1.96^2)))</f>
        <v>0.5053163997394837</v>
      </c>
      <c r="T20" s="53">
        <f t="shared" si="19"/>
        <v>0.71875</v>
      </c>
      <c r="U20" s="51">
        <f t="shared" si="20"/>
        <v>0.09238772839307785</v>
      </c>
      <c r="V20" s="7"/>
      <c r="W20" s="27">
        <f t="shared" si="2"/>
        <v>0.09238772839307785</v>
      </c>
      <c r="X20" s="27">
        <f t="shared" si="3"/>
        <v>0.8773092702031136</v>
      </c>
      <c r="Y20" s="27">
        <f t="shared" si="4"/>
        <v>0.09238772839307785</v>
      </c>
      <c r="Z20" s="27">
        <f t="shared" si="5"/>
        <v>0.8773092702031136</v>
      </c>
      <c r="AA20" s="32">
        <f t="shared" si="6"/>
        <v>0</v>
      </c>
      <c r="AB20" s="33">
        <f t="shared" si="7"/>
        <v>0.40770490390039954</v>
      </c>
      <c r="AC20" s="33">
        <v>0.5</v>
      </c>
      <c r="AD20" s="33">
        <f t="shared" si="8"/>
        <v>0.5772128922242392</v>
      </c>
      <c r="AE20" s="33">
        <f t="shared" si="9"/>
        <v>0.7979934786380375</v>
      </c>
      <c r="AF20" s="33">
        <f t="shared" si="10"/>
        <v>-999</v>
      </c>
      <c r="AG20" s="33">
        <f t="shared" si="11"/>
        <v>0.4690132297139726</v>
      </c>
      <c r="AH20" s="33">
        <f t="shared" si="12"/>
        <v>-999</v>
      </c>
      <c r="AI20" s="34">
        <f t="shared" si="13"/>
        <v>0.4600046570964525</v>
      </c>
      <c r="AJ20" s="4">
        <v>16.689991822403904</v>
      </c>
      <c r="AK20" s="32">
        <f t="shared" si="14"/>
        <v>-999</v>
      </c>
      <c r="AL20" s="34">
        <f t="shared" si="15"/>
        <v>-999</v>
      </c>
      <c r="AY20" s="103" t="s">
        <v>211</v>
      </c>
      <c r="AZ20" s="103" t="s">
        <v>485</v>
      </c>
      <c r="BA20" s="103" t="s">
        <v>385</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54</v>
      </c>
      <c r="E21" s="38">
        <f>IF(LEFT(VLOOKUP($B21,'Indicator chart'!$D$1:$J$36,5,FALSE),1)=" "," ",VLOOKUP($B21,'Indicator chart'!$D$1:$J$36,5,FALSE))</f>
        <v>551.6959542296689</v>
      </c>
      <c r="F21" s="38">
        <f>IF(LEFT(VLOOKUP($B21,'Indicator chart'!$D$1:$J$36,6,FALSE),1)=" "," ",VLOOKUP($B21,'Indicator chart'!$D$1:$J$36,6,FALSE))</f>
        <v>414.42084045116695</v>
      </c>
      <c r="G21" s="38">
        <f>IF(LEFT(VLOOKUP($B21,'Indicator chart'!$D$1:$J$36,7,FALSE),1)=" "," ",VLOOKUP($B21,'Indicator chart'!$D$1:$J$36,7,FALSE))</f>
        <v>719.8607184628752</v>
      </c>
      <c r="H21" s="50">
        <f t="shared" si="0"/>
        <v>2</v>
      </c>
      <c r="I21" s="38">
        <v>61.46357345581055</v>
      </c>
      <c r="J21" s="38">
        <v>371.6275939941406</v>
      </c>
      <c r="K21" s="38">
        <v>451.41546630859375</v>
      </c>
      <c r="L21" s="38">
        <v>596.3599243164062</v>
      </c>
      <c r="M21" s="38">
        <v>955.0338134765625</v>
      </c>
      <c r="N21" s="80">
        <f>VLOOKUP('Hide - Control'!B$3,'All practice data'!A:CA,A21+29,FALSE)</f>
        <v>486.2683756814922</v>
      </c>
      <c r="O21" s="80">
        <f>VLOOKUP('Hide - Control'!C$3,'All practice data'!A:CA,A21+29,FALSE)</f>
        <v>377.7293140102421</v>
      </c>
      <c r="P21" s="38">
        <f>VLOOKUP('Hide - Control'!$B$4,'All practice data'!B:BC,A21+2,FALSE)</f>
        <v>3631</v>
      </c>
      <c r="Q21" s="38">
        <f>VLOOKUP('Hide - Control'!$B$4,'All practice data'!B:BC,3,FALSE)</f>
        <v>746707</v>
      </c>
      <c r="R21" s="38">
        <f aca="true" t="shared" si="21" ref="R21:R27">100000*(P21*(1-1/(9*P21)-1.96/(3*SQRT(P21)))^3)/Q21</f>
        <v>470.5787575517844</v>
      </c>
      <c r="S21" s="38">
        <f aca="true" t="shared" si="22" ref="S21:S27">100000*((P21+1)*(1-1/(9*(P21+1))+1.96/(3*SQRT(P21+1)))^3)/Q21</f>
        <v>502.3477858897999</v>
      </c>
      <c r="T21" s="53">
        <f t="shared" si="19"/>
        <v>955.0338134765625</v>
      </c>
      <c r="U21" s="51">
        <f t="shared" si="20"/>
        <v>61.46357345581055</v>
      </c>
      <c r="V21" s="7"/>
      <c r="W21" s="27">
        <f t="shared" si="2"/>
        <v>-52.202880859375</v>
      </c>
      <c r="X21" s="27">
        <f t="shared" si="3"/>
        <v>955.0338134765625</v>
      </c>
      <c r="Y21" s="27">
        <f t="shared" si="4"/>
        <v>-52.202880859375</v>
      </c>
      <c r="Z21" s="27">
        <f t="shared" si="5"/>
        <v>955.0338134765625</v>
      </c>
      <c r="AA21" s="32">
        <f t="shared" si="6"/>
        <v>0.11284979484402607</v>
      </c>
      <c r="AB21" s="33">
        <f t="shared" si="7"/>
        <v>0.42078537967974194</v>
      </c>
      <c r="AC21" s="33">
        <v>0.5</v>
      </c>
      <c r="AD21" s="33">
        <f t="shared" si="8"/>
        <v>0.6439030754368745</v>
      </c>
      <c r="AE21" s="33">
        <f t="shared" si="9"/>
        <v>1</v>
      </c>
      <c r="AF21" s="33">
        <f t="shared" si="10"/>
        <v>-999</v>
      </c>
      <c r="AG21" s="33">
        <f t="shared" si="11"/>
        <v>0.599560002614072</v>
      </c>
      <c r="AH21" s="33">
        <f t="shared" si="12"/>
        <v>-999</v>
      </c>
      <c r="AI21" s="34">
        <f t="shared" si="13"/>
        <v>0.42684326066284517</v>
      </c>
      <c r="AJ21" s="4">
        <v>17.765987247785823</v>
      </c>
      <c r="AK21" s="32">
        <f t="shared" si="14"/>
        <v>-999</v>
      </c>
      <c r="AL21" s="34">
        <f t="shared" si="15"/>
        <v>-999</v>
      </c>
      <c r="AY21" s="103" t="s">
        <v>123</v>
      </c>
      <c r="AZ21" s="103" t="s">
        <v>459</v>
      </c>
      <c r="BA21" s="103" t="s">
        <v>385</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60</v>
      </c>
      <c r="E22" s="38">
        <f>IF(LEFT(VLOOKUP($B22,'Indicator chart'!$D$1:$J$36,5,FALSE),1)=" "," ",VLOOKUP($B22,'Indicator chart'!$D$1:$J$36,5,FALSE))</f>
        <v>612.9955046996322</v>
      </c>
      <c r="F22" s="38">
        <f>IF(LEFT(VLOOKUP($B22,'Indicator chart'!$D$1:$J$36,6,FALSE),1)=" "," ",VLOOKUP($B22,'Indicator chart'!$D$1:$J$36,6,FALSE))</f>
        <v>467.7515995223887</v>
      </c>
      <c r="G22" s="38">
        <f>IF(LEFT(VLOOKUP($B22,'Indicator chart'!$D$1:$J$36,7,FALSE),1)=" "," ",VLOOKUP($B22,'Indicator chart'!$D$1:$J$36,7,FALSE))</f>
        <v>789.0636816062135</v>
      </c>
      <c r="H22" s="50">
        <f t="shared" si="0"/>
        <v>3</v>
      </c>
      <c r="I22" s="38">
        <v>18.07059669494629</v>
      </c>
      <c r="J22" s="38">
        <v>308.1014404296875</v>
      </c>
      <c r="K22" s="38">
        <v>437.8798828125</v>
      </c>
      <c r="L22" s="38">
        <v>537.825439453125</v>
      </c>
      <c r="M22" s="38">
        <v>931.63037109375</v>
      </c>
      <c r="N22" s="80">
        <f>VLOOKUP('Hide - Control'!B$3,'All practice data'!A:CA,A22+29,FALSE)</f>
        <v>446.49373850787526</v>
      </c>
      <c r="O22" s="80">
        <f>VLOOKUP('Hide - Control'!C$3,'All practice data'!A:CA,A22+29,FALSE)</f>
        <v>282.45290788403287</v>
      </c>
      <c r="P22" s="38">
        <f>VLOOKUP('Hide - Control'!$B$4,'All practice data'!B:BC,A22+2,FALSE)</f>
        <v>3334</v>
      </c>
      <c r="Q22" s="38">
        <f>VLOOKUP('Hide - Control'!$B$4,'All practice data'!B:BC,3,FALSE)</f>
        <v>746707</v>
      </c>
      <c r="R22" s="38">
        <f t="shared" si="21"/>
        <v>431.46480662683524</v>
      </c>
      <c r="S22" s="38">
        <f t="shared" si="22"/>
        <v>461.9125567044659</v>
      </c>
      <c r="T22" s="53">
        <f t="shared" si="19"/>
        <v>931.63037109375</v>
      </c>
      <c r="U22" s="51">
        <f t="shared" si="20"/>
        <v>18.07059669494629</v>
      </c>
      <c r="V22" s="7"/>
      <c r="W22" s="27">
        <f t="shared" si="2"/>
        <v>-55.87060546875</v>
      </c>
      <c r="X22" s="27">
        <f t="shared" si="3"/>
        <v>931.63037109375</v>
      </c>
      <c r="Y22" s="27">
        <f t="shared" si="4"/>
        <v>-55.87060546875</v>
      </c>
      <c r="Z22" s="27">
        <f t="shared" si="5"/>
        <v>931.63037109375</v>
      </c>
      <c r="AA22" s="32">
        <f t="shared" si="6"/>
        <v>0.07487709270028907</v>
      </c>
      <c r="AB22" s="33">
        <f t="shared" si="7"/>
        <v>0.3685789224891985</v>
      </c>
      <c r="AC22" s="33">
        <v>0.5</v>
      </c>
      <c r="AD22" s="33">
        <f t="shared" si="8"/>
        <v>0.6012105901794005</v>
      </c>
      <c r="AE22" s="33">
        <f t="shared" si="9"/>
        <v>1</v>
      </c>
      <c r="AF22" s="33">
        <f t="shared" si="10"/>
        <v>-999</v>
      </c>
      <c r="AG22" s="33">
        <f t="shared" si="11"/>
        <v>-999</v>
      </c>
      <c r="AH22" s="33">
        <f t="shared" si="12"/>
        <v>0.6773320999607628</v>
      </c>
      <c r="AI22" s="34">
        <f t="shared" si="13"/>
        <v>0.3426057506601058</v>
      </c>
      <c r="AJ22" s="4">
        <v>18.841982673167745</v>
      </c>
      <c r="AK22" s="32">
        <f t="shared" si="14"/>
        <v>-999</v>
      </c>
      <c r="AL22" s="34">
        <f t="shared" si="15"/>
        <v>0.6773320999607628</v>
      </c>
      <c r="AY22" s="103" t="s">
        <v>149</v>
      </c>
      <c r="AZ22" s="103" t="s">
        <v>469</v>
      </c>
      <c r="BA22" s="103" t="s">
        <v>385</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8</v>
      </c>
      <c r="E23" s="38">
        <f>IF(LEFT(VLOOKUP($B23,'Indicator chart'!$D$1:$J$36,5,FALSE),1)=" "," ",VLOOKUP($B23,'Indicator chart'!$D$1:$J$36,5,FALSE))</f>
        <v>81.73273395995096</v>
      </c>
      <c r="F23" s="38">
        <f>IF(LEFT(VLOOKUP($B23,'Indicator chart'!$D$1:$J$36,6,FALSE),1)=" "," ",VLOOKUP($B23,'Indicator chart'!$D$1:$J$36,6,FALSE))</f>
        <v>35.192404614422905</v>
      </c>
      <c r="G23" s="38">
        <f>IF(LEFT(VLOOKUP($B23,'Indicator chart'!$D$1:$J$36,7,FALSE),1)=" "," ",VLOOKUP($B23,'Indicator chart'!$D$1:$J$36,7,FALSE))</f>
        <v>161.05596129935878</v>
      </c>
      <c r="H23" s="50">
        <f t="shared" si="0"/>
        <v>2</v>
      </c>
      <c r="I23" s="38">
        <v>3.248678207397461</v>
      </c>
      <c r="J23" s="38">
        <v>42.93320083618164</v>
      </c>
      <c r="K23" s="38">
        <v>78.125</v>
      </c>
      <c r="L23" s="38">
        <v>99.70500183105469</v>
      </c>
      <c r="M23" s="38">
        <v>240.4207305908203</v>
      </c>
      <c r="N23" s="80">
        <f>VLOOKUP('Hide - Control'!B$3,'All practice data'!A:CA,A23+29,FALSE)</f>
        <v>77.13869027610562</v>
      </c>
      <c r="O23" s="80">
        <f>VLOOKUP('Hide - Control'!C$3,'All practice data'!A:CA,A23+29,FALSE)</f>
        <v>70.46674929228394</v>
      </c>
      <c r="P23" s="38">
        <f>VLOOKUP('Hide - Control'!$B$4,'All practice data'!B:BC,A23+2,FALSE)</f>
        <v>576</v>
      </c>
      <c r="Q23" s="38">
        <f>VLOOKUP('Hide - Control'!$B$4,'All practice data'!B:BC,3,FALSE)</f>
        <v>746707</v>
      </c>
      <c r="R23" s="38">
        <f t="shared" si="21"/>
        <v>70.9667304609764</v>
      </c>
      <c r="S23" s="38">
        <f t="shared" si="22"/>
        <v>83.70368995257141</v>
      </c>
      <c r="T23" s="53">
        <f t="shared" si="19"/>
        <v>240.4207305908203</v>
      </c>
      <c r="U23" s="51">
        <f t="shared" si="20"/>
        <v>3.248678207397461</v>
      </c>
      <c r="V23" s="7"/>
      <c r="W23" s="27">
        <f t="shared" si="2"/>
        <v>-84.17073059082031</v>
      </c>
      <c r="X23" s="27">
        <f t="shared" si="3"/>
        <v>240.4207305908203</v>
      </c>
      <c r="Y23" s="27">
        <f t="shared" si="4"/>
        <v>-84.17073059082031</v>
      </c>
      <c r="Z23" s="27">
        <f t="shared" si="5"/>
        <v>240.4207305908203</v>
      </c>
      <c r="AA23" s="32">
        <f t="shared" si="6"/>
        <v>0.2693213446834884</v>
      </c>
      <c r="AB23" s="33">
        <f t="shared" si="7"/>
        <v>0.39158125406100835</v>
      </c>
      <c r="AC23" s="33">
        <v>0.5</v>
      </c>
      <c r="AD23" s="33">
        <f t="shared" si="8"/>
        <v>0.5664835783187118</v>
      </c>
      <c r="AE23" s="33">
        <f t="shared" si="9"/>
        <v>1</v>
      </c>
      <c r="AF23" s="33">
        <f t="shared" si="10"/>
        <v>-999</v>
      </c>
      <c r="AG23" s="33">
        <f t="shared" si="11"/>
        <v>0.5111146915165833</v>
      </c>
      <c r="AH23" s="33">
        <f t="shared" si="12"/>
        <v>-999</v>
      </c>
      <c r="AI23" s="34">
        <f t="shared" si="13"/>
        <v>0.4764064936279068</v>
      </c>
      <c r="AJ23" s="4">
        <v>19.917978098549675</v>
      </c>
      <c r="AK23" s="32">
        <f t="shared" si="14"/>
        <v>-999</v>
      </c>
      <c r="AL23" s="34">
        <f t="shared" si="15"/>
        <v>-999</v>
      </c>
      <c r="AY23" s="103" t="s">
        <v>264</v>
      </c>
      <c r="AZ23" s="103" t="s">
        <v>265</v>
      </c>
      <c r="BA23" s="103" t="s">
        <v>385</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61</v>
      </c>
      <c r="E24" s="38">
        <f>IF(LEFT(VLOOKUP($B24,'Indicator chart'!$D$1:$J$36,5,FALSE),1)=" "," ",VLOOKUP($B24,'Indicator chart'!$D$1:$J$36,5,FALSE))</f>
        <v>623.2120964446261</v>
      </c>
      <c r="F24" s="38">
        <f>IF(LEFT(VLOOKUP($B24,'Indicator chart'!$D$1:$J$36,6,FALSE),1)=" "," ",VLOOKUP($B24,'Indicator chart'!$D$1:$J$36,6,FALSE))</f>
        <v>476.67956139725646</v>
      </c>
      <c r="G24" s="38">
        <f>IF(LEFT(VLOOKUP($B24,'Indicator chart'!$D$1:$J$36,7,FALSE),1)=" "," ",VLOOKUP($B24,'Indicator chart'!$D$1:$J$36,7,FALSE))</f>
        <v>800.5589321827385</v>
      </c>
      <c r="H24" s="50">
        <f t="shared" si="0"/>
        <v>3</v>
      </c>
      <c r="I24" s="38">
        <v>27.3076171875</v>
      </c>
      <c r="J24" s="38">
        <v>249.7996063232422</v>
      </c>
      <c r="K24" s="38">
        <v>412.3711242675781</v>
      </c>
      <c r="L24" s="38">
        <v>579.5753173828125</v>
      </c>
      <c r="M24" s="38">
        <v>1044.34912109375</v>
      </c>
      <c r="N24" s="80">
        <f>VLOOKUP('Hide - Control'!B$3,'All practice data'!A:CA,A24+29,FALSE)</f>
        <v>423.1914258203017</v>
      </c>
      <c r="O24" s="80">
        <f>VLOOKUP('Hide - Control'!C$3,'All practice data'!A:CA,A24+29,FALSE)</f>
        <v>323.23046266988894</v>
      </c>
      <c r="P24" s="38">
        <f>VLOOKUP('Hide - Control'!$B$4,'All practice data'!B:BC,A24+2,FALSE)</f>
        <v>3160</v>
      </c>
      <c r="Q24" s="38">
        <f>VLOOKUP('Hide - Control'!$B$4,'All practice data'!B:BC,3,FALSE)</f>
        <v>746707</v>
      </c>
      <c r="R24" s="38">
        <f t="shared" si="21"/>
        <v>408.5632991722651</v>
      </c>
      <c r="S24" s="38">
        <f t="shared" si="22"/>
        <v>438.2095000487602</v>
      </c>
      <c r="T24" s="53">
        <f t="shared" si="19"/>
        <v>1044.34912109375</v>
      </c>
      <c r="U24" s="51">
        <f t="shared" si="20"/>
        <v>27.3076171875</v>
      </c>
      <c r="V24" s="7"/>
      <c r="W24" s="27">
        <f t="shared" si="2"/>
        <v>-219.60687255859375</v>
      </c>
      <c r="X24" s="27">
        <f t="shared" si="3"/>
        <v>1044.34912109375</v>
      </c>
      <c r="Y24" s="27">
        <f t="shared" si="4"/>
        <v>-219.60687255859375</v>
      </c>
      <c r="Z24" s="27">
        <f t="shared" si="5"/>
        <v>1044.34912109375</v>
      </c>
      <c r="AA24" s="32">
        <f t="shared" si="6"/>
        <v>0.19535054304589072</v>
      </c>
      <c r="AB24" s="33">
        <f t="shared" si="7"/>
        <v>0.37137881479989887</v>
      </c>
      <c r="AC24" s="33">
        <v>0.5</v>
      </c>
      <c r="AD24" s="33">
        <f t="shared" si="8"/>
        <v>0.6322864039214522</v>
      </c>
      <c r="AE24" s="33">
        <f t="shared" si="9"/>
        <v>1</v>
      </c>
      <c r="AF24" s="33">
        <f t="shared" si="10"/>
        <v>-999</v>
      </c>
      <c r="AG24" s="33">
        <f t="shared" si="11"/>
        <v>-999</v>
      </c>
      <c r="AH24" s="33">
        <f t="shared" si="12"/>
        <v>0.666810374123706</v>
      </c>
      <c r="AI24" s="34">
        <f t="shared" si="13"/>
        <v>0.42947486934247836</v>
      </c>
      <c r="AJ24" s="4">
        <v>20.99397352393159</v>
      </c>
      <c r="AK24" s="32">
        <f t="shared" si="14"/>
        <v>-999</v>
      </c>
      <c r="AL24" s="34">
        <f t="shared" si="15"/>
        <v>0.666810374123706</v>
      </c>
      <c r="AY24" s="103" t="s">
        <v>65</v>
      </c>
      <c r="AZ24" s="103" t="s">
        <v>66</v>
      </c>
      <c r="BA24" s="103" t="s">
        <v>565</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56</v>
      </c>
      <c r="E25" s="38">
        <f>IF(LEFT(VLOOKUP($B25,'Indicator chart'!$D$1:$J$36,5,FALSE),1)=" "," ",VLOOKUP($B25,'Indicator chart'!$D$1:$J$36,5,FALSE))</f>
        <v>572.1291377196567</v>
      </c>
      <c r="F25" s="38">
        <f>IF(LEFT(VLOOKUP($B25,'Indicator chart'!$D$1:$J$36,6,FALSE),1)=" "," ",VLOOKUP($B25,'Indicator chart'!$D$1:$J$36,6,FALSE))</f>
        <v>432.1506258698351</v>
      </c>
      <c r="G25" s="38">
        <f>IF(LEFT(VLOOKUP($B25,'Indicator chart'!$D$1:$J$36,7,FALSE),1)=" "," ",VLOOKUP($B25,'Indicator chart'!$D$1:$J$36,7,FALSE))</f>
        <v>742.9743729341781</v>
      </c>
      <c r="H25" s="50">
        <f t="shared" si="0"/>
        <v>2</v>
      </c>
      <c r="I25" s="38">
        <v>51.53753662109375</v>
      </c>
      <c r="J25" s="38">
        <v>478.92242431640625</v>
      </c>
      <c r="K25" s="38">
        <v>664.0625</v>
      </c>
      <c r="L25" s="38">
        <v>806.0338134765625</v>
      </c>
      <c r="M25" s="38">
        <v>1444.669189453125</v>
      </c>
      <c r="N25" s="80">
        <f>VLOOKUP('Hide - Control'!B$3,'All practice data'!A:CA,A25+29,FALSE)</f>
        <v>643.3581043166864</v>
      </c>
      <c r="O25" s="80">
        <f>VLOOKUP('Hide - Control'!C$3,'All practice data'!A:CA,A25+29,FALSE)</f>
        <v>562.6134400960308</v>
      </c>
      <c r="P25" s="38">
        <f>VLOOKUP('Hide - Control'!$B$4,'All practice data'!B:BC,A25+2,FALSE)</f>
        <v>4804</v>
      </c>
      <c r="Q25" s="38">
        <f>VLOOKUP('Hide - Control'!$B$4,'All practice data'!B:BC,3,FALSE)</f>
        <v>746707</v>
      </c>
      <c r="R25" s="38">
        <f t="shared" si="21"/>
        <v>625.2921275356144</v>
      </c>
      <c r="S25" s="38">
        <f t="shared" si="22"/>
        <v>661.8135906215867</v>
      </c>
      <c r="T25" s="53">
        <f t="shared" si="19"/>
        <v>1444.669189453125</v>
      </c>
      <c r="U25" s="51">
        <f t="shared" si="20"/>
        <v>51.53753662109375</v>
      </c>
      <c r="V25" s="7"/>
      <c r="W25" s="27">
        <f t="shared" si="2"/>
        <v>-116.544189453125</v>
      </c>
      <c r="X25" s="27">
        <f t="shared" si="3"/>
        <v>1444.669189453125</v>
      </c>
      <c r="Y25" s="27">
        <f t="shared" si="4"/>
        <v>-116.544189453125</v>
      </c>
      <c r="Z25" s="27">
        <f t="shared" si="5"/>
        <v>1444.669189453125</v>
      </c>
      <c r="AA25" s="32">
        <f t="shared" si="6"/>
        <v>0.10766095675657925</v>
      </c>
      <c r="AB25" s="33">
        <f t="shared" si="7"/>
        <v>0.38141270233457863</v>
      </c>
      <c r="AC25" s="33">
        <v>0.5</v>
      </c>
      <c r="AD25" s="33">
        <f t="shared" si="8"/>
        <v>0.5909365211666482</v>
      </c>
      <c r="AE25" s="33">
        <f t="shared" si="9"/>
        <v>1</v>
      </c>
      <c r="AF25" s="33">
        <f t="shared" si="10"/>
        <v>-999</v>
      </c>
      <c r="AG25" s="33">
        <f t="shared" si="11"/>
        <v>0.4411141593311545</v>
      </c>
      <c r="AH25" s="33">
        <f t="shared" si="12"/>
        <v>-999</v>
      </c>
      <c r="AI25" s="34">
        <f t="shared" si="13"/>
        <v>0.4350190939466314</v>
      </c>
      <c r="AJ25" s="4">
        <v>22.06996894931352</v>
      </c>
      <c r="AK25" s="32">
        <f t="shared" si="14"/>
        <v>-999</v>
      </c>
      <c r="AL25" s="34">
        <f t="shared" si="15"/>
        <v>-999</v>
      </c>
      <c r="AY25" s="103" t="s">
        <v>257</v>
      </c>
      <c r="AZ25" s="103" t="s">
        <v>258</v>
      </c>
      <c r="BA25" s="103" t="s">
        <v>565</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30</v>
      </c>
      <c r="E26" s="38">
        <f>IF(LEFT(VLOOKUP($B26,'Indicator chart'!$D$1:$J$36,5,FALSE),1)=" "," ",VLOOKUP($B26,'Indicator chart'!$D$1:$J$36,5,FALSE))</f>
        <v>306.4977523498161</v>
      </c>
      <c r="F26" s="38">
        <f>IF(LEFT(VLOOKUP($B26,'Indicator chart'!$D$1:$J$36,6,FALSE),1)=" "," ",VLOOKUP($B26,'Indicator chart'!$D$1:$J$36,6,FALSE))</f>
        <v>206.75099474657563</v>
      </c>
      <c r="G26" s="38">
        <f>IF(LEFT(VLOOKUP($B26,'Indicator chart'!$D$1:$J$36,7,FALSE),1)=" "," ",VLOOKUP($B26,'Indicator chart'!$D$1:$J$36,7,FALSE))</f>
        <v>437.5625325380747</v>
      </c>
      <c r="H26" s="50">
        <f t="shared" si="0"/>
        <v>2</v>
      </c>
      <c r="I26" s="38">
        <v>83.28706359863281</v>
      </c>
      <c r="J26" s="38">
        <v>233.57826232910156</v>
      </c>
      <c r="K26" s="38">
        <v>307.88177490234375</v>
      </c>
      <c r="L26" s="38">
        <v>463.0549011230469</v>
      </c>
      <c r="M26" s="38">
        <v>983.0347290039062</v>
      </c>
      <c r="N26" s="80">
        <f>VLOOKUP('Hide - Control'!B$3,'All practice data'!A:CA,A26+29,FALSE)</f>
        <v>365.6052507877923</v>
      </c>
      <c r="O26" s="80">
        <f>VLOOKUP('Hide - Control'!C$3,'All practice data'!A:CA,A26+29,FALSE)</f>
        <v>405.57105879375996</v>
      </c>
      <c r="P26" s="38">
        <f>VLOOKUP('Hide - Control'!$B$4,'All practice data'!B:BC,A26+2,FALSE)</f>
        <v>2730</v>
      </c>
      <c r="Q26" s="38">
        <f>VLOOKUP('Hide - Control'!$B$4,'All practice data'!B:BC,3,FALSE)</f>
        <v>746707</v>
      </c>
      <c r="R26" s="38">
        <f t="shared" si="21"/>
        <v>352.01777033065764</v>
      </c>
      <c r="S26" s="38">
        <f t="shared" si="22"/>
        <v>379.5828545381119</v>
      </c>
      <c r="T26" s="53">
        <f t="shared" si="19"/>
        <v>983.0347290039062</v>
      </c>
      <c r="U26" s="51">
        <f t="shared" si="20"/>
        <v>83.28706359863281</v>
      </c>
      <c r="V26" s="7"/>
      <c r="W26" s="27">
        <f t="shared" si="2"/>
        <v>-367.27117919921875</v>
      </c>
      <c r="X26" s="27">
        <f t="shared" si="3"/>
        <v>983.0347290039062</v>
      </c>
      <c r="Y26" s="27">
        <f t="shared" si="4"/>
        <v>-367.27117919921875</v>
      </c>
      <c r="Z26" s="27">
        <f t="shared" si="5"/>
        <v>983.0347290039062</v>
      </c>
      <c r="AA26" s="32">
        <f t="shared" si="6"/>
        <v>0.3336712370587322</v>
      </c>
      <c r="AB26" s="33">
        <f t="shared" si="7"/>
        <v>0.44497283014030564</v>
      </c>
      <c r="AC26" s="33">
        <v>0.5</v>
      </c>
      <c r="AD26" s="33">
        <f t="shared" si="8"/>
        <v>0.6149170164168167</v>
      </c>
      <c r="AE26" s="33">
        <f t="shared" si="9"/>
        <v>1</v>
      </c>
      <c r="AF26" s="33">
        <f t="shared" si="10"/>
        <v>-999</v>
      </c>
      <c r="AG26" s="33">
        <f t="shared" si="11"/>
        <v>0.4989750303659936</v>
      </c>
      <c r="AH26" s="33">
        <f t="shared" si="12"/>
        <v>-999</v>
      </c>
      <c r="AI26" s="34">
        <f t="shared" si="13"/>
        <v>0.5723460389960175</v>
      </c>
      <c r="AJ26" s="4">
        <v>23.145964374695435</v>
      </c>
      <c r="AK26" s="32">
        <f t="shared" si="14"/>
        <v>-999</v>
      </c>
      <c r="AL26" s="34">
        <f t="shared" si="15"/>
        <v>-999</v>
      </c>
      <c r="AY26" s="103" t="s">
        <v>120</v>
      </c>
      <c r="AZ26" s="103" t="s">
        <v>458</v>
      </c>
      <c r="BA26" s="103" t="s">
        <v>385</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171</v>
      </c>
      <c r="E27" s="38">
        <f>IF(LEFT(VLOOKUP($B27,'Indicator chart'!$D$1:$J$36,5,FALSE),1)=" "," ",VLOOKUP($B27,'Indicator chart'!$D$1:$J$36,5,FALSE))</f>
        <v>1747.0371883939517</v>
      </c>
      <c r="F27" s="38">
        <f>IF(LEFT(VLOOKUP($B27,'Indicator chart'!$D$1:$J$36,6,FALSE),1)=" "," ",VLOOKUP($B27,'Indicator chart'!$D$1:$J$36,6,FALSE))</f>
        <v>1494.975784561349</v>
      </c>
      <c r="G27" s="38">
        <f>IF(LEFT(VLOOKUP($B27,'Indicator chart'!$D$1:$J$36,7,FALSE),1)=" "," ",VLOOKUP($B27,'Indicator chart'!$D$1:$J$36,7,FALSE))</f>
        <v>2029.4218510205656</v>
      </c>
      <c r="H27" s="50">
        <f t="shared" si="0"/>
        <v>3</v>
      </c>
      <c r="I27" s="38">
        <v>119.74613952636719</v>
      </c>
      <c r="J27" s="38">
        <v>852.853271484375</v>
      </c>
      <c r="K27" s="38">
        <v>1101.8609619140625</v>
      </c>
      <c r="L27" s="38">
        <v>1259.8958740234375</v>
      </c>
      <c r="M27" s="38">
        <v>1885.245849609375</v>
      </c>
      <c r="N27" s="80">
        <f>VLOOKUP('Hide - Control'!B$3,'All practice data'!A:CA,A27+29,FALSE)</f>
        <v>1079.5398998536239</v>
      </c>
      <c r="O27" s="80">
        <f>VLOOKUP('Hide - Control'!C$3,'All practice data'!A:CA,A27+29,FALSE)</f>
        <v>1059.3522061277838</v>
      </c>
      <c r="P27" s="38">
        <f>VLOOKUP('Hide - Control'!$B$4,'All practice data'!B:BC,A27+2,FALSE)</f>
        <v>8061</v>
      </c>
      <c r="Q27" s="38">
        <f>VLOOKUP('Hide - Control'!$B$4,'All practice data'!B:BC,3,FALSE)</f>
        <v>746707</v>
      </c>
      <c r="R27" s="38">
        <f t="shared" si="21"/>
        <v>1056.100198755654</v>
      </c>
      <c r="S27" s="38">
        <f t="shared" si="22"/>
        <v>1103.3686811205534</v>
      </c>
      <c r="T27" s="53">
        <f t="shared" si="19"/>
        <v>1885.245849609375</v>
      </c>
      <c r="U27" s="51">
        <f t="shared" si="20"/>
        <v>119.74613952636719</v>
      </c>
      <c r="V27" s="7"/>
      <c r="W27" s="27">
        <f t="shared" si="2"/>
        <v>119.74613952636719</v>
      </c>
      <c r="X27" s="27">
        <f t="shared" si="3"/>
        <v>2083.975784301758</v>
      </c>
      <c r="Y27" s="27">
        <f t="shared" si="4"/>
        <v>119.74613952636719</v>
      </c>
      <c r="Z27" s="27">
        <f t="shared" si="5"/>
        <v>2083.975784301758</v>
      </c>
      <c r="AA27" s="32">
        <f t="shared" si="6"/>
        <v>0</v>
      </c>
      <c r="AB27" s="33">
        <f t="shared" si="7"/>
        <v>0.3732288298916487</v>
      </c>
      <c r="AC27" s="33">
        <v>0.5</v>
      </c>
      <c r="AD27" s="33">
        <f t="shared" si="8"/>
        <v>0.5804564336607628</v>
      </c>
      <c r="AE27" s="33">
        <f t="shared" si="9"/>
        <v>0.8988255089108446</v>
      </c>
      <c r="AF27" s="33">
        <f t="shared" si="10"/>
        <v>-999</v>
      </c>
      <c r="AG27" s="33">
        <f t="shared" si="11"/>
        <v>-999</v>
      </c>
      <c r="AH27" s="33">
        <f t="shared" si="12"/>
        <v>0.8284627274595813</v>
      </c>
      <c r="AI27" s="34">
        <f t="shared" si="13"/>
        <v>0.47835856112886455</v>
      </c>
      <c r="AJ27" s="4">
        <v>24.221959800077364</v>
      </c>
      <c r="AK27" s="32">
        <f t="shared" si="14"/>
        <v>-999</v>
      </c>
      <c r="AL27" s="34">
        <f t="shared" si="15"/>
        <v>0.8284627274595813</v>
      </c>
      <c r="AY27" s="103" t="s">
        <v>115</v>
      </c>
      <c r="AZ27" s="103" t="s">
        <v>457</v>
      </c>
      <c r="BA27" s="103" t="s">
        <v>565</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79</v>
      </c>
      <c r="E28" s="38">
        <f>IF(LEFT(VLOOKUP($B28,'Indicator chart'!$D$1:$J$36,5,FALSE),1)=" "," ",VLOOKUP($B28,'Indicator chart'!$D$1:$J$36,5,FALSE))</f>
        <v>807.1107478545157</v>
      </c>
      <c r="F28" s="38">
        <f>IF(LEFT(VLOOKUP($B28,'Indicator chart'!$D$1:$J$36,6,FALSE),1)=" "," ",VLOOKUP($B28,'Indicator chart'!$D$1:$J$36,6,FALSE))</f>
        <v>638.9722145842466</v>
      </c>
      <c r="G28" s="38">
        <f>IF(LEFT(VLOOKUP($B28,'Indicator chart'!$D$1:$J$36,7,FALSE),1)=" "," ",VLOOKUP($B28,'Indicator chart'!$D$1:$J$36,7,FALSE))</f>
        <v>1005.9171761708179</v>
      </c>
      <c r="H28" s="50">
        <f t="shared" si="0"/>
        <v>2</v>
      </c>
      <c r="I28" s="38">
        <v>203.5684356689453</v>
      </c>
      <c r="J28" s="38">
        <v>532.1072998046875</v>
      </c>
      <c r="K28" s="38">
        <v>653.6785278320312</v>
      </c>
      <c r="L28" s="38">
        <v>785.5136108398438</v>
      </c>
      <c r="M28" s="38">
        <v>1354.6798095703125</v>
      </c>
      <c r="N28" s="80">
        <f>VLOOKUP('Hide - Control'!B$3,'All practice data'!A:CA,A28+29,FALSE)</f>
        <v>661.5714061874336</v>
      </c>
      <c r="O28" s="80">
        <f>VLOOKUP('Hide - Control'!C$3,'All practice data'!A:CA,A28+29,FALSE)</f>
        <v>582.9390489900089</v>
      </c>
      <c r="P28" s="38">
        <f>VLOOKUP('Hide - Control'!$B$4,'All practice data'!B:BC,A28+2,FALSE)</f>
        <v>4940</v>
      </c>
      <c r="Q28" s="38">
        <f>VLOOKUP('Hide - Control'!$B$4,'All practice data'!B:BC,3,FALSE)</f>
        <v>746707</v>
      </c>
      <c r="R28" s="38">
        <f>100000*(P28*(1-1/(9*P28)-1.96/(3*SQRT(P28)))^3)/Q28</f>
        <v>643.2497011681968</v>
      </c>
      <c r="S28" s="38">
        <f>100000*((P28+1)*(1-1/(9*(P28+1))+1.96/(3*SQRT(P28+1)))^3)/Q28</f>
        <v>680.2825946479356</v>
      </c>
      <c r="T28" s="53">
        <f t="shared" si="19"/>
        <v>1354.6798095703125</v>
      </c>
      <c r="U28" s="51">
        <f t="shared" si="20"/>
        <v>203.5684356689453</v>
      </c>
      <c r="V28" s="7"/>
      <c r="W28" s="27">
        <f t="shared" si="2"/>
        <v>-47.32275390625</v>
      </c>
      <c r="X28" s="27">
        <f t="shared" si="3"/>
        <v>1354.6798095703125</v>
      </c>
      <c r="Y28" s="27">
        <f t="shared" si="4"/>
        <v>-47.32275390625</v>
      </c>
      <c r="Z28" s="27">
        <f t="shared" si="5"/>
        <v>1354.6798095703125</v>
      </c>
      <c r="AA28" s="32">
        <f t="shared" si="6"/>
        <v>0.17895201914114725</v>
      </c>
      <c r="AB28" s="33">
        <f t="shared" si="7"/>
        <v>0.41328744240960436</v>
      </c>
      <c r="AC28" s="33">
        <v>0.5</v>
      </c>
      <c r="AD28" s="33">
        <f t="shared" si="8"/>
        <v>0.5940334108098201</v>
      </c>
      <c r="AE28" s="33">
        <f t="shared" si="9"/>
        <v>1</v>
      </c>
      <c r="AF28" s="33">
        <f t="shared" si="10"/>
        <v>-999</v>
      </c>
      <c r="AG28" s="33">
        <f t="shared" si="11"/>
        <v>0.609437902625525</v>
      </c>
      <c r="AH28" s="33">
        <f t="shared" si="12"/>
        <v>-999</v>
      </c>
      <c r="AI28" s="34">
        <f t="shared" si="13"/>
        <v>0.4495439732530811</v>
      </c>
      <c r="AJ28" s="4">
        <v>25.297955225459287</v>
      </c>
      <c r="AK28" s="32">
        <f t="shared" si="14"/>
        <v>-999</v>
      </c>
      <c r="AL28" s="34">
        <f t="shared" si="15"/>
        <v>-999</v>
      </c>
      <c r="AY28" s="103" t="s">
        <v>241</v>
      </c>
      <c r="AZ28" s="103" t="s">
        <v>242</v>
      </c>
      <c r="BA28" s="103" t="s">
        <v>565</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460</v>
      </c>
      <c r="BA29" s="103" t="s">
        <v>385</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385</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481</v>
      </c>
      <c r="BA31" s="103" t="s">
        <v>385</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440</v>
      </c>
      <c r="BA32" s="103" t="s">
        <v>385</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505</v>
      </c>
      <c r="BA33" s="103" t="s">
        <v>565</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385</v>
      </c>
      <c r="BB34" s="10">
        <v>532801</v>
      </c>
      <c r="BE34" s="77"/>
      <c r="BF34" s="253"/>
    </row>
    <row r="35" spans="2:58" ht="12.75">
      <c r="B35" s="17" t="s">
        <v>41</v>
      </c>
      <c r="C35" s="18"/>
      <c r="H35" s="290" t="s">
        <v>678</v>
      </c>
      <c r="I35" s="291"/>
      <c r="Y35" s="43"/>
      <c r="Z35" s="44"/>
      <c r="AA35" s="44"/>
      <c r="AB35" s="43"/>
      <c r="AC35" s="43"/>
      <c r="AY35" s="103" t="s">
        <v>159</v>
      </c>
      <c r="AZ35" s="103" t="s">
        <v>473</v>
      </c>
      <c r="BA35" s="103" t="s">
        <v>385</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462</v>
      </c>
      <c r="BA36" s="103" t="s">
        <v>385</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479</v>
      </c>
      <c r="BA37" s="103" t="s">
        <v>385</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385</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385</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385</v>
      </c>
      <c r="BB40" s="10">
        <v>714731</v>
      </c>
      <c r="BF40" s="252"/>
    </row>
    <row r="41" spans="1:58" ht="12.75">
      <c r="A41" s="3"/>
      <c r="B41" s="71"/>
      <c r="C41" s="3"/>
      <c r="T41" s="13"/>
      <c r="U41" s="2"/>
      <c r="W41" s="2"/>
      <c r="X41" s="10"/>
      <c r="Y41" s="44"/>
      <c r="Z41" s="44"/>
      <c r="AA41" s="44"/>
      <c r="AB41" s="44"/>
      <c r="AC41" s="44"/>
      <c r="AD41" s="2"/>
      <c r="AE41" s="2"/>
      <c r="AY41" s="103" t="s">
        <v>272</v>
      </c>
      <c r="AZ41" s="103" t="s">
        <v>506</v>
      </c>
      <c r="BA41" s="103" t="s">
        <v>565</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385</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503</v>
      </c>
      <c r="BA43" s="103" t="s">
        <v>385</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491</v>
      </c>
      <c r="BA44" s="103" t="s">
        <v>385</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385</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482</v>
      </c>
      <c r="BA46" s="103" t="s">
        <v>565</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385</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486</v>
      </c>
      <c r="BA48" s="103" t="s">
        <v>565</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497</v>
      </c>
      <c r="BA49" s="103" t="s">
        <v>565</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385</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463</v>
      </c>
      <c r="BA51" s="103" t="s">
        <v>385</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385</v>
      </c>
      <c r="BB52" s="10">
        <v>611636</v>
      </c>
      <c r="BF52" s="252"/>
    </row>
    <row r="53" spans="1:58" ht="12.75">
      <c r="A53" s="3"/>
      <c r="B53" s="12"/>
      <c r="C53" s="3"/>
      <c r="I53" s="11"/>
      <c r="J53" s="11"/>
      <c r="K53" s="11"/>
      <c r="L53" s="11"/>
      <c r="S53" s="11"/>
      <c r="U53" s="2"/>
      <c r="X53" s="2"/>
      <c r="Y53" s="2"/>
      <c r="Z53" s="2"/>
      <c r="AA53" s="2"/>
      <c r="AB53" s="2"/>
      <c r="AY53" s="103" t="s">
        <v>244</v>
      </c>
      <c r="AZ53" s="103" t="s">
        <v>496</v>
      </c>
      <c r="BA53" s="103" t="s">
        <v>385</v>
      </c>
      <c r="BB53" s="10">
        <v>230998</v>
      </c>
      <c r="BF53" s="252"/>
    </row>
    <row r="54" spans="1:58" ht="12.75">
      <c r="A54" s="3"/>
      <c r="B54" s="12"/>
      <c r="C54" s="3"/>
      <c r="I54" s="11"/>
      <c r="J54" s="11"/>
      <c r="K54" s="11"/>
      <c r="L54" s="11"/>
      <c r="S54" s="11"/>
      <c r="U54" s="2"/>
      <c r="X54" s="2"/>
      <c r="Y54" s="2"/>
      <c r="Z54" s="2"/>
      <c r="AA54" s="2"/>
      <c r="AB54" s="2"/>
      <c r="AY54" s="103" t="s">
        <v>67</v>
      </c>
      <c r="AZ54" s="103" t="s">
        <v>437</v>
      </c>
      <c r="BA54" s="103" t="s">
        <v>385</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483</v>
      </c>
      <c r="BA55" s="103" t="s">
        <v>385</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453</v>
      </c>
      <c r="BA56" s="103" t="s">
        <v>385</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498</v>
      </c>
      <c r="BA57" s="103" t="s">
        <v>385</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443</v>
      </c>
      <c r="BA58" s="103" t="s">
        <v>385</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385</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385</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487</v>
      </c>
      <c r="BA61" s="103" t="s">
        <v>565</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565</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476</v>
      </c>
      <c r="BA63" s="103" t="s">
        <v>385</v>
      </c>
      <c r="BB63" s="10">
        <v>318405</v>
      </c>
      <c r="BE63" s="70"/>
      <c r="BF63" s="239"/>
    </row>
    <row r="64" spans="1:58" ht="12.75">
      <c r="A64" s="3"/>
      <c r="B64" s="12"/>
      <c r="C64" s="3"/>
      <c r="I64" s="11"/>
      <c r="V64" s="3"/>
      <c r="AY64" s="103" t="s">
        <v>78</v>
      </c>
      <c r="AZ64" s="103" t="s">
        <v>444</v>
      </c>
      <c r="BA64" s="103" t="s">
        <v>565</v>
      </c>
      <c r="BB64" s="10">
        <v>181285</v>
      </c>
      <c r="BE64" s="70"/>
      <c r="BF64" s="241"/>
    </row>
    <row r="65" spans="1:58" ht="12.75">
      <c r="A65" s="3"/>
      <c r="B65" s="12"/>
      <c r="C65" s="3"/>
      <c r="AY65" s="103" t="s">
        <v>554</v>
      </c>
      <c r="AZ65" s="103" t="s">
        <v>555</v>
      </c>
      <c r="BA65" s="103" t="s">
        <v>385</v>
      </c>
      <c r="BB65" s="10">
        <v>1169302</v>
      </c>
      <c r="BE65" s="70"/>
      <c r="BF65" s="241"/>
    </row>
    <row r="66" spans="1:58" ht="12.75">
      <c r="A66" s="3"/>
      <c r="B66" s="12"/>
      <c r="C66" s="3"/>
      <c r="E66" s="2"/>
      <c r="F66" s="2"/>
      <c r="G66" s="2"/>
      <c r="V66" s="2"/>
      <c r="AY66" s="103" t="s">
        <v>200</v>
      </c>
      <c r="AZ66" s="103" t="s">
        <v>484</v>
      </c>
      <c r="BA66" s="103" t="s">
        <v>385</v>
      </c>
      <c r="BB66" s="10">
        <v>217916</v>
      </c>
      <c r="BE66" s="70"/>
      <c r="BF66" s="239"/>
    </row>
    <row r="67" spans="1:58" ht="12.75">
      <c r="A67" s="3"/>
      <c r="B67" s="12"/>
      <c r="C67" s="3"/>
      <c r="AY67" s="103" t="s">
        <v>69</v>
      </c>
      <c r="AZ67" s="103" t="s">
        <v>70</v>
      </c>
      <c r="BA67" s="103" t="s">
        <v>385</v>
      </c>
      <c r="BB67" s="10">
        <v>270842</v>
      </c>
      <c r="BE67" s="70"/>
      <c r="BF67" s="239"/>
    </row>
    <row r="68" spans="1:58" ht="12.75">
      <c r="A68" s="3"/>
      <c r="B68" s="12"/>
      <c r="C68" s="3"/>
      <c r="AY68" s="103" t="s">
        <v>109</v>
      </c>
      <c r="AZ68" s="103" t="s">
        <v>110</v>
      </c>
      <c r="BA68" s="103" t="s">
        <v>385</v>
      </c>
      <c r="BB68" s="10">
        <v>251613</v>
      </c>
      <c r="BF68" s="252"/>
    </row>
    <row r="69" spans="1:58" ht="12.75">
      <c r="A69" s="3"/>
      <c r="B69" s="12"/>
      <c r="C69" s="3"/>
      <c r="AY69" s="103" t="s">
        <v>209</v>
      </c>
      <c r="AZ69" s="103" t="s">
        <v>210</v>
      </c>
      <c r="BA69" s="103" t="s">
        <v>385</v>
      </c>
      <c r="BB69" s="10">
        <v>283547</v>
      </c>
      <c r="BE69" s="70"/>
      <c r="BF69" s="241"/>
    </row>
    <row r="70" spans="1:58" ht="12.75">
      <c r="A70" s="3"/>
      <c r="B70" s="12"/>
      <c r="C70" s="3"/>
      <c r="AY70" s="103" t="s">
        <v>275</v>
      </c>
      <c r="AZ70" s="103" t="s">
        <v>507</v>
      </c>
      <c r="BA70" s="103" t="s">
        <v>564</v>
      </c>
      <c r="BB70" s="10">
        <v>141474</v>
      </c>
      <c r="BE70" s="70"/>
      <c r="BF70" s="239"/>
    </row>
    <row r="71" spans="1:58" ht="12.75">
      <c r="A71" s="3"/>
      <c r="B71" s="12"/>
      <c r="C71" s="3"/>
      <c r="AY71" s="103" t="s">
        <v>127</v>
      </c>
      <c r="AZ71" s="103" t="s">
        <v>461</v>
      </c>
      <c r="BA71" s="103" t="s">
        <v>385</v>
      </c>
      <c r="BB71" s="10">
        <v>213326</v>
      </c>
      <c r="BE71" s="70"/>
      <c r="BF71" s="239"/>
    </row>
    <row r="72" spans="1:58" ht="12.75">
      <c r="A72" s="3"/>
      <c r="B72" s="12"/>
      <c r="C72" s="3"/>
      <c r="AY72" s="103" t="s">
        <v>136</v>
      </c>
      <c r="AZ72" s="103" t="s">
        <v>137</v>
      </c>
      <c r="BA72" s="103" t="s">
        <v>385</v>
      </c>
      <c r="BB72" s="10">
        <v>183220</v>
      </c>
      <c r="BE72" s="250"/>
      <c r="BF72" s="239"/>
    </row>
    <row r="73" spans="1:58" ht="12.75">
      <c r="A73" s="3"/>
      <c r="B73" s="12"/>
      <c r="C73" s="3"/>
      <c r="AY73" s="103" t="s">
        <v>64</v>
      </c>
      <c r="AZ73" s="103" t="s">
        <v>436</v>
      </c>
      <c r="BA73" s="103" t="s">
        <v>385</v>
      </c>
      <c r="BB73" s="10">
        <v>190143</v>
      </c>
      <c r="BE73" s="70"/>
      <c r="BF73" s="239"/>
    </row>
    <row r="74" spans="1:58" ht="12.75">
      <c r="A74" s="3"/>
      <c r="B74" s="12"/>
      <c r="C74" s="3"/>
      <c r="AY74" s="103" t="s">
        <v>165</v>
      </c>
      <c r="AZ74" s="103" t="s">
        <v>166</v>
      </c>
      <c r="BA74" s="103" t="s">
        <v>565</v>
      </c>
      <c r="BB74" s="10">
        <v>419928</v>
      </c>
      <c r="BE74" s="70"/>
      <c r="BF74" s="241"/>
    </row>
    <row r="75" spans="1:58" ht="12.75">
      <c r="A75" s="3"/>
      <c r="B75" s="12"/>
      <c r="C75" s="3"/>
      <c r="AY75" s="103" t="s">
        <v>113</v>
      </c>
      <c r="AZ75" s="103" t="s">
        <v>455</v>
      </c>
      <c r="BA75" s="103" t="s">
        <v>385</v>
      </c>
      <c r="BB75" s="10">
        <v>158106</v>
      </c>
      <c r="BE75" s="70"/>
      <c r="BF75" s="241"/>
    </row>
    <row r="76" spans="1:58" ht="12.75">
      <c r="A76" s="3"/>
      <c r="B76" s="12"/>
      <c r="C76" s="3"/>
      <c r="AY76" s="103" t="s">
        <v>140</v>
      </c>
      <c r="AZ76" s="103" t="s">
        <v>141</v>
      </c>
      <c r="BA76" s="103" t="s">
        <v>385</v>
      </c>
      <c r="BB76" s="10">
        <v>377807</v>
      </c>
      <c r="BE76" s="70"/>
      <c r="BF76" s="241"/>
    </row>
    <row r="77" spans="1:58" ht="12.75">
      <c r="A77" s="3"/>
      <c r="B77" s="12"/>
      <c r="C77" s="3"/>
      <c r="AY77" s="103" t="s">
        <v>163</v>
      </c>
      <c r="AZ77" s="103" t="s">
        <v>164</v>
      </c>
      <c r="BA77" s="103" t="s">
        <v>565</v>
      </c>
      <c r="BB77" s="10">
        <v>799634</v>
      </c>
      <c r="BE77" s="70"/>
      <c r="BF77" s="249"/>
    </row>
    <row r="78" spans="1:58" ht="12.75">
      <c r="A78" s="3"/>
      <c r="B78" s="12"/>
      <c r="C78" s="3"/>
      <c r="AY78" s="103" t="s">
        <v>224</v>
      </c>
      <c r="AZ78" s="103" t="s">
        <v>225</v>
      </c>
      <c r="BA78" s="103" t="s">
        <v>385</v>
      </c>
      <c r="BB78" s="10">
        <v>362638</v>
      </c>
      <c r="BE78" s="70"/>
      <c r="BF78" s="239"/>
    </row>
    <row r="79" spans="1:58" ht="12.75">
      <c r="A79" s="3"/>
      <c r="B79" s="12"/>
      <c r="C79" s="3"/>
      <c r="AY79" s="103" t="s">
        <v>223</v>
      </c>
      <c r="AZ79" s="103" t="s">
        <v>489</v>
      </c>
      <c r="BA79" s="103" t="s">
        <v>385</v>
      </c>
      <c r="BB79" s="10">
        <v>678998</v>
      </c>
      <c r="BF79" s="239"/>
    </row>
    <row r="80" spans="1:58" ht="12.75">
      <c r="A80" s="3"/>
      <c r="B80" s="12"/>
      <c r="C80" s="3"/>
      <c r="AY80" s="103" t="s">
        <v>144</v>
      </c>
      <c r="AZ80" s="103" t="s">
        <v>145</v>
      </c>
      <c r="BA80" s="103" t="s">
        <v>385</v>
      </c>
      <c r="BB80" s="10">
        <v>290986</v>
      </c>
      <c r="BF80" s="252"/>
    </row>
    <row r="81" spans="1:58" ht="12.75">
      <c r="A81" s="3"/>
      <c r="B81" s="12"/>
      <c r="C81" s="3"/>
      <c r="AY81" s="103" t="s">
        <v>178</v>
      </c>
      <c r="AZ81" s="103" t="s">
        <v>478</v>
      </c>
      <c r="BA81" s="103" t="s">
        <v>565</v>
      </c>
      <c r="BB81" s="10">
        <v>747976</v>
      </c>
      <c r="BF81" s="252"/>
    </row>
    <row r="82" spans="1:58" ht="12.75">
      <c r="A82" s="3"/>
      <c r="B82" s="12"/>
      <c r="C82" s="3"/>
      <c r="AY82" s="103" t="s">
        <v>193</v>
      </c>
      <c r="AZ82" s="103" t="s">
        <v>194</v>
      </c>
      <c r="BA82" s="103" t="s">
        <v>385</v>
      </c>
      <c r="BB82" s="10">
        <v>489140</v>
      </c>
      <c r="BF82" s="252"/>
    </row>
    <row r="83" spans="1:58" ht="12.75">
      <c r="A83" s="3"/>
      <c r="B83" s="12"/>
      <c r="C83" s="3"/>
      <c r="AY83" s="103" t="s">
        <v>98</v>
      </c>
      <c r="AZ83" s="103" t="s">
        <v>452</v>
      </c>
      <c r="BA83" s="103" t="s">
        <v>565</v>
      </c>
      <c r="BB83" s="10">
        <v>208442</v>
      </c>
      <c r="BE83" s="70"/>
      <c r="BF83" s="241"/>
    </row>
    <row r="84" spans="1:58" ht="12.75">
      <c r="A84" s="3"/>
      <c r="B84" s="12"/>
      <c r="C84" s="3"/>
      <c r="AY84" s="103" t="s">
        <v>203</v>
      </c>
      <c r="AZ84" s="103" t="s">
        <v>204</v>
      </c>
      <c r="BA84" s="103" t="s">
        <v>565</v>
      </c>
      <c r="BB84" s="10">
        <v>545543</v>
      </c>
      <c r="BE84" s="70"/>
      <c r="BF84" s="241"/>
    </row>
    <row r="85" spans="1:58" ht="12.75">
      <c r="A85" s="3"/>
      <c r="B85" s="12"/>
      <c r="C85" s="3"/>
      <c r="AY85" s="103" t="s">
        <v>135</v>
      </c>
      <c r="AZ85" s="103" t="s">
        <v>467</v>
      </c>
      <c r="BA85" s="103" t="s">
        <v>565</v>
      </c>
      <c r="BB85" s="10">
        <v>274067</v>
      </c>
      <c r="BE85" s="70"/>
      <c r="BF85" s="241"/>
    </row>
    <row r="86" spans="1:58" ht="12.75">
      <c r="A86" s="3"/>
      <c r="B86" s="12"/>
      <c r="C86" s="3"/>
      <c r="AY86" s="103" t="s">
        <v>251</v>
      </c>
      <c r="AZ86" s="103" t="s">
        <v>252</v>
      </c>
      <c r="BA86" s="103" t="s">
        <v>565</v>
      </c>
      <c r="BB86" s="10">
        <v>374861</v>
      </c>
      <c r="BE86" s="70"/>
      <c r="BF86" s="249"/>
    </row>
    <row r="87" spans="1:58" ht="12.75">
      <c r="A87" s="3"/>
      <c r="B87" s="12"/>
      <c r="C87" s="3"/>
      <c r="AY87" s="103" t="s">
        <v>132</v>
      </c>
      <c r="AZ87" s="103" t="s">
        <v>133</v>
      </c>
      <c r="BA87" s="103" t="s">
        <v>385</v>
      </c>
      <c r="BB87" s="10">
        <v>153833</v>
      </c>
      <c r="BE87" s="70"/>
      <c r="BF87" s="249"/>
    </row>
    <row r="88" spans="1:58" ht="12.75">
      <c r="A88" s="3"/>
      <c r="B88" s="12"/>
      <c r="C88" s="3"/>
      <c r="AY88" s="103" t="s">
        <v>79</v>
      </c>
      <c r="AZ88" s="103" t="s">
        <v>80</v>
      </c>
      <c r="BA88" s="103" t="s">
        <v>565</v>
      </c>
      <c r="BB88" s="10">
        <v>258492</v>
      </c>
      <c r="BE88" s="70"/>
      <c r="BF88" s="241"/>
    </row>
    <row r="89" spans="1:58" ht="12.75">
      <c r="A89" s="3"/>
      <c r="B89" s="12"/>
      <c r="C89" s="3"/>
      <c r="AY89" s="103" t="s">
        <v>81</v>
      </c>
      <c r="AZ89" s="103" t="s">
        <v>445</v>
      </c>
      <c r="BA89" s="103" t="s">
        <v>385</v>
      </c>
      <c r="BB89" s="10">
        <v>283085</v>
      </c>
      <c r="BE89" s="70"/>
      <c r="BF89" s="241"/>
    </row>
    <row r="90" spans="1:58" ht="12.75">
      <c r="A90" s="3"/>
      <c r="B90" s="12"/>
      <c r="C90" s="3"/>
      <c r="AY90" s="103" t="s">
        <v>76</v>
      </c>
      <c r="AZ90" s="103" t="s">
        <v>442</v>
      </c>
      <c r="BA90" s="103" t="s">
        <v>385</v>
      </c>
      <c r="BB90" s="10">
        <v>357346</v>
      </c>
      <c r="BE90" s="70"/>
      <c r="BF90" s="241"/>
    </row>
    <row r="91" spans="1:58" ht="12.75">
      <c r="A91" s="3"/>
      <c r="B91" s="12"/>
      <c r="C91" s="3"/>
      <c r="AY91" s="103" t="s">
        <v>243</v>
      </c>
      <c r="AZ91" s="103" t="s">
        <v>495</v>
      </c>
      <c r="BA91" s="103" t="s">
        <v>565</v>
      </c>
      <c r="BB91" s="10">
        <v>748575</v>
      </c>
      <c r="BE91" s="247"/>
      <c r="BF91" s="249"/>
    </row>
    <row r="92" spans="1:58" ht="12.75">
      <c r="A92" s="3"/>
      <c r="B92" s="12"/>
      <c r="C92" s="3"/>
      <c r="AY92" s="103" t="s">
        <v>249</v>
      </c>
      <c r="AZ92" s="103" t="s">
        <v>250</v>
      </c>
      <c r="BA92" s="103" t="s">
        <v>565</v>
      </c>
      <c r="BB92" s="10">
        <v>322673</v>
      </c>
      <c r="BE92" s="247"/>
      <c r="BF92" s="249"/>
    </row>
    <row r="93" spans="1:58" ht="12.75">
      <c r="A93" s="3"/>
      <c r="B93" s="12"/>
      <c r="C93" s="3"/>
      <c r="AY93" s="103" t="s">
        <v>58</v>
      </c>
      <c r="AZ93" s="103" t="s">
        <v>59</v>
      </c>
      <c r="BA93" s="103" t="s">
        <v>385</v>
      </c>
      <c r="BB93" s="10">
        <v>165284</v>
      </c>
      <c r="BF93" s="252"/>
    </row>
    <row r="94" spans="1:58" ht="12.75">
      <c r="A94" s="3"/>
      <c r="B94" s="12"/>
      <c r="C94" s="3"/>
      <c r="AY94" s="103" t="s">
        <v>186</v>
      </c>
      <c r="AZ94" s="103" t="s">
        <v>480</v>
      </c>
      <c r="BA94" s="103" t="s">
        <v>385</v>
      </c>
      <c r="BB94" s="10">
        <v>339272</v>
      </c>
      <c r="BE94" s="70"/>
      <c r="BF94" s="241"/>
    </row>
    <row r="95" spans="1:58" ht="12.75">
      <c r="A95" s="3"/>
      <c r="B95" s="12"/>
      <c r="C95" s="3"/>
      <c r="AY95" s="103" t="s">
        <v>86</v>
      </c>
      <c r="AZ95" s="103" t="s">
        <v>87</v>
      </c>
      <c r="BA95" s="103" t="s">
        <v>385</v>
      </c>
      <c r="BB95" s="10">
        <v>165642</v>
      </c>
      <c r="BE95" s="247"/>
      <c r="BF95" s="249"/>
    </row>
    <row r="96" spans="1:58" ht="12.75">
      <c r="A96" s="3"/>
      <c r="B96" s="12"/>
      <c r="C96" s="3"/>
      <c r="AY96" s="103" t="s">
        <v>157</v>
      </c>
      <c r="AZ96" s="103" t="s">
        <v>158</v>
      </c>
      <c r="BA96" s="103" t="s">
        <v>385</v>
      </c>
      <c r="BB96" s="10">
        <v>208351</v>
      </c>
      <c r="BE96" s="243"/>
      <c r="BF96" s="238"/>
    </row>
    <row r="97" spans="1:58" ht="12.75">
      <c r="A97" s="3"/>
      <c r="B97" s="12"/>
      <c r="C97" s="3"/>
      <c r="AY97" s="103" t="s">
        <v>231</v>
      </c>
      <c r="AZ97" s="103" t="s">
        <v>232</v>
      </c>
      <c r="BA97" s="103" t="s">
        <v>385</v>
      </c>
      <c r="BB97" s="10">
        <v>203178</v>
      </c>
      <c r="BE97" s="243"/>
      <c r="BF97" s="238"/>
    </row>
    <row r="98" spans="1:58" ht="12.75">
      <c r="A98" s="3"/>
      <c r="B98" s="12"/>
      <c r="C98" s="3"/>
      <c r="AY98" s="103" t="s">
        <v>82</v>
      </c>
      <c r="AZ98" s="103" t="s">
        <v>446</v>
      </c>
      <c r="BA98" s="103" t="s">
        <v>385</v>
      </c>
      <c r="BB98" s="10">
        <v>214052</v>
      </c>
      <c r="BE98" s="248"/>
      <c r="BF98" s="241"/>
    </row>
    <row r="99" spans="1:58" ht="12.75">
      <c r="A99" s="3"/>
      <c r="B99" s="12"/>
      <c r="C99" s="3"/>
      <c r="AY99" s="103" t="s">
        <v>205</v>
      </c>
      <c r="AZ99" s="103" t="s">
        <v>206</v>
      </c>
      <c r="BA99" s="103" t="s">
        <v>565</v>
      </c>
      <c r="BB99" s="10">
        <v>795503</v>
      </c>
      <c r="BE99" s="70"/>
      <c r="BF99" s="249"/>
    </row>
    <row r="100" spans="1:58" ht="12.75">
      <c r="A100" s="3"/>
      <c r="B100" s="12"/>
      <c r="C100" s="3"/>
      <c r="AY100" s="103" t="s">
        <v>226</v>
      </c>
      <c r="AZ100" s="103" t="s">
        <v>490</v>
      </c>
      <c r="BA100" s="103" t="s">
        <v>385</v>
      </c>
      <c r="BB100" s="10">
        <v>648340</v>
      </c>
      <c r="BE100" s="70"/>
      <c r="BF100" s="249"/>
    </row>
    <row r="101" spans="51:58" ht="12.75">
      <c r="AY101" s="103" t="s">
        <v>51</v>
      </c>
      <c r="AZ101" s="103" t="s">
        <v>52</v>
      </c>
      <c r="BA101" s="103" t="s">
        <v>385</v>
      </c>
      <c r="BB101" s="10">
        <v>320818</v>
      </c>
      <c r="BE101" s="237"/>
      <c r="BF101" s="238"/>
    </row>
    <row r="102" spans="51:58" ht="12.75">
      <c r="AY102" s="103" t="s">
        <v>88</v>
      </c>
      <c r="AZ102" s="103" t="s">
        <v>89</v>
      </c>
      <c r="BA102" s="103" t="s">
        <v>385</v>
      </c>
      <c r="BB102" s="10">
        <v>339920</v>
      </c>
      <c r="BE102" s="237"/>
      <c r="BF102" s="238"/>
    </row>
    <row r="103" spans="51:58" ht="12.75">
      <c r="AY103" s="103" t="s">
        <v>177</v>
      </c>
      <c r="AZ103" s="103" t="s">
        <v>477</v>
      </c>
      <c r="BA103" s="103" t="s">
        <v>385</v>
      </c>
      <c r="BB103" s="10">
        <v>656875</v>
      </c>
      <c r="BE103" s="70"/>
      <c r="BF103" s="239"/>
    </row>
    <row r="104" spans="51:58" ht="12.75">
      <c r="AY104" s="103" t="s">
        <v>114</v>
      </c>
      <c r="AZ104" s="103" t="s">
        <v>456</v>
      </c>
      <c r="BA104" s="103" t="s">
        <v>385</v>
      </c>
      <c r="BB104" s="10">
        <v>236592</v>
      </c>
      <c r="BF104" s="252"/>
    </row>
    <row r="105" spans="51:58" ht="12.75">
      <c r="AY105" s="103" t="s">
        <v>259</v>
      </c>
      <c r="AZ105" s="103" t="s">
        <v>499</v>
      </c>
      <c r="BA105" s="103" t="s">
        <v>565</v>
      </c>
      <c r="BB105" s="10">
        <v>671572</v>
      </c>
      <c r="BE105" s="237"/>
      <c r="BF105" s="238"/>
    </row>
    <row r="106" spans="51:58" ht="12.75">
      <c r="AY106" s="103" t="s">
        <v>239</v>
      </c>
      <c r="AZ106" s="103" t="s">
        <v>240</v>
      </c>
      <c r="BA106" s="103" t="s">
        <v>565</v>
      </c>
      <c r="BB106" s="10">
        <v>177882</v>
      </c>
      <c r="BF106" s="252"/>
    </row>
    <row r="107" spans="51:58" ht="12.75">
      <c r="AY107" s="103" t="s">
        <v>91</v>
      </c>
      <c r="AZ107" s="103" t="s">
        <v>449</v>
      </c>
      <c r="BA107" s="103" t="s">
        <v>385</v>
      </c>
      <c r="BB107" s="10">
        <v>274443</v>
      </c>
      <c r="BF107" s="252"/>
    </row>
    <row r="108" spans="51:58" ht="12.75">
      <c r="AY108" s="103" t="s">
        <v>95</v>
      </c>
      <c r="AZ108" s="103" t="s">
        <v>451</v>
      </c>
      <c r="BA108" s="103" t="s">
        <v>385</v>
      </c>
      <c r="BB108" s="10">
        <v>213174</v>
      </c>
      <c r="BE108" s="70"/>
      <c r="BF108" s="239"/>
    </row>
    <row r="109" spans="51:58" ht="12.75">
      <c r="AY109" s="103" t="s">
        <v>179</v>
      </c>
      <c r="AZ109" s="103" t="s">
        <v>180</v>
      </c>
      <c r="BA109" s="103" t="s">
        <v>385</v>
      </c>
      <c r="BB109" s="10">
        <v>278950</v>
      </c>
      <c r="BE109" s="237"/>
      <c r="BF109" s="238"/>
    </row>
    <row r="110" spans="51:58" ht="12.75">
      <c r="AY110" s="103" t="s">
        <v>273</v>
      </c>
      <c r="AZ110" s="103" t="s">
        <v>274</v>
      </c>
      <c r="BA110" s="103" t="s">
        <v>385</v>
      </c>
      <c r="BB110" s="10">
        <v>133304</v>
      </c>
      <c r="BE110" s="70"/>
      <c r="BF110" s="249"/>
    </row>
    <row r="111" spans="51:58" ht="12.75">
      <c r="AY111" s="103" t="s">
        <v>155</v>
      </c>
      <c r="AZ111" s="103" t="s">
        <v>471</v>
      </c>
      <c r="BA111" s="103" t="s">
        <v>385</v>
      </c>
      <c r="BB111" s="10">
        <v>197060</v>
      </c>
      <c r="BE111" s="70"/>
      <c r="BF111" s="239"/>
    </row>
    <row r="112" spans="51:58" ht="12.75">
      <c r="AY112" s="103" t="s">
        <v>100</v>
      </c>
      <c r="AZ112" s="103" t="s">
        <v>101</v>
      </c>
      <c r="BA112" s="103" t="s">
        <v>385</v>
      </c>
      <c r="BB112" s="10">
        <v>253140</v>
      </c>
      <c r="BE112" s="250"/>
      <c r="BF112" s="249"/>
    </row>
    <row r="113" spans="51:58" ht="12.75">
      <c r="AY113" s="103" t="s">
        <v>92</v>
      </c>
      <c r="AZ113" s="103" t="s">
        <v>93</v>
      </c>
      <c r="BA113" s="103" t="s">
        <v>385</v>
      </c>
      <c r="BB113" s="10">
        <v>240983</v>
      </c>
      <c r="BE113" s="70"/>
      <c r="BF113" s="241"/>
    </row>
    <row r="114" spans="51:58" ht="12.75">
      <c r="AY114" s="103" t="s">
        <v>228</v>
      </c>
      <c r="AZ114" s="103" t="s">
        <v>492</v>
      </c>
      <c r="BA114" s="103" t="s">
        <v>385</v>
      </c>
      <c r="BB114" s="10">
        <v>340451</v>
      </c>
      <c r="BF114" s="241"/>
    </row>
    <row r="115" spans="51:58" ht="12.75">
      <c r="AY115" s="103" t="s">
        <v>189</v>
      </c>
      <c r="AZ115" s="103" t="s">
        <v>190</v>
      </c>
      <c r="BA115" s="103" t="s">
        <v>385</v>
      </c>
      <c r="BB115" s="10">
        <v>280673</v>
      </c>
      <c r="BE115" s="248"/>
      <c r="BF115" s="241"/>
    </row>
    <row r="116" spans="51:58" ht="12.75">
      <c r="AY116" s="103" t="s">
        <v>169</v>
      </c>
      <c r="AZ116" s="103" t="s">
        <v>170</v>
      </c>
      <c r="BA116" s="103" t="s">
        <v>385</v>
      </c>
      <c r="BB116" s="10">
        <v>565874</v>
      </c>
      <c r="BE116" s="70"/>
      <c r="BF116" s="239"/>
    </row>
    <row r="117" spans="51:58" ht="12.75">
      <c r="AY117" s="103" t="s">
        <v>152</v>
      </c>
      <c r="AZ117" s="103" t="s">
        <v>470</v>
      </c>
      <c r="BA117" s="103" t="s">
        <v>565</v>
      </c>
      <c r="BB117" s="10">
        <v>295379</v>
      </c>
      <c r="BE117" s="237"/>
      <c r="BF117" s="238"/>
    </row>
    <row r="118" spans="51:58" ht="12.75">
      <c r="AY118" s="103" t="s">
        <v>56</v>
      </c>
      <c r="AZ118" s="103" t="s">
        <v>57</v>
      </c>
      <c r="BA118" s="103" t="s">
        <v>385</v>
      </c>
      <c r="BB118" s="10">
        <v>217094</v>
      </c>
      <c r="BE118" s="70"/>
      <c r="BF118" s="239"/>
    </row>
    <row r="119" spans="51:58" ht="12.75">
      <c r="AY119" s="103" t="s">
        <v>268</v>
      </c>
      <c r="AZ119" s="103" t="s">
        <v>502</v>
      </c>
      <c r="BA119" s="103" t="s">
        <v>385</v>
      </c>
      <c r="BB119" s="10">
        <v>538131</v>
      </c>
      <c r="BE119" s="70"/>
      <c r="BF119" s="239"/>
    </row>
    <row r="120" spans="51:58" ht="12.75">
      <c r="AY120" s="103" t="s">
        <v>150</v>
      </c>
      <c r="AZ120" s="103" t="s">
        <v>151</v>
      </c>
      <c r="BA120" s="103" t="s">
        <v>565</v>
      </c>
      <c r="BB120" s="10">
        <v>389725</v>
      </c>
      <c r="BE120" s="70"/>
      <c r="BF120" s="239"/>
    </row>
    <row r="121" spans="51:58" ht="12.75">
      <c r="AY121" s="103" t="s">
        <v>212</v>
      </c>
      <c r="AZ121" s="103" t="s">
        <v>213</v>
      </c>
      <c r="BA121" s="103" t="s">
        <v>565</v>
      </c>
      <c r="BB121" s="10">
        <v>356812</v>
      </c>
      <c r="BE121" s="237"/>
      <c r="BF121" s="238"/>
    </row>
    <row r="122" spans="51:58" ht="12.75">
      <c r="AY122" s="103" t="s">
        <v>60</v>
      </c>
      <c r="AZ122" s="103" t="s">
        <v>61</v>
      </c>
      <c r="BA122" s="103" t="s">
        <v>385</v>
      </c>
      <c r="BB122" s="10">
        <v>256321</v>
      </c>
      <c r="BE122" s="70"/>
      <c r="BF122" s="249"/>
    </row>
    <row r="123" spans="51:58" ht="12.75">
      <c r="AY123" s="103" t="s">
        <v>234</v>
      </c>
      <c r="AZ123" s="103" t="s">
        <v>494</v>
      </c>
      <c r="BA123" s="103" t="s">
        <v>565</v>
      </c>
      <c r="BB123" s="10">
        <v>615835</v>
      </c>
      <c r="BF123" s="252"/>
    </row>
    <row r="124" spans="51:58" ht="12.75">
      <c r="AY124" s="103" t="s">
        <v>130</v>
      </c>
      <c r="AZ124" s="103" t="s">
        <v>464</v>
      </c>
      <c r="BA124" s="103" t="s">
        <v>385</v>
      </c>
      <c r="BB124" s="10">
        <v>150179</v>
      </c>
      <c r="BF124" s="252"/>
    </row>
    <row r="125" spans="51:58" ht="12.75">
      <c r="AY125" s="103" t="s">
        <v>253</v>
      </c>
      <c r="AZ125" s="103" t="s">
        <v>254</v>
      </c>
      <c r="BA125" s="103" t="s">
        <v>385</v>
      </c>
      <c r="BB125" s="10">
        <v>420503</v>
      </c>
      <c r="BE125" s="70"/>
      <c r="BF125" s="249"/>
    </row>
    <row r="126" spans="51:58" ht="12.75">
      <c r="AY126" s="103" t="s">
        <v>134</v>
      </c>
      <c r="AZ126" s="103" t="s">
        <v>466</v>
      </c>
      <c r="BA126" s="103" t="s">
        <v>385</v>
      </c>
      <c r="BB126" s="10">
        <v>263936</v>
      </c>
      <c r="BE126" s="70"/>
      <c r="BF126" s="239"/>
    </row>
    <row r="127" spans="51:58" ht="12.75">
      <c r="AY127" s="103" t="s">
        <v>142</v>
      </c>
      <c r="AZ127" s="103" t="s">
        <v>143</v>
      </c>
      <c r="BA127" s="103" t="s">
        <v>385</v>
      </c>
      <c r="BB127" s="10">
        <v>308593</v>
      </c>
      <c r="BF127" s="252"/>
    </row>
    <row r="128" spans="51:58" ht="12.75">
      <c r="AY128" s="103" t="s">
        <v>94</v>
      </c>
      <c r="AZ128" s="103" t="s">
        <v>450</v>
      </c>
      <c r="BA128" s="103" t="s">
        <v>565</v>
      </c>
      <c r="BB128" s="10">
        <v>298190</v>
      </c>
      <c r="BE128" s="250"/>
      <c r="BF128" s="249"/>
    </row>
    <row r="129" spans="51:58" ht="12.75">
      <c r="AY129" s="103" t="s">
        <v>85</v>
      </c>
      <c r="AZ129" s="103" t="s">
        <v>447</v>
      </c>
      <c r="BA129" s="103" t="s">
        <v>385</v>
      </c>
      <c r="BB129" s="10">
        <v>191885</v>
      </c>
      <c r="BE129" s="70"/>
      <c r="BF129" s="249"/>
    </row>
    <row r="130" spans="51:58" ht="12.75">
      <c r="AY130" s="103" t="s">
        <v>233</v>
      </c>
      <c r="AZ130" s="103" t="s">
        <v>493</v>
      </c>
      <c r="BA130" s="103" t="s">
        <v>385</v>
      </c>
      <c r="BB130" s="10">
        <v>268223</v>
      </c>
      <c r="BE130" s="70"/>
      <c r="BF130" s="249"/>
    </row>
    <row r="131" spans="51:58" ht="12.75">
      <c r="AY131" s="103" t="s">
        <v>245</v>
      </c>
      <c r="AZ131" s="103" t="s">
        <v>246</v>
      </c>
      <c r="BA131" s="103" t="s">
        <v>565</v>
      </c>
      <c r="BB131" s="10">
        <v>616983</v>
      </c>
      <c r="BE131" s="247"/>
      <c r="BF131" s="249"/>
    </row>
    <row r="132" spans="51:58" ht="12.75">
      <c r="AY132" s="103" t="s">
        <v>131</v>
      </c>
      <c r="AZ132" s="103" t="s">
        <v>465</v>
      </c>
      <c r="BA132" s="103" t="s">
        <v>385</v>
      </c>
      <c r="BB132" s="10">
        <v>283991</v>
      </c>
      <c r="BE132" s="247"/>
      <c r="BF132" s="249"/>
    </row>
    <row r="133" spans="51:58" ht="12.75">
      <c r="AY133" s="103" t="s">
        <v>216</v>
      </c>
      <c r="AZ133" s="103" t="s">
        <v>217</v>
      </c>
      <c r="BA133" s="103" t="s">
        <v>385</v>
      </c>
      <c r="BB133" s="10">
        <v>1156805</v>
      </c>
      <c r="BE133" s="247"/>
      <c r="BF133" s="251"/>
    </row>
    <row r="134" spans="51:58" ht="12.75">
      <c r="AY134" s="103" t="s">
        <v>156</v>
      </c>
      <c r="AZ134" s="103" t="s">
        <v>472</v>
      </c>
      <c r="BA134" s="103" t="s">
        <v>385</v>
      </c>
      <c r="BB134" s="10">
        <v>390971</v>
      </c>
      <c r="BE134" s="243"/>
      <c r="BF134" s="238"/>
    </row>
    <row r="135" spans="51:58" ht="12.75">
      <c r="AY135" s="103" t="s">
        <v>121</v>
      </c>
      <c r="AZ135" s="103" t="s">
        <v>122</v>
      </c>
      <c r="BA135" s="103" t="s">
        <v>564</v>
      </c>
      <c r="BB135" s="10">
        <v>218182</v>
      </c>
      <c r="BE135" s="250"/>
      <c r="BF135" s="249"/>
    </row>
    <row r="136" spans="51:58" ht="12.75">
      <c r="AY136" s="103" t="s">
        <v>148</v>
      </c>
      <c r="AZ136" s="103" t="s">
        <v>468</v>
      </c>
      <c r="BA136" s="103" t="s">
        <v>565</v>
      </c>
      <c r="BB136" s="10">
        <v>236598</v>
      </c>
      <c r="BE136" s="237"/>
      <c r="BF136" s="238"/>
    </row>
    <row r="137" spans="51:58" ht="12.75">
      <c r="AY137" s="103" t="s">
        <v>160</v>
      </c>
      <c r="AZ137" s="103" t="s">
        <v>474</v>
      </c>
      <c r="BA137" s="103" t="s">
        <v>565</v>
      </c>
      <c r="BB137" s="10">
        <v>165993</v>
      </c>
      <c r="BF137" s="252"/>
    </row>
    <row r="138" spans="51:58" ht="12.75">
      <c r="AY138" s="103" t="s">
        <v>54</v>
      </c>
      <c r="AZ138" s="103" t="s">
        <v>55</v>
      </c>
      <c r="BA138" s="103" t="s">
        <v>385</v>
      </c>
      <c r="BB138" s="10">
        <v>145889</v>
      </c>
      <c r="BE138" s="70"/>
      <c r="BF138" s="239"/>
    </row>
    <row r="139" spans="51:58" ht="12.75">
      <c r="AY139" s="103" t="s">
        <v>75</v>
      </c>
      <c r="AZ139" s="103" t="s">
        <v>441</v>
      </c>
      <c r="BA139" s="103" t="s">
        <v>385</v>
      </c>
      <c r="BB139" s="10">
        <v>267393</v>
      </c>
      <c r="BE139" s="237"/>
      <c r="BF139" s="238"/>
    </row>
    <row r="140" spans="51:58" ht="12.75">
      <c r="AY140" s="103" t="s">
        <v>201</v>
      </c>
      <c r="AZ140" s="103" t="s">
        <v>202</v>
      </c>
      <c r="BA140" s="103" t="s">
        <v>565</v>
      </c>
      <c r="BB140" s="10">
        <v>232551</v>
      </c>
      <c r="BE140" s="70"/>
      <c r="BF140" s="239"/>
    </row>
    <row r="141" spans="51:58" ht="12.75">
      <c r="AY141" s="103" t="s">
        <v>167</v>
      </c>
      <c r="AZ141" s="103" t="s">
        <v>168</v>
      </c>
      <c r="BA141" s="103" t="s">
        <v>565</v>
      </c>
      <c r="BB141" s="10">
        <v>350958</v>
      </c>
      <c r="BE141" s="70"/>
      <c r="BF141" s="239"/>
    </row>
    <row r="142" spans="51:58" ht="12.75">
      <c r="AY142" s="103" t="s">
        <v>153</v>
      </c>
      <c r="AZ142" s="103" t="s">
        <v>154</v>
      </c>
      <c r="BA142" s="103" t="s">
        <v>385</v>
      </c>
      <c r="BB142" s="10">
        <v>265654</v>
      </c>
      <c r="BE142" s="70"/>
      <c r="BF142" s="241"/>
    </row>
    <row r="143" spans="51:58" ht="12.75">
      <c r="AY143" s="103" t="s">
        <v>181</v>
      </c>
      <c r="AZ143" s="103" t="s">
        <v>182</v>
      </c>
      <c r="BA143" s="103" t="s">
        <v>385</v>
      </c>
      <c r="BB143" s="10">
        <v>284466</v>
      </c>
      <c r="BE143" s="70"/>
      <c r="BF143" s="249"/>
    </row>
    <row r="144" spans="51:58" ht="12.75">
      <c r="AY144" s="103" t="s">
        <v>146</v>
      </c>
      <c r="AZ144" s="103" t="s">
        <v>147</v>
      </c>
      <c r="BA144" s="103" t="s">
        <v>385</v>
      </c>
      <c r="BB144" s="10">
        <v>319933</v>
      </c>
      <c r="BE144" s="70"/>
      <c r="BF144" s="241"/>
    </row>
    <row r="145" spans="51:58" ht="12.75">
      <c r="AY145" s="103" t="s">
        <v>111</v>
      </c>
      <c r="AZ145" s="103" t="s">
        <v>112</v>
      </c>
      <c r="BA145" s="103" t="s">
        <v>385</v>
      </c>
      <c r="BB145" s="10">
        <v>192336</v>
      </c>
      <c r="BE145" s="248"/>
      <c r="BF145" s="249"/>
    </row>
    <row r="146" spans="51:58" ht="12.75">
      <c r="AY146" s="103" t="s">
        <v>237</v>
      </c>
      <c r="AZ146" s="103" t="s">
        <v>238</v>
      </c>
      <c r="BA146" s="103" t="s">
        <v>385</v>
      </c>
      <c r="BB146" s="10">
        <v>548313</v>
      </c>
      <c r="BF146" s="252"/>
    </row>
    <row r="147" spans="51:58" ht="12.75">
      <c r="AY147" s="103" t="s">
        <v>247</v>
      </c>
      <c r="AZ147" s="103" t="s">
        <v>248</v>
      </c>
      <c r="BA147" s="103" t="s">
        <v>385</v>
      </c>
      <c r="BB147" s="10">
        <v>287229</v>
      </c>
      <c r="BF147" s="252"/>
    </row>
    <row r="148" spans="51:58" ht="12.75">
      <c r="AY148" s="103" t="s">
        <v>222</v>
      </c>
      <c r="AZ148" s="103" t="s">
        <v>488</v>
      </c>
      <c r="BA148" s="103" t="s">
        <v>565</v>
      </c>
      <c r="BB148" s="10">
        <v>707573</v>
      </c>
      <c r="BF148" s="252"/>
    </row>
    <row r="149" spans="51:58" ht="12.75">
      <c r="AY149" s="103" t="s">
        <v>218</v>
      </c>
      <c r="AZ149" s="103" t="s">
        <v>219</v>
      </c>
      <c r="BA149" s="103" t="s">
        <v>565</v>
      </c>
      <c r="BB149" s="10">
        <v>825533</v>
      </c>
      <c r="BE149" s="248"/>
      <c r="BF149" s="249"/>
    </row>
    <row r="150" spans="51:58" ht="12.75">
      <c r="AY150" s="103" t="s">
        <v>196</v>
      </c>
      <c r="AZ150" s="103" t="s">
        <v>197</v>
      </c>
      <c r="BA150" s="103" t="s">
        <v>385</v>
      </c>
      <c r="BB150" s="10">
        <v>259945</v>
      </c>
      <c r="BF150" s="252"/>
    </row>
    <row r="151" spans="51:58" ht="12.75">
      <c r="AY151" s="103" t="s">
        <v>138</v>
      </c>
      <c r="AZ151" s="103" t="s">
        <v>139</v>
      </c>
      <c r="BA151" s="103" t="s">
        <v>385</v>
      </c>
      <c r="BB151" s="10">
        <v>246573</v>
      </c>
      <c r="BF151" s="252"/>
    </row>
    <row r="152" spans="51:58" ht="12.75">
      <c r="AY152" s="103" t="s">
        <v>266</v>
      </c>
      <c r="AZ152" s="103" t="s">
        <v>267</v>
      </c>
      <c r="BA152" s="103" t="s">
        <v>565</v>
      </c>
      <c r="BB152" s="10">
        <v>462395</v>
      </c>
      <c r="BE152" s="250"/>
      <c r="BF152" s="239"/>
    </row>
    <row r="153" spans="51:58" ht="12.75">
      <c r="AY153" s="103" t="s">
        <v>191</v>
      </c>
      <c r="AZ153" s="103" t="s">
        <v>192</v>
      </c>
      <c r="BA153" s="103" t="s">
        <v>385</v>
      </c>
      <c r="BB153" s="10">
        <v>332176</v>
      </c>
      <c r="BF153" s="252"/>
    </row>
    <row r="154" spans="51:58" ht="12.75">
      <c r="AY154" s="103" t="s">
        <v>161</v>
      </c>
      <c r="AZ154" s="103" t="s">
        <v>475</v>
      </c>
      <c r="BA154" s="103" t="s">
        <v>385</v>
      </c>
      <c r="BB154" s="10">
        <v>246213</v>
      </c>
      <c r="BE154" s="237"/>
      <c r="BF154" s="238"/>
    </row>
    <row r="155" spans="51:58" ht="12.75">
      <c r="AY155" s="103" t="s">
        <v>235</v>
      </c>
      <c r="AZ155" s="103" t="s">
        <v>236</v>
      </c>
      <c r="BA155" s="103" t="s">
        <v>565</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587</v>
      </c>
      <c r="B3" s="56" t="s">
        <v>506</v>
      </c>
      <c r="C3" s="56" t="s">
        <v>24</v>
      </c>
    </row>
    <row r="4" spans="1:2" ht="12.75">
      <c r="A4" s="76">
        <v>1</v>
      </c>
      <c r="B4" s="78" t="s">
        <v>272</v>
      </c>
    </row>
    <row r="5" ht="12.75">
      <c r="A5" s="280" t="s">
        <v>587</v>
      </c>
    </row>
    <row r="6" ht="12.75">
      <c r="A6" s="280" t="s">
        <v>575</v>
      </c>
    </row>
    <row r="7" ht="12.75">
      <c r="A7" s="280" t="s">
        <v>580</v>
      </c>
    </row>
    <row r="8" ht="12.75">
      <c r="A8" s="280" t="s">
        <v>574</v>
      </c>
    </row>
    <row r="9" ht="12.75">
      <c r="A9" s="280" t="s">
        <v>583</v>
      </c>
    </row>
    <row r="10" ht="12.75">
      <c r="A10" s="280" t="s">
        <v>573</v>
      </c>
    </row>
    <row r="11" ht="12.75">
      <c r="A11" s="280" t="s">
        <v>619</v>
      </c>
    </row>
    <row r="12" ht="12.75">
      <c r="A12" s="280" t="s">
        <v>663</v>
      </c>
    </row>
    <row r="13" ht="12.75">
      <c r="A13" s="280" t="s">
        <v>595</v>
      </c>
    </row>
    <row r="14" ht="12.75">
      <c r="A14" s="280" t="s">
        <v>646</v>
      </c>
    </row>
    <row r="15" ht="12.75">
      <c r="A15" s="280" t="s">
        <v>681</v>
      </c>
    </row>
    <row r="16" ht="12.75">
      <c r="A16" s="280" t="s">
        <v>668</v>
      </c>
    </row>
    <row r="17" ht="12.75">
      <c r="A17" s="280" t="s">
        <v>577</v>
      </c>
    </row>
    <row r="18" ht="12.75">
      <c r="A18" s="280" t="s">
        <v>641</v>
      </c>
    </row>
    <row r="19" ht="12.75">
      <c r="A19" s="280" t="s">
        <v>613</v>
      </c>
    </row>
    <row r="20" ht="12.75">
      <c r="A20" s="280" t="s">
        <v>612</v>
      </c>
    </row>
    <row r="21" ht="12.75">
      <c r="A21" s="280" t="s">
        <v>664</v>
      </c>
    </row>
    <row r="22" ht="12.75">
      <c r="A22" s="280" t="s">
        <v>576</v>
      </c>
    </row>
    <row r="23" ht="12.75">
      <c r="A23" s="280" t="s">
        <v>629</v>
      </c>
    </row>
    <row r="24" ht="12.75">
      <c r="A24" s="280" t="s">
        <v>634</v>
      </c>
    </row>
    <row r="25" ht="12.75">
      <c r="A25" s="280" t="s">
        <v>601</v>
      </c>
    </row>
    <row r="26" ht="12.75">
      <c r="A26" s="280" t="s">
        <v>649</v>
      </c>
    </row>
    <row r="27" ht="12.75">
      <c r="A27" s="280" t="s">
        <v>618</v>
      </c>
    </row>
    <row r="28" ht="12.75">
      <c r="A28" s="280" t="s">
        <v>638</v>
      </c>
    </row>
    <row r="29" ht="12.75">
      <c r="A29" s="280" t="s">
        <v>662</v>
      </c>
    </row>
    <row r="30" ht="12.75">
      <c r="A30" s="280" t="s">
        <v>630</v>
      </c>
    </row>
    <row r="31" ht="12.75">
      <c r="A31" s="280" t="s">
        <v>608</v>
      </c>
    </row>
    <row r="32" ht="12.75">
      <c r="A32" s="280" t="s">
        <v>650</v>
      </c>
    </row>
    <row r="33" ht="12.75">
      <c r="A33" s="280" t="s">
        <v>621</v>
      </c>
    </row>
    <row r="34" ht="12.75">
      <c r="A34" s="280" t="s">
        <v>604</v>
      </c>
    </row>
    <row r="35" ht="12.75">
      <c r="A35" s="280" t="s">
        <v>627</v>
      </c>
    </row>
    <row r="36" ht="12.75">
      <c r="A36" s="280" t="s">
        <v>625</v>
      </c>
    </row>
    <row r="37" ht="12.75">
      <c r="A37" s="280" t="s">
        <v>600</v>
      </c>
    </row>
    <row r="38" ht="12.75">
      <c r="A38" s="280" t="s">
        <v>626</v>
      </c>
    </row>
    <row r="39" ht="12.75">
      <c r="A39" s="280" t="s">
        <v>581</v>
      </c>
    </row>
    <row r="40" ht="12.75">
      <c r="A40" s="280" t="s">
        <v>596</v>
      </c>
    </row>
    <row r="41" ht="12.75">
      <c r="A41" s="280" t="s">
        <v>682</v>
      </c>
    </row>
    <row r="42" ht="12.75">
      <c r="A42" s="280" t="s">
        <v>597</v>
      </c>
    </row>
    <row r="43" ht="12.75">
      <c r="A43" s="280" t="s">
        <v>652</v>
      </c>
    </row>
    <row r="44" ht="12.75">
      <c r="A44" s="280" t="s">
        <v>666</v>
      </c>
    </row>
    <row r="45" ht="12.75">
      <c r="A45" s="280" t="s">
        <v>605</v>
      </c>
    </row>
    <row r="46" ht="12.75">
      <c r="A46" s="280" t="s">
        <v>661</v>
      </c>
    </row>
    <row r="47" ht="12.75">
      <c r="A47" s="280" t="s">
        <v>644</v>
      </c>
    </row>
    <row r="48" ht="12.75">
      <c r="A48" s="280" t="s">
        <v>642</v>
      </c>
    </row>
    <row r="49" ht="12.75">
      <c r="A49" s="280" t="s">
        <v>659</v>
      </c>
    </row>
    <row r="50" ht="12.75">
      <c r="A50" s="280" t="s">
        <v>615</v>
      </c>
    </row>
    <row r="51" ht="12.75">
      <c r="A51" s="280" t="s">
        <v>658</v>
      </c>
    </row>
    <row r="52" ht="12.75">
      <c r="A52" s="280" t="s">
        <v>647</v>
      </c>
    </row>
    <row r="53" ht="12.75">
      <c r="A53" s="280" t="s">
        <v>611</v>
      </c>
    </row>
    <row r="54" ht="12.75">
      <c r="A54" s="280" t="s">
        <v>570</v>
      </c>
    </row>
    <row r="55" ht="12.75">
      <c r="A55" s="280" t="s">
        <v>667</v>
      </c>
    </row>
    <row r="56" ht="12.75">
      <c r="A56" s="280" t="s">
        <v>616</v>
      </c>
    </row>
    <row r="57" ht="12.75">
      <c r="A57" s="280" t="s">
        <v>655</v>
      </c>
    </row>
    <row r="58" ht="12.75">
      <c r="A58" s="280" t="s">
        <v>631</v>
      </c>
    </row>
    <row r="59" ht="12.75">
      <c r="A59" s="280" t="s">
        <v>632</v>
      </c>
    </row>
    <row r="60" ht="12.75">
      <c r="A60" s="280" t="s">
        <v>680</v>
      </c>
    </row>
    <row r="61" ht="12.75">
      <c r="A61" s="280" t="s">
        <v>572</v>
      </c>
    </row>
    <row r="62" ht="12.75">
      <c r="A62" s="280" t="s">
        <v>594</v>
      </c>
    </row>
    <row r="63" ht="12.75">
      <c r="A63" s="280" t="s">
        <v>651</v>
      </c>
    </row>
    <row r="64" ht="12.75">
      <c r="A64" s="280" t="s">
        <v>588</v>
      </c>
    </row>
    <row r="65" ht="12.75">
      <c r="A65" s="280" t="s">
        <v>610</v>
      </c>
    </row>
    <row r="66" ht="12.75">
      <c r="A66" s="280" t="s">
        <v>582</v>
      </c>
    </row>
    <row r="67" ht="12.75">
      <c r="A67" s="280" t="s">
        <v>622</v>
      </c>
    </row>
    <row r="68" ht="12.75">
      <c r="A68" s="280" t="s">
        <v>598</v>
      </c>
    </row>
    <row r="69" ht="12.75">
      <c r="A69" s="280" t="s">
        <v>586</v>
      </c>
    </row>
    <row r="70" ht="12.75">
      <c r="A70" s="280" t="s">
        <v>640</v>
      </c>
    </row>
    <row r="71" ht="12.75">
      <c r="A71" s="280" t="s">
        <v>656</v>
      </c>
    </row>
    <row r="72" ht="12.75">
      <c r="A72" s="280" t="s">
        <v>599</v>
      </c>
    </row>
    <row r="73" ht="12.75">
      <c r="A73" s="280" t="s">
        <v>607</v>
      </c>
    </row>
    <row r="74" ht="12.75">
      <c r="A74" s="280" t="s">
        <v>623</v>
      </c>
    </row>
    <row r="75" ht="12.75">
      <c r="A75" s="280" t="s">
        <v>665</v>
      </c>
    </row>
    <row r="76" ht="12.75">
      <c r="A76" s="280" t="s">
        <v>591</v>
      </c>
    </row>
    <row r="77" ht="12.75">
      <c r="A77" s="280" t="s">
        <v>571</v>
      </c>
    </row>
    <row r="78" ht="12.75">
      <c r="A78" s="280" t="s">
        <v>654</v>
      </c>
    </row>
    <row r="79" ht="12.75">
      <c r="A79" s="280" t="s">
        <v>624</v>
      </c>
    </row>
    <row r="80" ht="12.75">
      <c r="A80" s="280" t="s">
        <v>648</v>
      </c>
    </row>
    <row r="81" ht="12.75">
      <c r="A81" s="280" t="s">
        <v>602</v>
      </c>
    </row>
    <row r="82" ht="12.75">
      <c r="A82" s="280" t="s">
        <v>653</v>
      </c>
    </row>
    <row r="83" ht="12.75">
      <c r="A83" s="280" t="s">
        <v>679</v>
      </c>
    </row>
    <row r="84" ht="12.75">
      <c r="A84" s="280" t="s">
        <v>639</v>
      </c>
    </row>
    <row r="85" ht="12.75">
      <c r="A85" s="280" t="s">
        <v>609</v>
      </c>
    </row>
    <row r="86" ht="12.75">
      <c r="A86" s="280" t="s">
        <v>614</v>
      </c>
    </row>
    <row r="87" ht="12.75">
      <c r="A87" s="280" t="s">
        <v>620</v>
      </c>
    </row>
    <row r="88" ht="12.75">
      <c r="A88" s="280" t="s">
        <v>645</v>
      </c>
    </row>
    <row r="89" ht="12.75">
      <c r="A89" s="280" t="s">
        <v>606</v>
      </c>
    </row>
    <row r="90" ht="12.75">
      <c r="A90" s="280" t="s">
        <v>593</v>
      </c>
    </row>
    <row r="91" ht="12.75">
      <c r="A91" s="280" t="s">
        <v>578</v>
      </c>
    </row>
    <row r="92" ht="12.75">
      <c r="A92" s="280" t="s">
        <v>590</v>
      </c>
    </row>
    <row r="93" ht="12.75">
      <c r="A93" s="280" t="s">
        <v>589</v>
      </c>
    </row>
    <row r="94" ht="12.75">
      <c r="A94" s="280" t="s">
        <v>585</v>
      </c>
    </row>
    <row r="95" ht="12.75">
      <c r="A95" s="280" t="s">
        <v>603</v>
      </c>
    </row>
    <row r="96" ht="12.75">
      <c r="A96" s="280" t="s">
        <v>584</v>
      </c>
    </row>
    <row r="97" ht="12.75">
      <c r="A97" s="280" t="s">
        <v>628</v>
      </c>
    </row>
    <row r="98" ht="12.75">
      <c r="A98" s="280" t="s">
        <v>579</v>
      </c>
    </row>
    <row r="99" ht="12.75">
      <c r="A99" s="280" t="s">
        <v>657</v>
      </c>
    </row>
    <row r="100" ht="12.75">
      <c r="A100" s="280" t="s">
        <v>592</v>
      </c>
    </row>
    <row r="101" ht="12.75">
      <c r="A101" s="280" t="s">
        <v>636</v>
      </c>
    </row>
    <row r="102" ht="12.75">
      <c r="A102" s="280" t="s">
        <v>660</v>
      </c>
    </row>
    <row r="103" ht="12.75">
      <c r="A103" s="280" t="s">
        <v>635</v>
      </c>
    </row>
    <row r="104" ht="12.75">
      <c r="A104" s="280" t="s">
        <v>637</v>
      </c>
    </row>
    <row r="105" ht="12.75">
      <c r="A105" s="280" t="s">
        <v>643</v>
      </c>
    </row>
    <row r="106" ht="12.75">
      <c r="A106" s="280" t="s">
        <v>617</v>
      </c>
    </row>
    <row r="107" ht="12.75">
      <c r="A107" s="280" t="s">
        <v>633</v>
      </c>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2012-07-27T16:10:09Z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