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<sst xmlns="http://schemas.openxmlformats.org/spreadsheetml/2006/main" count="2746" uniqueCount="735">
  <si>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</si>
  <si>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</si>
  <si>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</si>
  <si>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</si>
  <si>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</si>
  <si>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</si>
  <si>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</si>
  <si>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</si>
  <si>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</si>
  <si>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</si>
  <si>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</si>
  <si>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</si>
  <si>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</si>
  <si>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</si>
  <si>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</si>
  <si>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</si>
  <si>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</si>
  <si>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</si>
  <si>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</si>
  <si>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</si>
  <si>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</si>
  <si>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</si>
  <si>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</si>
  <si>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</si>
  <si>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</si>
  <si>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</si>
  <si>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</si>
  <si>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</si>
  <si>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</si>
  <si>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</si>
  <si>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</si>
  <si>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</si>
  <si>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</si>
  <si>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</si>
  <si>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</si>
  <si>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</si>
  <si>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</si>
  <si>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</si>
  <si>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</si>
  <si>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</si>
  <si>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</si>
  <si>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</si>
  <si>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</si>
  <si>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</si>
  <si>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</si>
  <si>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</si>
  <si>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</si>
  <si>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</si>
  <si>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</si>
  <si>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</si>
  <si>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</si>
  <si>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</si>
  <si>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</si>
  <si>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</si>
  <si>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</si>
  <si>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</si>
  <si>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</si>
  <si>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</si>
  <si>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</si>
  <si>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</si>
  <si>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</si>
  <si>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</si>
  <si>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</si>
  <si>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</si>
  <si>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</si>
  <si>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</si>
  <si>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</si>
  <si>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</si>
  <si>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</si>
  <si>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</si>
  <si>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</si>
  <si>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</si>
  <si>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</si>
  <si>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</si>
  <si>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</si>
  <si>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</si>
  <si>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</si>
  <si>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</si>
  <si>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</si>
  <si>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</si>
  <si>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</si>
  <si>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</si>
  <si>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</si>
  <si>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</si>
  <si>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</si>
  <si>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</si>
  <si>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</si>
  <si>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</si>
  <si>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</si>
  <si>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</si>
  <si>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</si>
  <si>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</si>
  <si>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</si>
  <si>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</si>
  <si>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</si>
  <si>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</si>
  <si>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</si>
  <si>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</si>
  <si>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</si>
  <si>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</si>
  <si>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</si>
  <si>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</si>
  <si>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</si>
  <si>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</si>
  <si>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</si>
  <si>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</si>
  <si>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</si>
  <si>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</si>
  <si>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</si>
  <si>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</si>
  <si>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</si>
  <si>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</si>
  <si>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</si>
  <si>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</si>
  <si>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</si>
  <si>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</si>
  <si>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</si>
  <si>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</si>
  <si>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</si>
  <si>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</si>
  <si>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</si>
  <si>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</si>
  <si>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</si>
  <si>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</si>
  <si>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</si>
  <si>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</si>
  <si>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</si>
  <si>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</si>
  <si>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</si>
  <si>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</si>
  <si>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</si>
  <si>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</si>
  <si>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</si>
  <si>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</si>
  <si>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</si>
  <si>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</si>
  <si>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</si>
  <si>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</si>
  <si>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</si>
  <si>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</si>
  <si>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</si>
  <si>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</si>
  <si>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</si>
  <si>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</si>
  <si>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</si>
  <si>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</si>
  <si>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</si>
  <si>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</si>
  <si>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</si>
  <si>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</si>
  <si>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</si>
  <si>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</si>
  <si>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</si>
  <si>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</si>
  <si>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</si>
  <si>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</si>
  <si>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</si>
  <si>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</si>
  <si>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</si>
  <si>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</si>
  <si>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</si>
  <si>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</si>
  <si>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</si>
  <si>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</si>
  <si>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</si>
  <si>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</si>
  <si>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</si>
  <si>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</si>
  <si>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</si>
  <si>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</si>
  <si>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</si>
  <si>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</si>
  <si>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</si>
  <si>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</si>
  <si>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</si>
  <si>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</si>
  <si>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</si>
  <si>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</si>
  <si>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</si>
  <si>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</si>
  <si>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</si>
  <si>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</si>
  <si>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</si>
  <si>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</si>
  <si>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</si>
  <si>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</si>
  <si>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</si>
  <si>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</si>
  <si>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</si>
  <si>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</si>
  <si>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</si>
  <si>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</si>
  <si>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</si>
  <si>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</si>
  <si>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</si>
  <si>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</si>
  <si>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</si>
  <si>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</si>
  <si>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</si>
  <si>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</si>
  <si>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</si>
  <si>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</si>
  <si>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</si>
  <si>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</si>
  <si>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</si>
  <si>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</si>
  <si>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</si>
  <si>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</si>
  <si>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</si>
  <si>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</si>
  <si>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</si>
  <si>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</si>
  <si>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</si>
  <si>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</si>
  <si>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</si>
  <si>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</si>
  <si>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</si>
  <si>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</si>
  <si>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</si>
  <si>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</si>
  <si>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</si>
  <si>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</si>
  <si>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</si>
  <si>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</si>
  <si>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</si>
  <si>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</si>
  <si>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</si>
  <si>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</si>
  <si>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</si>
  <si>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</si>
  <si>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</si>
  <si>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</si>
  <si>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</si>
  <si>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</si>
  <si>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</si>
  <si>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</si>
  <si>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</si>
  <si>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</si>
  <si>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</si>
  <si>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</si>
  <si>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</si>
  <si>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</si>
  <si>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</si>
  <si>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</si>
  <si>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</si>
  <si>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</si>
  <si>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</si>
  <si>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</si>
  <si>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</si>
  <si>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</si>
  <si>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</si>
  <si>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</si>
  <si>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</si>
  <si>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</si>
  <si>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</si>
  <si>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</si>
  <si>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</si>
  <si>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</si>
  <si>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</si>
  <si>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</si>
  <si>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</si>
  <si>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</si>
  <si>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</si>
  <si>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</si>
  <si>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</si>
  <si>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</si>
  <si>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</si>
  <si>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</si>
  <si>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</si>
  <si>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</si>
  <si>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</si>
  <si>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</si>
  <si>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</si>
  <si>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</si>
  <si>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</si>
  <si>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</si>
  <si>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</si>
  <si>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</si>
  <si>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</si>
  <si>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</si>
  <si>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</si>
  <si>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</si>
  <si>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D81047</t>
  </si>
  <si>
    <t>E82001</t>
  </si>
  <si>
    <t>E82002</t>
  </si>
  <si>
    <t>E82004</t>
  </si>
  <si>
    <t>E82005</t>
  </si>
  <si>
    <t>E82006</t>
  </si>
  <si>
    <t>E82007</t>
  </si>
  <si>
    <t>E82008</t>
  </si>
  <si>
    <t>E82009</t>
  </si>
  <si>
    <t>E82011</t>
  </si>
  <si>
    <t>E82012</t>
  </si>
  <si>
    <t>E82013</t>
  </si>
  <si>
    <t>E82014</t>
  </si>
  <si>
    <t>E82015</t>
  </si>
  <si>
    <t>E82017</t>
  </si>
  <si>
    <t>E82018</t>
  </si>
  <si>
    <t>E82019</t>
  </si>
  <si>
    <t>E82020</t>
  </si>
  <si>
    <t>E82021</t>
  </si>
  <si>
    <t>E82022</t>
  </si>
  <si>
    <t>E82023</t>
  </si>
  <si>
    <t>E82024</t>
  </si>
  <si>
    <t>E82025</t>
  </si>
  <si>
    <t>E82027</t>
  </si>
  <si>
    <t>E82028</t>
  </si>
  <si>
    <t>E82031</t>
  </si>
  <si>
    <t>E82032</t>
  </si>
  <si>
    <t>E82034</t>
  </si>
  <si>
    <t>E82035</t>
  </si>
  <si>
    <t>E82037</t>
  </si>
  <si>
    <t>E82038</t>
  </si>
  <si>
    <t>E82039</t>
  </si>
  <si>
    <t>E82040</t>
  </si>
  <si>
    <t>E82041</t>
  </si>
  <si>
    <t>E82042</t>
  </si>
  <si>
    <t>E82043</t>
  </si>
  <si>
    <t>E82044</t>
  </si>
  <si>
    <t>E82045</t>
  </si>
  <si>
    <t>E82046</t>
  </si>
  <si>
    <t>E82048</t>
  </si>
  <si>
    <t>E82049</t>
  </si>
  <si>
    <t>E82050</t>
  </si>
  <si>
    <t>E82051</t>
  </si>
  <si>
    <t>E82053</t>
  </si>
  <si>
    <t>E82054</t>
  </si>
  <si>
    <t>E82055</t>
  </si>
  <si>
    <t>E82056</t>
  </si>
  <si>
    <t>E82057</t>
  </si>
  <si>
    <t>E82058</t>
  </si>
  <si>
    <t>E82059</t>
  </si>
  <si>
    <t>E82060</t>
  </si>
  <si>
    <t>E82061</t>
  </si>
  <si>
    <t>E82062</t>
  </si>
  <si>
    <t>E82063</t>
  </si>
  <si>
    <t>E82064</t>
  </si>
  <si>
    <t>E82066</t>
  </si>
  <si>
    <t>E82067</t>
  </si>
  <si>
    <t>E82068</t>
  </si>
  <si>
    <t>E82069</t>
  </si>
  <si>
    <t>E82070</t>
  </si>
  <si>
    <t>E82071</t>
  </si>
  <si>
    <t>E82072</t>
  </si>
  <si>
    <t>E82073</t>
  </si>
  <si>
    <t>E82074</t>
  </si>
  <si>
    <t>E82075</t>
  </si>
  <si>
    <t>E82076</t>
  </si>
  <si>
    <t>E82077</t>
  </si>
  <si>
    <t>E82078</t>
  </si>
  <si>
    <t>E82079</t>
  </si>
  <si>
    <t>E82080</t>
  </si>
  <si>
    <t>E82081</t>
  </si>
  <si>
    <t>E82082</t>
  </si>
  <si>
    <t>E82083</t>
  </si>
  <si>
    <t>E82084</t>
  </si>
  <si>
    <t>E82085</t>
  </si>
  <si>
    <t>E82086</t>
  </si>
  <si>
    <t>E82088</t>
  </si>
  <si>
    <t>E82089</t>
  </si>
  <si>
    <t>E82090</t>
  </si>
  <si>
    <t>E82091</t>
  </si>
  <si>
    <t>E82092</t>
  </si>
  <si>
    <t>E82093</t>
  </si>
  <si>
    <t>E82094</t>
  </si>
  <si>
    <t>E82095</t>
  </si>
  <si>
    <t>E82096</t>
  </si>
  <si>
    <t>E82098</t>
  </si>
  <si>
    <t>E82099</t>
  </si>
  <si>
    <t>E82100</t>
  </si>
  <si>
    <t>E82102</t>
  </si>
  <si>
    <t>E82104</t>
  </si>
  <si>
    <t>E82105</t>
  </si>
  <si>
    <t>E82106</t>
  </si>
  <si>
    <t>E82107</t>
  </si>
  <si>
    <t>E82109</t>
  </si>
  <si>
    <t>E82111</t>
  </si>
  <si>
    <t>E82113</t>
  </si>
  <si>
    <t>E82115</t>
  </si>
  <si>
    <t>E82117</t>
  </si>
  <si>
    <t>E82121</t>
  </si>
  <si>
    <t>E82123</t>
  </si>
  <si>
    <t>E82124</t>
  </si>
  <si>
    <t>E82126</t>
  </si>
  <si>
    <t>E82129</t>
  </si>
  <si>
    <t>E82130</t>
  </si>
  <si>
    <t>E82131</t>
  </si>
  <si>
    <t>E82132</t>
  </si>
  <si>
    <t>E82133</t>
  </si>
  <si>
    <t>E82603</t>
  </si>
  <si>
    <t>E82613</t>
  </si>
  <si>
    <t>E82624</t>
  </si>
  <si>
    <t>E82626</t>
  </si>
  <si>
    <t>E82627</t>
  </si>
  <si>
    <t>E82630</t>
  </si>
  <si>
    <t>E82638</t>
  </si>
  <si>
    <t>E82640</t>
  </si>
  <si>
    <t>E82641</t>
  </si>
  <si>
    <t>E82643</t>
  </si>
  <si>
    <t>E82644</t>
  </si>
  <si>
    <t>E82652</t>
  </si>
  <si>
    <t>E82653</t>
  </si>
  <si>
    <t>E82654</t>
  </si>
  <si>
    <t>E82655</t>
  </si>
  <si>
    <t>E82656</t>
  </si>
  <si>
    <t>E82657</t>
  </si>
  <si>
    <t>E82658</t>
  </si>
  <si>
    <t>E82661</t>
  </si>
  <si>
    <t>E82663</t>
  </si>
  <si>
    <t>5CC</t>
  </si>
  <si>
    <t>Y01165</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</si>
  <si>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</si>
  <si>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</si>
  <si>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</si>
  <si>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</si>
  <si>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</si>
  <si>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</si>
  <si>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</si>
  <si>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</si>
  <si>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</si>
  <si>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</si>
  <si>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</si>
  <si>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</si>
  <si>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</si>
  <si>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</si>
  <si>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</si>
  <si>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</si>
  <si>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</si>
  <si>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</si>
  <si>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</si>
  <si>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</si>
  <si>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</si>
  <si>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</si>
  <si>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</si>
  <si>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</si>
  <si>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</si>
  <si>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</si>
  <si>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</si>
  <si>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</si>
  <si>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</si>
  <si>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</si>
  <si>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</si>
  <si>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</si>
  <si>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</si>
  <si>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</si>
  <si>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</si>
  <si>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</si>
  <si>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</si>
  <si>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</si>
  <si>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</si>
  <si>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</si>
  <si>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</si>
  <si>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</si>
  <si>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</si>
  <si>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</si>
  <si>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</si>
  <si>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</si>
  <si>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</si>
  <si>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</si>
  <si>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</si>
  <si>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</si>
  <si>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</si>
  <si>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</si>
  <si>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</si>
  <si>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</si>
  <si>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</si>
  <si>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</si>
  <si>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</si>
  <si>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</si>
  <si>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</si>
  <si>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</si>
  <si>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</si>
  <si>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</si>
  <si>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</si>
  <si>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</si>
  <si>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</si>
  <si>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</si>
  <si>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</si>
  <si>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</si>
  <si>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</si>
  <si>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</si>
  <si>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</si>
  <si>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</si>
  <si>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</si>
  <si>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</si>
  <si>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</si>
  <si>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</si>
  <si>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</si>
  <si>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</si>
  <si>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</si>
  <si>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</si>
  <si>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</si>
  <si>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</si>
  <si>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</si>
  <si>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</si>
  <si>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</si>
  <si>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</si>
  <si>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</si>
  <si>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</si>
  <si>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</si>
  <si>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</si>
  <si>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</si>
  <si>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</si>
  <si>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</si>
  <si>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</si>
  <si>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</si>
  <si>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</si>
  <si>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</si>
  <si>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</si>
  <si>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</si>
  <si>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</si>
  <si>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</si>
  <si>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</si>
  <si>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</si>
  <si>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</si>
  <si>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</si>
  <si>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</si>
  <si>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</si>
  <si>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</si>
  <si>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</si>
  <si>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</si>
  <si>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</si>
  <si>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</si>
  <si>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</si>
  <si>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</si>
  <si>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</si>
  <si>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</si>
  <si>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</si>
  <si>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</si>
  <si>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</si>
  <si>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</si>
  <si>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</si>
  <si>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</si>
  <si>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</si>
  <si>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</si>
  <si>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</si>
  <si>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</si>
  <si>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</si>
  <si>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</si>
  <si>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</si>
  <si>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</si>
  <si>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</si>
  <si>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</si>
  <si>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</si>
  <si>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</si>
  <si>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</si>
  <si>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</si>
  <si>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</si>
  <si>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</si>
  <si>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</si>
  <si>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</si>
  <si>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</si>
  <si>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</si>
  <si>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</si>
  <si>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</si>
  <si>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</si>
  <si>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</si>
  <si>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</si>
  <si>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</si>
  <si>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</si>
  <si>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</si>
  <si>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</si>
  <si>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</si>
  <si>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</si>
  <si>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</si>
  <si>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</si>
  <si>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</si>
  <si>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</si>
  <si>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</si>
  <si>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</si>
  <si>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</si>
  <si>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</si>
  <si>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</si>
  <si>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</si>
  <si>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</si>
  <si>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</si>
  <si>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</si>
  <si>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</si>
  <si>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</si>
  <si>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</si>
  <si>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</si>
  <si>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</si>
  <si>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</si>
  <si>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</si>
  <si>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</si>
  <si>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</si>
  <si>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</si>
  <si>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</si>
  <si>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</si>
  <si>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</si>
  <si>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</si>
  <si>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</si>
  <si>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</si>
  <si>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</si>
  <si>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</si>
  <si>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(D81047) ASHWELL SURGERY</t>
  </si>
  <si>
    <t>(E82001) ROTHSCHILD HOUSE SURGERY</t>
  </si>
  <si>
    <t>(E82002) WRAFTON HOUSE SURGERY</t>
  </si>
  <si>
    <t>(E82004) HATFIELD ROAD SURGERY</t>
  </si>
  <si>
    <t>(E82006) THE LIMES SURGERY</t>
  </si>
  <si>
    <t>(E82007) HANSCOMBE HOUSE SURGERY</t>
  </si>
  <si>
    <t>(E82008) THE NEVELLS ROAD SURGERY</t>
  </si>
  <si>
    <t>(E82009) LINCOLN HOUSE SURGERY</t>
  </si>
  <si>
    <t>(E82011) BARLEY SURGERY</t>
  </si>
  <si>
    <t>(E82012) FAIRBROOK MEDICAL CENTRE</t>
  </si>
  <si>
    <t>(E82013) COACH HOUSE SURGERY</t>
  </si>
  <si>
    <t>(E82014) LODGE SURGERY</t>
  </si>
  <si>
    <t>(E82015) SUTHERGREY HOUSE MEDICAL CENTRE</t>
  </si>
  <si>
    <t>(E82017) GARSTON MEDICAL CENTRE</t>
  </si>
  <si>
    <t>(E82018) LISTER HOUSE SURGERY</t>
  </si>
  <si>
    <t>(E82019) BRIDGE COTTAGE SURGERY</t>
  </si>
  <si>
    <t>(E82020) CONSULTING ROOMS</t>
  </si>
  <si>
    <t>(E82021) MUCH HADHAM HEALTH CENTRE</t>
  </si>
  <si>
    <t>(E82022) FERNVILLE SURGERY</t>
  </si>
  <si>
    <t>(E82023) BURVILL HOUSE SURGERY</t>
  </si>
  <si>
    <t>(E82024) WALLACE HOUSE</t>
  </si>
  <si>
    <t>(E82025) PARK END SURGERY</t>
  </si>
  <si>
    <t>(E82027) PARKFIELD MEDICAL CENTRE</t>
  </si>
  <si>
    <t>(E82028) MILTON HOUSE SURGERY</t>
  </si>
  <si>
    <t>(E82031) MALTINGS SURGERY</t>
  </si>
  <si>
    <t>(E82032) BENNETTS END SURGERY</t>
  </si>
  <si>
    <t>(E82034) TUDOR SURGERY</t>
  </si>
  <si>
    <t>(E82037) VILLAGE SURGERY</t>
  </si>
  <si>
    <t>(E82039) ST. NICHOLAS HEALTH CENTRE</t>
  </si>
  <si>
    <t>(E82040) PEARTREE LANE SURGERY</t>
  </si>
  <si>
    <t>(E82041) THE GARDEN CITY PRACTICE</t>
  </si>
  <si>
    <t>(E82042) ABBEY ROAD SURGERY</t>
  </si>
  <si>
    <t>(E82043) SCHOPWICK SURGERY</t>
  </si>
  <si>
    <t>(E82044) THE PORTMILL SURGERY</t>
  </si>
  <si>
    <t>(E82045) UPTON ROAD SURGERY</t>
  </si>
  <si>
    <t>(E82046) VINE HOUSE HEALTH CENTRE</t>
  </si>
  <si>
    <t>(E82048) THEOBALD MEDICAL CENTRE</t>
  </si>
  <si>
    <t>(E82049) BALDWINS LANE SURGERY</t>
  </si>
  <si>
    <t>(E82050) GROVE HILL MEDICAL CENTRE</t>
  </si>
  <si>
    <t>(E82051) EVEREST HOUSE SURGERY</t>
  </si>
  <si>
    <t>(E82053) COURTENAY HOUSE SURGERY</t>
  </si>
  <si>
    <t>(E82054) CALLOWLAND SURGERY</t>
  </si>
  <si>
    <t>(E82055) MIDWAY SURGERY</t>
  </si>
  <si>
    <t>(E82056) SHEPHALL WAY SURGERY</t>
  </si>
  <si>
    <t>(E82057) 77 WARE ROAD</t>
  </si>
  <si>
    <t>(E82058) POTTERELLS MEDICAL CENTRE</t>
  </si>
  <si>
    <t>(E82059) GRANGE STREET SURGERY</t>
  </si>
  <si>
    <t>(E82060) PARKBURY HOUSE SURGERY</t>
  </si>
  <si>
    <t>(E82061) AMWELL STREET SURGERY</t>
  </si>
  <si>
    <t>(E82062) HALL GROVE PRACTICE</t>
  </si>
  <si>
    <t>(E82063) THE MAPLES</t>
  </si>
  <si>
    <t>(E82064) CHORLEYWOOD HEALTH CENTRE</t>
  </si>
  <si>
    <t>(E82066) HAVERFIELD SURGERY</t>
  </si>
  <si>
    <t>(E82067) CHURCH STREET PARTNERSHIP</t>
  </si>
  <si>
    <t>(E82068) GADE SURGERY</t>
  </si>
  <si>
    <t>(E82069) THE ELMS SURGERY</t>
  </si>
  <si>
    <t>(E82070) WOODHALL FARM MEDICAL CENTRE</t>
  </si>
  <si>
    <t>(E82071) ELMS MEDICAL PRACTICE</t>
  </si>
  <si>
    <t>(E82072) THE HEALTH CENTRE PRACTICE</t>
  </si>
  <si>
    <t>(E82073) MANOR VIEW PRACTICE</t>
  </si>
  <si>
    <t>(E82074) SOUTH STREET SURGERY</t>
  </si>
  <si>
    <t>(E82075) REGAL CHAMBERS SURGERY</t>
  </si>
  <si>
    <t>(E82076) BOXWELL ROAD SURGERY</t>
  </si>
  <si>
    <t>(E82077) DAVENPORT HOUSE SURGERY</t>
  </si>
  <si>
    <t>(E82078) HIGHVIEW MEDICAL CENTRE</t>
  </si>
  <si>
    <t>(E82079) CROMWELL MEDICAL CENTRE</t>
  </si>
  <si>
    <t>(E82080) ORFORD LODGE</t>
  </si>
  <si>
    <t>(E82081) CUFFLEY AND GOFFS OAK MEDICAL PRACTICE</t>
  </si>
  <si>
    <t>(E82082) BIRCHWOOD SURGERY</t>
  </si>
  <si>
    <t>(E82083) THE COLNE PRACTICE</t>
  </si>
  <si>
    <t>(E82084) HARVEY HOUSE</t>
  </si>
  <si>
    <t>(E82085) THE RED HOUSE</t>
  </si>
  <si>
    <t>(E82086) KING GEORGE SURGERY</t>
  </si>
  <si>
    <t>(E82088) HAILEY VIEW SURGERY</t>
  </si>
  <si>
    <t>(E82089) CHELLS SURGERY</t>
  </si>
  <si>
    <t>(E82090) PARK LANE SURGERY</t>
  </si>
  <si>
    <t>(E82091) PARKWOOD SURGERY</t>
  </si>
  <si>
    <t>(E82092) DOLPHIN HOUSE SURGERY</t>
  </si>
  <si>
    <t>(E82093) BEDWELL MEDICAL CENTRE</t>
  </si>
  <si>
    <t>(E82094) THE MANOR STREET SURGERY</t>
  </si>
  <si>
    <t>(E82096) SHEEPCOT MEDICAL CENTRE</t>
  </si>
  <si>
    <t>(E82098) ANNANDALE HOUSE</t>
  </si>
  <si>
    <t>(E82099) ASTONIA HOUSE SURGERY</t>
  </si>
  <si>
    <t>(E82100) CENTRAL SURGERY</t>
  </si>
  <si>
    <t>(E82102) CHURCH STREET SURGERY</t>
  </si>
  <si>
    <t>(E82104) THE SOLLERSHOTT SURGERY</t>
  </si>
  <si>
    <t>(E82105) ABBOTSWOOD MEDICAL CENTRE</t>
  </si>
  <si>
    <t>(E82106) NEW ROAD SURGERY</t>
  </si>
  <si>
    <t>(E82107) LATTIMORE SURGERY</t>
  </si>
  <si>
    <t>(E82109) CASTLEGATE SURGERY</t>
  </si>
  <si>
    <t>(E82111) THE SYMONDS GREEN HEALTH CENTRE</t>
  </si>
  <si>
    <t>(E82113) COLNEY MEDICAL CENTRE</t>
  </si>
  <si>
    <t>(E82115) STOCKWELL LODGE MEDICAL CENTRE</t>
  </si>
  <si>
    <t>(E82117) THE GROVE MEDICAL CENTRE</t>
  </si>
  <si>
    <t>(E82121) WATTON PLACE CLINIC</t>
  </si>
  <si>
    <t>(E82123) WARDEN LODGE MEDICAL PRACTICE</t>
  </si>
  <si>
    <t>(E82124) ATTENBOROUGH SURGERY</t>
  </si>
  <si>
    <t>(E82126) ORCHARD SURGERY</t>
  </si>
  <si>
    <t>(E82129) KINGS LANGLEY SURGERY</t>
  </si>
  <si>
    <t>(E82130) THE MEDICAL CENTRE BUNTINGFORD</t>
  </si>
  <si>
    <t>(E82131) THE NEW SURGERY</t>
  </si>
  <si>
    <t>(E82132) ROYSIA SURGERY</t>
  </si>
  <si>
    <t>(E82133) HIGH STREET SURGERY</t>
  </si>
  <si>
    <t>(E82603) CASSIO SURGERY - E82603</t>
  </si>
  <si>
    <t>(E82613) CASSIO SURGERY - E82613</t>
  </si>
  <si>
    <t>(E82624) CANTERBURY WAY SURGERY</t>
  </si>
  <si>
    <t>(E82626) WHITWELL SURGERY</t>
  </si>
  <si>
    <t>(E82627) THE MALTINGS SURGERY</t>
  </si>
  <si>
    <t>(E82630) CASSIO SURGERY - E82630</t>
  </si>
  <si>
    <t>(E82638) STANHOPE SURGERY</t>
  </si>
  <si>
    <t>(E82640) HIGHFIELD SURGERY</t>
  </si>
  <si>
    <t>(E82641) MANOR HOUSE SURGERY</t>
  </si>
  <si>
    <t>(E82643) ARCHWAY SURGERY</t>
  </si>
  <si>
    <t>(E82644) COLERIDGE HOUSE MEDICAL CENTRE</t>
  </si>
  <si>
    <t>(E82652) GOSSOMS END SURGERY</t>
  </si>
  <si>
    <t>(E82653) 305 PRESTWICK ROAD SURGERY</t>
  </si>
  <si>
    <t>(E82654) PARSONAGE SURGERY</t>
  </si>
  <si>
    <t>(E82655) SOUTH WEST HERTS HEALTH CENTRE</t>
  </si>
  <si>
    <t>(E82656) CASSIO SURGERY - E82656</t>
  </si>
  <si>
    <t>(E82657) LITTLE BUSHEY SURGERY</t>
  </si>
  <si>
    <t>(E82658) HOLYWELL SURGERY</t>
  </si>
  <si>
    <t>(E82661) THE GARDEN CITY SURGERY</t>
  </si>
  <si>
    <t>(E82663) THE SURGERY - DR SEPAI</t>
  </si>
  <si>
    <t>(Y01165) PATHFINDER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</si>
  <si>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</si>
  <si>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</si>
  <si>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</si>
  <si>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</si>
  <si>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</si>
  <si>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</si>
  <si>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</si>
  <si>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</si>
  <si>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</si>
  <si>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</si>
  <si>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(E82095) HEALTH CENTRE, REDBOURN</t>
  </si>
  <si>
    <t>(E82005) DR WALLIS + PARTNERS</t>
  </si>
  <si>
    <t>(E82035) KNEBWORTH + MARYMEAD MEDICAL PRACTICE</t>
  </si>
  <si>
    <t>(E82038) PUCKERIDGE + STANDON SURGERY</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</si>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</sst>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0.8124141543932624</c:v>
                </c:pt>
                <c:pt idx="3">
                  <c:v>1</c:v>
                </c:pt>
                <c:pt idx="4">
                  <c:v>0.9337640137688412</c:v>
                </c:pt>
                <c:pt idx="5">
                  <c:v>1</c:v>
                </c:pt>
                <c:pt idx="6">
                  <c:v>1</c:v>
                </c:pt>
                <c:pt idx="7">
                  <c:v>0.765664584594321</c:v>
                </c:pt>
                <c:pt idx="8">
                  <c:v>0.7532899944602895</c:v>
                </c:pt>
                <c:pt idx="9">
                  <c:v>1</c:v>
                </c:pt>
                <c:pt idx="10">
                  <c:v>0.7415225036059842</c:v>
                </c:pt>
                <c:pt idx="11">
                  <c:v>0.6954458829807768</c:v>
                </c:pt>
                <c:pt idx="12">
                  <c:v>1</c:v>
                </c:pt>
                <c:pt idx="13">
                  <c:v>0</c:v>
                </c:pt>
                <c:pt idx="14">
                  <c:v>1</c:v>
                </c:pt>
                <c:pt idx="15">
                  <c:v>0.99581922966581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0.5798224308419802</c:v>
                </c:pt>
                <c:pt idx="3">
                  <c:v>0.6363636086548654</c:v>
                </c:pt>
                <c:pt idx="4">
                  <c:v>0.5908286969499115</c:v>
                </c:pt>
                <c:pt idx="5">
                  <c:v>0.5256324698488628</c:v>
                </c:pt>
                <c:pt idx="6">
                  <c:v>0.6363635747885897</c:v>
                </c:pt>
                <c:pt idx="7">
                  <c:v>0.5809966825350538</c:v>
                </c:pt>
                <c:pt idx="8">
                  <c:v>0.5804762157482413</c:v>
                </c:pt>
                <c:pt idx="9">
                  <c:v>0.558431565630361</c:v>
                </c:pt>
                <c:pt idx="10">
                  <c:v>0.5724272694808684</c:v>
                </c:pt>
                <c:pt idx="11">
                  <c:v>0.5513556245824363</c:v>
                </c:pt>
                <c:pt idx="12">
                  <c:v>0.5775745359198736</c:v>
                </c:pt>
                <c:pt idx="13">
                  <c:v>0</c:v>
                </c:pt>
                <c:pt idx="14">
                  <c:v>0.5743761140728755</c:v>
                </c:pt>
                <c:pt idx="15">
                  <c:v>0.6086683876889039</c:v>
                </c:pt>
                <c:pt idx="16">
                  <c:v>0.6028618826706347</c:v>
                </c:pt>
                <c:pt idx="17">
                  <c:v>0.6045483632847206</c:v>
                </c:pt>
                <c:pt idx="18">
                  <c:v>0.6262565310200499</c:v>
                </c:pt>
                <c:pt idx="19">
                  <c:v>0.610378074525679</c:v>
                </c:pt>
                <c:pt idx="20">
                  <c:v>0.6622750593453859</c:v>
                </c:pt>
                <c:pt idx="21">
                  <c:v>0.6000236256402548</c:v>
                </c:pt>
                <c:pt idx="22">
                  <c:v>0.5954008035275691</c:v>
                </c:pt>
                <c:pt idx="23">
                  <c:v>0.575346879426416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0.3853687965115317</c:v>
                </c:pt>
                <c:pt idx="3">
                  <c:v>0.40909089369714746</c:v>
                </c:pt>
                <c:pt idx="4">
                  <c:v>0.37668925180486323</c:v>
                </c:pt>
                <c:pt idx="5">
                  <c:v>0.4824572881674773</c:v>
                </c:pt>
                <c:pt idx="6">
                  <c:v>0.35227268109144233</c:v>
                </c:pt>
                <c:pt idx="7">
                  <c:v>0.42076003042208626</c:v>
                </c:pt>
                <c:pt idx="8">
                  <c:v>0.3766449972301448</c:v>
                </c:pt>
                <c:pt idx="9">
                  <c:v>0.4207577778121226</c:v>
                </c:pt>
                <c:pt idx="10">
                  <c:v>0.39435171320992585</c:v>
                </c:pt>
                <c:pt idx="11">
                  <c:v>0.4251912498738258</c:v>
                </c:pt>
                <c:pt idx="12">
                  <c:v>0.43571736077400447</c:v>
                </c:pt>
                <c:pt idx="13">
                  <c:v>0</c:v>
                </c:pt>
                <c:pt idx="14">
                  <c:v>0.450919787469332</c:v>
                </c:pt>
                <c:pt idx="15">
                  <c:v>0.3686475361992006</c:v>
                </c:pt>
                <c:pt idx="16">
                  <c:v>0.41081078921989655</c:v>
                </c:pt>
                <c:pt idx="17">
                  <c:v>0.4261535696105101</c:v>
                </c:pt>
                <c:pt idx="18">
                  <c:v>0.3617139153499114</c:v>
                </c:pt>
                <c:pt idx="19">
                  <c:v>0.4086347452085132</c:v>
                </c:pt>
                <c:pt idx="20">
                  <c:v>0.3825270283317531</c:v>
                </c:pt>
                <c:pt idx="21">
                  <c:v>0.36505628302527</c:v>
                </c:pt>
                <c:pt idx="22">
                  <c:v>0.4051066104544213</c:v>
                </c:pt>
                <c:pt idx="23">
                  <c:v>0.452531432522899</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0.22727270649114906</c:v>
                </c:pt>
                <c:pt idx="4">
                  <c:v>0</c:v>
                </c:pt>
                <c:pt idx="5">
                  <c:v>0.4274378952279285</c:v>
                </c:pt>
                <c:pt idx="6">
                  <c:v>0.04545451081858175</c:v>
                </c:pt>
                <c:pt idx="7">
                  <c:v>0</c:v>
                </c:pt>
                <c:pt idx="8">
                  <c:v>0</c:v>
                </c:pt>
                <c:pt idx="9">
                  <c:v>0.03055472453375077</c:v>
                </c:pt>
                <c:pt idx="10">
                  <c:v>0</c:v>
                </c:pt>
                <c:pt idx="11">
                  <c:v>0</c:v>
                </c:pt>
                <c:pt idx="12">
                  <c:v>0.255680254946861</c:v>
                </c:pt>
                <c:pt idx="13">
                  <c:v>0</c:v>
                </c:pt>
                <c:pt idx="14">
                  <c:v>0.3610360258598969</c:v>
                </c:pt>
                <c:pt idx="15">
                  <c:v>0</c:v>
                </c:pt>
                <c:pt idx="16">
                  <c:v>0.25926063434604596</c:v>
                </c:pt>
                <c:pt idx="17">
                  <c:v>0.2915973942313468</c:v>
                </c:pt>
                <c:pt idx="18">
                  <c:v>0.17137033082742126</c:v>
                </c:pt>
                <c:pt idx="19">
                  <c:v>0.2962379045151517</c:v>
                </c:pt>
                <c:pt idx="20">
                  <c:v>0.01804077358881207</c:v>
                </c:pt>
                <c:pt idx="21">
                  <c:v>0.1045608398487599</c:v>
                </c:pt>
                <c:pt idx="22">
                  <c:v>0.17416746951282905</c:v>
                </c:pt>
                <c:pt idx="23">
                  <c:v>0.2640991899620025</c:v>
                </c:pt>
                <c:pt idx="24">
                  <c:v>0</c:v>
                </c:pt>
                <c:pt idx="25">
                  <c:v>0</c:v>
                </c:pt>
                <c:pt idx="26">
                  <c:v>0</c:v>
                </c:pt>
              </c:numCache>
            </c:numRef>
          </c:val>
        </c:ser>
        <c:overlap val="100"/>
        <c:gapWidth val="100"/>
        <c:axId val="21816648"/>
        <c:axId val="62132105"/>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0.5129508517669888</c:v>
                </c:pt>
                <c:pt idx="3">
                  <c:v>0.773224089431697</c:v>
                </c:pt>
                <c:pt idx="4">
                  <c:v>0.5849820147789995</c:v>
                </c:pt>
                <c:pt idx="5">
                  <c:v>0.5147129137177054</c:v>
                </c:pt>
                <c:pt idx="6">
                  <c:v>0.49730570828395576</c:v>
                </c:pt>
                <c:pt idx="7">
                  <c:v>0.5248184518381298</c:v>
                </c:pt>
                <c:pt idx="8">
                  <c:v>0.5625126869587519</c:v>
                </c:pt>
                <c:pt idx="9">
                  <c:v>0.43503438131860056</c:v>
                </c:pt>
                <c:pt idx="10">
                  <c:v>0.4372991269922991</c:v>
                </c:pt>
                <c:pt idx="11">
                  <c:v>0.48164476224963704</c:v>
                </c:pt>
                <c:pt idx="12">
                  <c:v>0.5995100287834702</c:v>
                </c:pt>
                <c:pt idx="13">
                  <c:v>0.5</c:v>
                </c:pt>
                <c:pt idx="14">
                  <c:v>0.5129663328165296</c:v>
                </c:pt>
                <c:pt idx="15">
                  <c:v>0.570877008498576</c:v>
                </c:pt>
                <c:pt idx="16">
                  <c:v>0.5636335029358719</c:v>
                </c:pt>
                <c:pt idx="17">
                  <c:v>0.5859183075202661</c:v>
                </c:pt>
                <c:pt idx="18">
                  <c:v>0.5178094828102254</c:v>
                </c:pt>
                <c:pt idx="19">
                  <c:v>0.5634410736307469</c:v>
                </c:pt>
                <c:pt idx="20">
                  <c:v>0.5497004464980558</c:v>
                </c:pt>
                <c:pt idx="21">
                  <c:v>0.5371918183532041</c:v>
                </c:pt>
                <c:pt idx="22">
                  <c:v>0.6230600877469376</c:v>
                </c:pt>
                <c:pt idx="23">
                  <c:v>0.614259257568736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0.5062355893177888</c:v>
                </c:pt>
                <c:pt idx="6">
                  <c:v>-999</c:v>
                </c:pt>
                <c:pt idx="7">
                  <c:v>-999</c:v>
                </c:pt>
                <c:pt idx="8">
                  <c:v>0.5136066774429257</c:v>
                </c:pt>
                <c:pt idx="9">
                  <c:v>-999</c:v>
                </c:pt>
                <c:pt idx="10">
                  <c:v>-999</c:v>
                </c:pt>
                <c:pt idx="11">
                  <c:v>0.5741592590718894</c:v>
                </c:pt>
                <c:pt idx="12">
                  <c:v>-999</c:v>
                </c:pt>
                <c:pt idx="13">
                  <c:v>-999</c:v>
                </c:pt>
                <c:pt idx="14">
                  <c:v>0.55441312890644</c:v>
                </c:pt>
                <c:pt idx="15">
                  <c:v>0.6860753433429493</c:v>
                </c:pt>
                <c:pt idx="16">
                  <c:v>0.5045326527949984</c:v>
                </c:pt>
                <c:pt idx="17">
                  <c:v>-999</c:v>
                </c:pt>
                <c:pt idx="18">
                  <c:v>-999</c:v>
                </c:pt>
                <c:pt idx="19">
                  <c:v>0.5701832813649161</c:v>
                </c:pt>
                <c:pt idx="20">
                  <c:v>0.4659848575716163</c:v>
                </c:pt>
                <c:pt idx="21">
                  <c:v>0.6600051718339022</c:v>
                </c:pt>
                <c:pt idx="22">
                  <c:v>0.41971004753000574</c:v>
                </c:pt>
                <c:pt idx="23">
                  <c:v>0.5028890813348871</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0.5347837748721747</c:v>
                </c:pt>
                <c:pt idx="3">
                  <c:v>0.4545454380433421</c:v>
                </c:pt>
                <c:pt idx="4">
                  <c:v>0.2515861725199298</c:v>
                </c:pt>
                <c:pt idx="5">
                  <c:v>-999</c:v>
                </c:pt>
                <c:pt idx="6">
                  <c:v>0.7272726939606271</c:v>
                </c:pt>
                <c:pt idx="7">
                  <c:v>0.5841214927923528</c:v>
                </c:pt>
                <c:pt idx="8">
                  <c:v>-999</c:v>
                </c:pt>
                <c:pt idx="9">
                  <c:v>0.6060665988346806</c:v>
                </c:pt>
                <c:pt idx="10">
                  <c:v>0.5999041643856478</c:v>
                </c:pt>
                <c:pt idx="11">
                  <c:v>-999</c:v>
                </c:pt>
                <c:pt idx="12">
                  <c:v>0.4313970195620792</c:v>
                </c:pt>
                <c:pt idx="13">
                  <c:v>0.23773450574677502</c:v>
                </c:pt>
                <c:pt idx="14">
                  <c:v>-999</c:v>
                </c:pt>
                <c:pt idx="15">
                  <c:v>-999</c:v>
                </c:pt>
                <c:pt idx="16">
                  <c:v>-999</c:v>
                </c:pt>
                <c:pt idx="17">
                  <c:v>0.36751842836106113</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2318034"/>
        <c:axId val="66644579"/>
      </c:scatterChart>
      <c:catAx>
        <c:axId val="21816648"/>
        <c:scaling>
          <c:orientation val="maxMin"/>
        </c:scaling>
        <c:axPos val="l"/>
        <c:delete val="0"/>
        <c:numFmt formatCode="General" sourceLinked="1"/>
        <c:majorTickMark val="out"/>
        <c:minorTickMark val="none"/>
        <c:tickLblPos val="none"/>
        <c:spPr>
          <a:ln w="3175">
            <a:noFill/>
          </a:ln>
        </c:spPr>
        <c:crossAx val="62132105"/>
        <c:crosses val="autoZero"/>
        <c:auto val="1"/>
        <c:lblOffset val="100"/>
        <c:tickLblSkip val="1"/>
        <c:noMultiLvlLbl val="0"/>
      </c:catAx>
      <c:valAx>
        <c:axId val="62132105"/>
        <c:scaling>
          <c:orientation val="minMax"/>
          <c:max val="1"/>
          <c:min val="0"/>
        </c:scaling>
        <c:axPos val="t"/>
        <c:delete val="0"/>
        <c:numFmt formatCode="General" sourceLinked="1"/>
        <c:majorTickMark val="none"/>
        <c:minorTickMark val="none"/>
        <c:tickLblPos val="none"/>
        <c:spPr>
          <a:ln w="3175">
            <a:noFill/>
          </a:ln>
        </c:spPr>
        <c:crossAx val="21816648"/>
        <c:crossesAt val="1"/>
        <c:crossBetween val="between"/>
        <c:dispUnits/>
        <c:majorUnit val="1"/>
      </c:valAx>
      <c:valAx>
        <c:axId val="22318034"/>
        <c:scaling>
          <c:orientation val="minMax"/>
          <c:max val="1"/>
          <c:min val="0"/>
        </c:scaling>
        <c:axPos val="t"/>
        <c:delete val="0"/>
        <c:numFmt formatCode="General" sourceLinked="1"/>
        <c:majorTickMark val="none"/>
        <c:minorTickMark val="none"/>
        <c:tickLblPos val="none"/>
        <c:spPr>
          <a:ln w="3175">
            <a:noFill/>
          </a:ln>
        </c:spPr>
        <c:crossAx val="66644579"/>
        <c:crosses val="max"/>
        <c:crossBetween val="midCat"/>
        <c:dispUnits/>
        <c:majorUnit val="0.1"/>
        <c:minorUnit val="0.020000000000000004"/>
      </c:valAx>
      <c:valAx>
        <c:axId val="66644579"/>
        <c:scaling>
          <c:orientation val="maxMin"/>
          <c:max val="29"/>
          <c:min val="0"/>
        </c:scaling>
        <c:axPos val="l"/>
        <c:delete val="0"/>
        <c:numFmt formatCode="General" sourceLinked="1"/>
        <c:majorTickMark val="none"/>
        <c:minorTickMark val="none"/>
        <c:tickLblPos val="none"/>
        <c:spPr>
          <a:ln w="3175">
            <a:noFill/>
          </a:ln>
        </c:spPr>
        <c:crossAx val="22318034"/>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(E82095) HEALTH CENTRE, REDBOURN, HERTFORDSHIRE PCT (5QV)</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564</v>
      </c>
      <c r="Q3" s="65"/>
      <c r="R3" s="66"/>
      <c r="S3" s="66"/>
      <c r="T3" s="66"/>
      <c r="U3" s="66"/>
      <c r="V3" s="66"/>
      <c r="W3" s="66"/>
      <c r="X3" s="66"/>
      <c r="Y3" s="66"/>
      <c r="Z3" s="66"/>
      <c r="AA3" s="66"/>
      <c r="AB3" s="66"/>
      <c r="AC3" s="66"/>
    </row>
    <row r="4" spans="2:29" ht="18" customHeight="1">
      <c r="B4" s="319" t="s">
        <v>722</v>
      </c>
      <c r="C4" s="320"/>
      <c r="D4" s="320"/>
      <c r="E4" s="320"/>
      <c r="F4" s="320"/>
      <c r="G4" s="321"/>
      <c r="H4" s="112"/>
      <c r="I4" s="112"/>
      <c r="J4" s="112"/>
      <c r="K4" s="112"/>
      <c r="L4" s="113"/>
      <c r="M4" s="65"/>
      <c r="N4" s="65"/>
      <c r="O4" s="65"/>
      <c r="P4" s="134" t="s">
        <v>565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566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461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721</v>
      </c>
      <c r="C8" s="115"/>
      <c r="D8" s="115"/>
      <c r="E8" s="128">
        <f>VLOOKUP('Hide - Control'!A$3,'All practice data'!A:CA,4,FALSE)</f>
        <v>6955</v>
      </c>
      <c r="F8" s="310" t="str">
        <f>VLOOKUP('Hide - Control'!B4,'Hide - Calculation'!AY:BA,3,FALSE)</f>
        <v> </v>
      </c>
      <c r="G8" s="310"/>
      <c r="H8" s="310"/>
      <c r="I8" s="115"/>
      <c r="J8" s="115"/>
      <c r="K8" s="115"/>
      <c r="L8" s="115"/>
      <c r="M8" s="109"/>
      <c r="N8" s="314" t="s">
        <v>574</v>
      </c>
      <c r="O8" s="314"/>
      <c r="P8" s="314"/>
      <c r="Q8" s="314" t="s">
        <v>32</v>
      </c>
      <c r="R8" s="314"/>
      <c r="S8" s="314"/>
      <c r="T8" s="314" t="s">
        <v>725</v>
      </c>
      <c r="U8" s="314"/>
      <c r="V8" s="314" t="s">
        <v>33</v>
      </c>
      <c r="W8" s="314"/>
      <c r="X8" s="314"/>
      <c r="Y8" s="135"/>
      <c r="Z8" s="314" t="s">
        <v>567</v>
      </c>
      <c r="AA8" s="314"/>
      <c r="AB8" s="161"/>
      <c r="AC8" s="109"/>
    </row>
    <row r="9" spans="2:29" s="61" customFormat="1" ht="19.5" customHeight="1" thickBot="1">
      <c r="B9" s="114" t="s">
        <v>559</v>
      </c>
      <c r="C9" s="114"/>
      <c r="D9" s="114"/>
      <c r="E9" s="129">
        <f>VLOOKUP('Hide - Control'!B4,'Hide - Calculation'!AY:BB,4,FALSE)</f>
        <v>1169302</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556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537</v>
      </c>
      <c r="E11" s="317"/>
      <c r="F11" s="318"/>
      <c r="G11" s="263" t="s">
        <v>535</v>
      </c>
      <c r="H11" s="255" t="s">
        <v>536</v>
      </c>
      <c r="I11" s="255" t="s">
        <v>547</v>
      </c>
      <c r="J11" s="255" t="s">
        <v>548</v>
      </c>
      <c r="K11" s="255" t="s">
        <v>420</v>
      </c>
      <c r="L11" s="256" t="s">
        <v>461</v>
      </c>
      <c r="M11" s="257" t="s">
        <v>557</v>
      </c>
      <c r="N11" s="334" t="s">
        <v>555</v>
      </c>
      <c r="O11" s="334"/>
      <c r="P11" s="334"/>
      <c r="Q11" s="334"/>
      <c r="R11" s="334"/>
      <c r="S11" s="334"/>
      <c r="T11" s="334"/>
      <c r="U11" s="334"/>
      <c r="V11" s="334"/>
      <c r="W11" s="334"/>
      <c r="X11" s="334"/>
      <c r="Y11" s="334"/>
      <c r="Z11" s="334"/>
      <c r="AA11" s="258" t="s">
        <v>558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418</v>
      </c>
      <c r="C13" s="163">
        <v>1</v>
      </c>
      <c r="D13" s="312" t="s">
        <v>414</v>
      </c>
      <c r="E13" s="313"/>
      <c r="F13" s="313"/>
      <c r="G13" s="166">
        <f>IF(VLOOKUP('Hide - Control'!A$3,'All practice data'!A:CA,C13+4,FALSE)=" "," ",VLOOKUP('Hide - Control'!A$3,'All practice data'!A:CA,C13+4,FALSE))</f>
        <v>1145</v>
      </c>
      <c r="H13" s="190">
        <f>IF(VLOOKUP('Hide - Control'!A$3,'All practice data'!A:CA,C13+30,FALSE)=" "," ",VLOOKUP('Hide - Control'!A$3,'All practice data'!A:CA,C13+30,FALSE))</f>
        <v>0.16462976276060387</v>
      </c>
      <c r="I13" s="191">
        <f>IF(LEFT(G13,1)=" "," n/a",+((2*G13+1.96^2-1.96*SQRT(1.96^2+4*G13*(1-G13/E$8)))/(2*(E$8+1.96^2))))</f>
        <v>0.15609966383077672</v>
      </c>
      <c r="J13" s="191">
        <f>IF(LEFT(G13,1)=" "," n/a",+((2*G13+1.96^2+1.96*SQRT(1.96^2+4*G13*(1-G13/E$8)))/(2*(E$8+1.96^2))))</f>
        <v>0.17353014122183436</v>
      </c>
      <c r="K13" s="190">
        <f>IF('Hide - Calculation'!N7="","",'Hide - Calculation'!N7)</f>
        <v>0.15508226275162448</v>
      </c>
      <c r="L13" s="192">
        <f>'Hide - Calculation'!O7</f>
        <v>0.1599882305185145</v>
      </c>
      <c r="M13" s="208">
        <f>IF(ISBLANK('Hide - Calculation'!K7),"",'Hide - Calculation'!U7)</f>
        <v>0.05093833804130554</v>
      </c>
      <c r="N13" s="173"/>
      <c r="O13" s="173"/>
      <c r="P13" s="173"/>
      <c r="Q13" s="173"/>
      <c r="R13" s="173"/>
      <c r="S13" s="173"/>
      <c r="T13" s="173"/>
      <c r="U13" s="173"/>
      <c r="V13" s="173"/>
      <c r="W13" s="173"/>
      <c r="X13" s="173"/>
      <c r="Y13" s="173"/>
      <c r="Z13" s="173"/>
      <c r="AA13" s="226">
        <f>IF(ISBLANK('Hide - Calculation'!K7),"",'Hide - Calculation'!T7)</f>
        <v>0.22365210950374603</v>
      </c>
      <c r="AB13" s="233" t="s">
        <v>719</v>
      </c>
      <c r="AC13" s="209" t="s">
        <v>720</v>
      </c>
    </row>
    <row r="14" spans="2:29" ht="33.75" customHeight="1">
      <c r="B14" s="306"/>
      <c r="C14" s="137">
        <v>2</v>
      </c>
      <c r="D14" s="132" t="s">
        <v>568</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0.08</v>
      </c>
      <c r="I14" s="120">
        <f>IF(LEFT(G14,1)=" "," n/a",+((2*H14*E8+1.96^2-1.96*SQRT(1.96^2+4*H14*E8*(1-H14*E8/E$8)))/(2*(E$8+1.96^2))))</f>
        <v>0.07385343178995855</v>
      </c>
      <c r="J14" s="120">
        <f>IF(LEFT(G14,1)=" "," n/a",+((2*H14*E8+1.96^2+1.96*SQRT(1.96^2+4*H14*E8*(1-H14*E8/E$8)))/(2*(E$8+1.96^2))))</f>
        <v>0.08661028676917634</v>
      </c>
      <c r="K14" s="119">
        <f>IF('Hide - Calculation'!N8="","",'Hide - Calculation'!N8)</f>
        <v>0.09450614982271477</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0.20000000298023224</v>
      </c>
      <c r="AB14" s="234" t="s">
        <v>39</v>
      </c>
      <c r="AC14" s="130" t="s">
        <v>720</v>
      </c>
    </row>
    <row r="15" spans="2:39" s="63" customFormat="1" ht="33.75" customHeight="1">
      <c r="B15" s="306"/>
      <c r="C15" s="137">
        <v>3</v>
      </c>
      <c r="D15" s="132" t="s">
        <v>423</v>
      </c>
      <c r="E15" s="85"/>
      <c r="F15" s="85"/>
      <c r="G15" s="121">
        <f>IF(VLOOKUP('Hide - Control'!A$3,'All practice data'!A:CA,C15+4,FALSE)=" "," ",VLOOKUP('Hide - Control'!A$3,'All practice data'!A:CA,C15+4,FALSE))</f>
        <v>17</v>
      </c>
      <c r="H15" s="122">
        <f>IF(VLOOKUP('Hide - Control'!A$3,'All practice data'!A:CA,C15+30,FALSE)=" "," ",VLOOKUP('Hide - Control'!A$3,'All practice data'!A:CA,C15+30,FALSE))</f>
        <v>244.42846872753415</v>
      </c>
      <c r="I15" s="123">
        <f>IF(LEFT(G15,1)=" "," n/a",IF(G15&lt;5,100000*VLOOKUP(G15,'Hide - Calculation'!AQ:AR,2,FALSE)/$E$8,100000*(G15*(1-1/(9*G15)-1.96/(3*SQRT(G15)))^3)/$E$8))</f>
        <v>142.3058745100892</v>
      </c>
      <c r="J15" s="123">
        <f>IF(LEFT(G15,1)=" "," n/a",IF(G15&lt;5,100000*VLOOKUP(G15,'Hide - Calculation'!AQ:AS,3,FALSE)/$E$8,100000*((G15+1)*(1-1/(9*(G15+1))+1.96/(3*SQRT(G15+1)))^3)/$E$8))</f>
        <v>391.3775804114292</v>
      </c>
      <c r="K15" s="122">
        <f>IF('Hide - Calculation'!N9="","",'Hide - Calculation'!N9)</f>
        <v>404.0872246861803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656.0962524414062</v>
      </c>
      <c r="AB15" s="234" t="s">
        <v>538</v>
      </c>
      <c r="AC15" s="131">
        <v>2009</v>
      </c>
      <c r="AD15" s="64"/>
      <c r="AE15" s="64"/>
      <c r="AF15" s="64"/>
      <c r="AG15" s="64"/>
      <c r="AH15" s="64"/>
      <c r="AI15" s="64"/>
      <c r="AJ15" s="64"/>
      <c r="AK15" s="64"/>
      <c r="AL15" s="64"/>
      <c r="AM15" s="64"/>
    </row>
    <row r="16" spans="2:29" s="63" customFormat="1" ht="33.75" customHeight="1">
      <c r="B16" s="306"/>
      <c r="C16" s="137">
        <v>4</v>
      </c>
      <c r="D16" s="132" t="s">
        <v>560</v>
      </c>
      <c r="E16" s="85"/>
      <c r="F16" s="85"/>
      <c r="G16" s="121">
        <f>IF(VLOOKUP('Hide - Control'!A$3,'All practice data'!A:CA,C16+4,FALSE)=" "," ",VLOOKUP('Hide - Control'!A$3,'All practice data'!A:CA,C16+4,FALSE))</f>
        <v>15</v>
      </c>
      <c r="H16" s="122">
        <f>IF(VLOOKUP('Hide - Control'!A$3,'All practice data'!A:CA,C16+30,FALSE)=" "," ",VLOOKUP('Hide - Control'!A$3,'All practice data'!A:CA,C16+30,FALSE))</f>
        <v>215.67217828900073</v>
      </c>
      <c r="I16" s="123">
        <f>IF(LEFT(G16,1)=" "," n/a",IF(G16&lt;5,100000*VLOOKUP(G16,'Hide - Calculation'!AQ:AR,2,FALSE)/$E$8,100000*(G16*(1-1/(9*G16)-1.96/(3*SQRT(G16)))^3)/$E$8))</f>
        <v>120.62069484861871</v>
      </c>
      <c r="J16" s="123">
        <f>IF(LEFT(G16,1)=" "," n/a",IF(G16&lt;5,100000*VLOOKUP(G16,'Hide - Calculation'!AQ:AS,3,FALSE)/$E$8,100000*((G16+1)*(1-1/(9*(G16+1))+1.96/(3*SQRT(G16+1)))^3)/$E$8))</f>
        <v>355.7415382790998</v>
      </c>
      <c r="K16" s="122">
        <f>IF('Hide - Calculation'!N10="","",'Hide - Calculation'!N10)</f>
        <v>218.59194630642895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1290.3226318359375</v>
      </c>
      <c r="AB16" s="234" t="s">
        <v>417</v>
      </c>
      <c r="AC16" s="131" t="s">
        <v>592</v>
      </c>
    </row>
    <row r="17" spans="2:29" s="63" customFormat="1" ht="33.75" customHeight="1" thickBot="1">
      <c r="B17" s="309"/>
      <c r="C17" s="180">
        <v>5</v>
      </c>
      <c r="D17" s="195" t="s">
        <v>422</v>
      </c>
      <c r="E17" s="182"/>
      <c r="F17" s="182"/>
      <c r="G17" s="140">
        <f>IF(VLOOKUP('Hide - Control'!A$3,'All practice data'!A:CA,C17+4,FALSE)=" "," ",VLOOKUP('Hide - Control'!A$3,'All practice data'!A:CA,C17+4,FALSE))</f>
        <v>143</v>
      </c>
      <c r="H17" s="141">
        <f>IF(VLOOKUP('Hide - Control'!A$3,'All practice data'!A:CA,C17+30,FALSE)=" "," ",VLOOKUP('Hide - Control'!A$3,'All practice data'!A:CA,C17+30,FALSE))</f>
        <v>0.021</v>
      </c>
      <c r="I17" s="142">
        <f>IF(LEFT(G17,1)=" "," n/a",+((2*G17+1.96^2-1.96*SQRT(1.96^2+4*G17*(1-G17/E$8)))/(2*(E$8+1.96^2))))</f>
        <v>0.017480699857487986</v>
      </c>
      <c r="J17" s="142">
        <f>IF(LEFT(G17,1)=" "," n/a",+((2*G17+1.96^2+1.96*SQRT(1.96^2+4*G17*(1-G17/E$8)))/(2*(E$8+1.96^2))))</f>
        <v>0.024170140420296176</v>
      </c>
      <c r="K17" s="141">
        <f>IF('Hide - Calculation'!N11="","",'Hide - Calculation'!N11)</f>
        <v>0.016025800007183774</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0.027000000700354576</v>
      </c>
      <c r="AB17" s="235" t="s">
        <v>561</v>
      </c>
      <c r="AC17" s="189" t="s">
        <v>592</v>
      </c>
    </row>
    <row r="18" spans="2:29" s="63" customFormat="1" ht="33.75" customHeight="1">
      <c r="B18" s="308" t="s">
        <v>13</v>
      </c>
      <c r="C18" s="163">
        <v>6</v>
      </c>
      <c r="D18" s="164" t="s">
        <v>569</v>
      </c>
      <c r="E18" s="165"/>
      <c r="F18" s="165"/>
      <c r="G18" s="219">
        <f>IF(OR(VLOOKUP('Hide - Control'!A$3,'All practice data'!A:CA,C18+4,FALSE)=" ",VLOOKUP('Hide - Control'!A$3,'All practice data'!A:CA,C18+52,FALSE)=0)," n/a",VLOOKUP('Hide - Control'!A$3,'All practice data'!A:CA,C18+4,FALSE))</f>
        <v>674</v>
      </c>
      <c r="H18" s="220">
        <f>IF(OR(VLOOKUP('Hide - Control'!A$3,'All practice data'!A:CA,C18+30,FALSE)=" ",VLOOKUP('Hide - Control'!A$3,'All practice data'!A:CA,C18+52,FALSE)=0)," n/a",VLOOKUP('Hide - Control'!A$3,'All practice data'!A:CA,C18+30,FALSE))</f>
        <v>0.759009</v>
      </c>
      <c r="I18" s="191">
        <f>IF(OR(LEFT(H18,1)=" ",VLOOKUP('Hide - Control'!A$3,'All practice data'!A:CA,C18+52,FALSE)=0)," n/a",+((2*G18+1.96^2-1.96*SQRT(1.96^2+4*G18*(1-G18/(VLOOKUP('Hide - Control'!A$3,'All practice data'!A:CA,C18+52,FALSE)))))/(2*(((VLOOKUP('Hide - Control'!A$3,'All practice data'!A:CA,C18+52,FALSE)))+1.96^2))))</f>
        <v>0.7298015757609226</v>
      </c>
      <c r="J18" s="191">
        <f>IF(OR(LEFT(H18,1)=" ",VLOOKUP('Hide - Control'!A$3,'All practice data'!A:CA,C18+52,FALSE)=0)," n/a",+((2*G18+1.96^2+1.96*SQRT(1.96^2+4*G18*(1-G18/(VLOOKUP('Hide - Control'!A$3,'All practice data'!A:CA,C18+52,FALSE)))))/(2*((VLOOKUP('Hide - Control'!A$3,'All practice data'!A:CA,C18+52,FALSE))+1.96^2))))</f>
        <v>0.7859850841123105</v>
      </c>
      <c r="K18" s="220">
        <f>IF('Hide - Calculation'!N12="","",'Hide - Calculation'!N12)</f>
        <v>0.7249425367416591</v>
      </c>
      <c r="L18" s="192">
        <f>'Hide - Calculation'!O12</f>
        <v>0.7248631360507991</v>
      </c>
      <c r="M18" s="193">
        <f>IF(ISBLANK('Hide - Calculation'!K12),"",'Hide - Calculation'!U12)</f>
        <v>0.42267999053001404</v>
      </c>
      <c r="N18" s="194"/>
      <c r="O18" s="173"/>
      <c r="P18" s="173"/>
      <c r="Q18" s="173"/>
      <c r="R18" s="173"/>
      <c r="S18" s="173"/>
      <c r="T18" s="173"/>
      <c r="U18" s="173"/>
      <c r="V18" s="173"/>
      <c r="W18" s="173"/>
      <c r="X18" s="173"/>
      <c r="Y18" s="173"/>
      <c r="Z18" s="174"/>
      <c r="AA18" s="193">
        <f>IF(ISBLANK('Hide - Calculation'!K12),"",'Hide - Calculation'!T12)</f>
        <v>0.8635389804840088</v>
      </c>
      <c r="AB18" s="233" t="s">
        <v>48</v>
      </c>
      <c r="AC18" s="175" t="s">
        <v>593</v>
      </c>
    </row>
    <row r="19" spans="2:29" s="63" customFormat="1" ht="33.75" customHeight="1">
      <c r="B19" s="306"/>
      <c r="C19" s="137">
        <v>7</v>
      </c>
      <c r="D19" s="132" t="s">
        <v>570</v>
      </c>
      <c r="E19" s="85"/>
      <c r="F19" s="85"/>
      <c r="G19" s="221">
        <f>IF(OR(VLOOKUP('Hide - Control'!A$3,'All practice data'!A:CA,C19+4,FALSE)=" ",VLOOKUP('Hide - Control'!A$3,'All practice data'!A:CA,C19+52,FALSE)=0)," n/a",VLOOKUP('Hide - Control'!A$3,'All practice data'!A:CA,C19+4,FALSE))</f>
        <v>15</v>
      </c>
      <c r="H19" s="218">
        <f>IF(OR(VLOOKUP('Hide - Control'!A$3,'All practice data'!A:CA,C19+30,FALSE)=" ",VLOOKUP('Hide - Control'!A$3,'All practice data'!A:CA,C19+52,FALSE)=0)," n/a",VLOOKUP('Hide - Control'!A$3,'All practice data'!A:CA,C19+30,FALSE))</f>
        <v>0.681818</v>
      </c>
      <c r="I19" s="120">
        <f>IF(OR(LEFT(H19,1)=" ",VLOOKUP('Hide - Control'!A$3,'All practice data'!A:CA,C19+52,FALSE)=0)," n/a",+((2*G19+1.96^2-1.96*SQRT(1.96^2+4*G19*(1-G19/(VLOOKUP('Hide - Control'!A$3,'All practice data'!A:CA,C19+52,FALSE)))))/(2*(((VLOOKUP('Hide - Control'!A$3,'All practice data'!A:CA,C19+52,FALSE)))+1.96^2))))</f>
        <v>0.4731822278283934</v>
      </c>
      <c r="J19" s="120">
        <f>IF(OR(LEFT(H19,1)=" ",VLOOKUP('Hide - Control'!A$3,'All practice data'!A:CA,C19+52,FALSE)=0)," n/a",+((2*G19+1.96^2+1.96*SQRT(1.96^2+4*G19*(1-G19/(VLOOKUP('Hide - Control'!A$3,'All practice data'!A:CA,C19+52,FALSE)))))/(2*((VLOOKUP('Hide - Control'!A$3,'All practice data'!A:CA,C19+52,FALSE))+1.96^2))))</f>
        <v>0.8363961264530753</v>
      </c>
      <c r="K19" s="218">
        <f>IF('Hide - Calculation'!N13="","",'Hide - Calculation'!N13)</f>
        <v>0.7569281943182038</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592</v>
      </c>
    </row>
    <row r="20" spans="2:29" s="63" customFormat="1" ht="33.75" customHeight="1">
      <c r="B20" s="306"/>
      <c r="C20" s="137">
        <v>8</v>
      </c>
      <c r="D20" s="132" t="s">
        <v>571</v>
      </c>
      <c r="E20" s="85"/>
      <c r="F20" s="85"/>
      <c r="G20" s="221">
        <f>IF(OR(VLOOKUP('Hide - Control'!A$3,'All practice data'!A:CA,C20+4,FALSE)=" ",VLOOKUP('Hide - Control'!A$3,'All practice data'!A:CA,C20+52,FALSE)=0)," n/a",VLOOKUP('Hide - Control'!A$3,'All practice data'!A:CA,C20+4,FALSE))</f>
        <v>1546</v>
      </c>
      <c r="H20" s="218">
        <f>IF(OR(VLOOKUP('Hide - Control'!A$3,'All practice data'!A:CA,C20+30,FALSE)=" ",VLOOKUP('Hide - Control'!A$3,'All practice data'!A:CA,C20+52,FALSE)=0)," n/a",VLOOKUP('Hide - Control'!A$3,'All practice data'!A:CA,C20+30,FALSE))</f>
        <v>0.829844</v>
      </c>
      <c r="I20" s="120">
        <f>IF(OR(LEFT(H20,1)=" ",VLOOKUP('Hide - Control'!A$3,'All practice data'!A:CA,C20+52,FALSE)=0)," n/a",+((2*G20+1.96^2-1.96*SQRT(1.96^2+4*G20*(1-G20/(VLOOKUP('Hide - Control'!A$3,'All practice data'!A:CA,C20+52,FALSE)))))/(2*(((VLOOKUP('Hide - Control'!A$3,'All practice data'!A:CA,C20+52,FALSE)))+1.96^2))))</f>
        <v>0.8121060188282541</v>
      </c>
      <c r="J20" s="120">
        <f>IF(OR(LEFT(H20,1)=" ",VLOOKUP('Hide - Control'!A$3,'All practice data'!A:CA,C20+52,FALSE)=0)," n/a",+((2*G20+1.96^2+1.96*SQRT(1.96^2+4*G20*(1-G20/(VLOOKUP('Hide - Control'!A$3,'All practice data'!A:CA,C20+52,FALSE)))))/(2*((VLOOKUP('Hide - Control'!A$3,'All practice data'!A:CA,C20+52,FALSE))+1.96^2))))</f>
        <v>0.8462251432799828</v>
      </c>
      <c r="K20" s="218">
        <f>IF('Hide - Calculation'!N14="","",'Hide - Calculation'!N14)</f>
        <v>0.7839907802842053</v>
      </c>
      <c r="L20" s="155">
        <f>'Hide - Calculation'!O14</f>
        <v>0.7559681673907895</v>
      </c>
      <c r="M20" s="152">
        <f>IF(ISBLANK('Hide - Calculation'!K14),"",'Hide - Calculation'!U14)</f>
        <v>0.5812568068504333</v>
      </c>
      <c r="N20" s="160"/>
      <c r="O20" s="84"/>
      <c r="P20" s="84"/>
      <c r="Q20" s="84"/>
      <c r="R20" s="84"/>
      <c r="S20" s="84"/>
      <c r="T20" s="84"/>
      <c r="U20" s="84"/>
      <c r="V20" s="84"/>
      <c r="W20" s="84"/>
      <c r="X20" s="84"/>
      <c r="Y20" s="84"/>
      <c r="Z20" s="88"/>
      <c r="AA20" s="152">
        <f>IF(ISBLANK('Hide - Calculation'!K14),"",'Hide - Calculation'!T14)</f>
        <v>1</v>
      </c>
      <c r="AB20" s="234" t="s">
        <v>48</v>
      </c>
      <c r="AC20" s="131" t="s">
        <v>594</v>
      </c>
    </row>
    <row r="21" spans="2:29" s="63" customFormat="1" ht="33.75" customHeight="1">
      <c r="B21" s="306"/>
      <c r="C21" s="137">
        <v>9</v>
      </c>
      <c r="D21" s="132" t="s">
        <v>572</v>
      </c>
      <c r="E21" s="85"/>
      <c r="F21" s="85"/>
      <c r="G21" s="221">
        <f>IF(OR(VLOOKUP('Hide - Control'!A$3,'All practice data'!A:CA,C21+4,FALSE)=" ",VLOOKUP('Hide - Control'!A$3,'All practice data'!A:CA,C21+52,FALSE)=0)," n/a",VLOOKUP('Hide - Control'!A$3,'All practice data'!A:CA,C21+4,FALSE))</f>
        <v>444</v>
      </c>
      <c r="H21" s="218">
        <f>IF(OR(VLOOKUP('Hide - Control'!A$3,'All practice data'!A:CA,C21+30,FALSE)=" ",VLOOKUP('Hide - Control'!A$3,'All practice data'!A:CA,C21+52,FALSE)=0)," n/a",VLOOKUP('Hide - Control'!A$3,'All practice data'!A:CA,C21+30,FALSE))</f>
        <v>0.595174</v>
      </c>
      <c r="I21" s="120">
        <f>IF(OR(LEFT(H21,1)=" ",VLOOKUP('Hide - Control'!A$3,'All practice data'!A:CA,C21+52,FALSE)=0)," n/a",+((2*G21+1.96^2-1.96*SQRT(1.96^2+4*G21*(1-G21/(VLOOKUP('Hide - Control'!A$3,'All practice data'!A:CA,C21+52,FALSE)))))/(2*(((VLOOKUP('Hide - Control'!A$3,'All practice data'!A:CA,C21+52,FALSE)))+1.96^2))))</f>
        <v>0.5595492942452275</v>
      </c>
      <c r="J21" s="120">
        <f>IF(OR(LEFT(H21,1)=" ",VLOOKUP('Hide - Control'!A$3,'All practice data'!A:CA,C21+52,FALSE)=0)," n/a",+((2*G21+1.96^2+1.96*SQRT(1.96^2+4*G21*(1-G21/(VLOOKUP('Hide - Control'!A$3,'All practice data'!A:CA,C21+52,FALSE)))))/(2*((VLOOKUP('Hide - Control'!A$3,'All practice data'!A:CA,C21+52,FALSE))+1.96^2))))</f>
        <v>0.6298240347351864</v>
      </c>
      <c r="K21" s="218">
        <f>IF('Hide - Calculation'!N15="","",'Hide - Calculation'!N15)</f>
        <v>0.5512600130642555</v>
      </c>
      <c r="L21" s="155">
        <f>'Hide - Calculation'!O15</f>
        <v>0.5147293797466616</v>
      </c>
      <c r="M21" s="152">
        <f>IF(ISBLANK('Hide - Calculation'!K15),"",'Hide - Calculation'!U15)</f>
        <v>0.29838699102401733</v>
      </c>
      <c r="N21" s="160"/>
      <c r="O21" s="84"/>
      <c r="P21" s="84"/>
      <c r="Q21" s="84"/>
      <c r="R21" s="84"/>
      <c r="S21" s="84"/>
      <c r="T21" s="84"/>
      <c r="U21" s="84"/>
      <c r="V21" s="84"/>
      <c r="W21" s="84"/>
      <c r="X21" s="84"/>
      <c r="Y21" s="84"/>
      <c r="Z21" s="88"/>
      <c r="AA21" s="152">
        <f>IF(ISBLANK('Hide - Calculation'!K15),"",'Hide - Calculation'!T15)</f>
        <v>0.6652359962463379</v>
      </c>
      <c r="AB21" s="234" t="s">
        <v>48</v>
      </c>
      <c r="AC21" s="131" t="s">
        <v>593</v>
      </c>
    </row>
    <row r="22" spans="2:29" s="63" customFormat="1" ht="33.75" customHeight="1" thickBot="1">
      <c r="B22" s="309"/>
      <c r="C22" s="180">
        <v>10</v>
      </c>
      <c r="D22" s="195" t="s">
        <v>573</v>
      </c>
      <c r="E22" s="182"/>
      <c r="F22" s="182"/>
      <c r="G22" s="222">
        <f>IF(OR(VLOOKUP('Hide - Control'!A$3,'All practice data'!A:CA,C22+4,FALSE)=" ",VLOOKUP('Hide - Control'!A$3,'All practice data'!A:CA,C22+52,FALSE)=0)," n/a",VLOOKUP('Hide - Control'!A$3,'All practice data'!A:CA,C22+4,FALSE))</f>
        <v>193</v>
      </c>
      <c r="H22" s="223">
        <f>IF(OR(VLOOKUP('Hide - Control'!A$3,'All practice data'!A:CA,C22+30,FALSE)=" ",VLOOKUP('Hide - Control'!A$3,'All practice data'!A:CA,C22+52,FALSE)=0)," n/a",VLOOKUP('Hide - Control'!A$3,'All practice data'!A:CA,C22+30,FALSE))</f>
        <v>0.639073</v>
      </c>
      <c r="I22" s="196">
        <f>IF(OR(LEFT(H22,1)=" ",VLOOKUP('Hide - Control'!A$3,'All practice data'!A:CA,C22+52,FALSE)=0)," n/a",+((2*G22+1.96^2-1.96*SQRT(1.96^2+4*G22*(1-G22/(VLOOKUP('Hide - Control'!A$3,'All practice data'!A:CA,C22+52,FALSE)))))/(2*(((VLOOKUP('Hide - Control'!A$3,'All practice data'!A:CA,C22+52,FALSE)))+1.96^2))))</f>
        <v>0.5834715696248887</v>
      </c>
      <c r="J22" s="196">
        <f>IF(OR(LEFT(H22,1)=" ",VLOOKUP('Hide - Control'!A$3,'All practice data'!A:CA,C22+52,FALSE)=0)," n/a",+((2*G22+1.96^2+1.96*SQRT(1.96^2+4*G22*(1-G22/(VLOOKUP('Hide - Control'!A$3,'All practice data'!A:CA,C22+52,FALSE)))))/(2*((VLOOKUP('Hide - Control'!A$3,'All practice data'!A:CA,C22+52,FALSE))+1.96^2))))</f>
        <v>0.6911804070846238</v>
      </c>
      <c r="K22" s="223">
        <f>IF('Hide - Calculation'!N16="","",'Hide - Calculation'!N16)</f>
        <v>0.5891904167139775</v>
      </c>
      <c r="L22" s="197">
        <f>'Hide - Calculation'!O16</f>
        <v>0.5752927626212945</v>
      </c>
      <c r="M22" s="198">
        <f>IF(ISBLANK('Hide - Calculation'!K16),"",'Hide - Calculation'!U16)</f>
        <v>0.2432429939508438</v>
      </c>
      <c r="N22" s="199"/>
      <c r="O22" s="91"/>
      <c r="P22" s="91"/>
      <c r="Q22" s="91"/>
      <c r="R22" s="91"/>
      <c r="S22" s="91"/>
      <c r="T22" s="91"/>
      <c r="U22" s="91"/>
      <c r="V22" s="91"/>
      <c r="W22" s="91"/>
      <c r="X22" s="91"/>
      <c r="Y22" s="91"/>
      <c r="Z22" s="188"/>
      <c r="AA22" s="198">
        <f>IF(ISBLANK('Hide - Calculation'!K16),"",'Hide - Calculation'!T16)</f>
        <v>0.7226889729499817</v>
      </c>
      <c r="AB22" s="235" t="s">
        <v>48</v>
      </c>
      <c r="AC22" s="189" t="s">
        <v>592</v>
      </c>
    </row>
    <row r="23" spans="2:29" s="63" customFormat="1" ht="33.75" customHeight="1">
      <c r="B23" s="308" t="s">
        <v>412</v>
      </c>
      <c r="C23" s="163">
        <v>11</v>
      </c>
      <c r="D23" s="179" t="s">
        <v>424</v>
      </c>
      <c r="E23" s="165"/>
      <c r="F23" s="165"/>
      <c r="G23" s="118">
        <f>IF(VLOOKUP('Hide - Control'!A$3,'All practice data'!A:CA,C23+4,FALSE)=" "," ",VLOOKUP('Hide - Control'!A$3,'All practice data'!A:CA,C23+4,FALSE))</f>
        <v>75</v>
      </c>
      <c r="H23" s="216">
        <f>IF(VLOOKUP('Hide - Control'!A$3,'All practice data'!A:CA,C23+30,FALSE)=" "," ",VLOOKUP('Hide - Control'!A$3,'All practice data'!A:CA,C23+30,FALSE))</f>
        <v>1078.3608914450035</v>
      </c>
      <c r="I23" s="215">
        <f>IF(LEFT(G23,1)=" "," n/a",IF(G23&lt;5,100000*VLOOKUP(G23,'Hide - Calculation'!AQ:AR,2,FALSE)/$E$8,100000*(G23*(1-1/(9*G23)-1.96/(3*SQRT(G23)))^3)/$E$8))</f>
        <v>848.1632440111207</v>
      </c>
      <c r="J23" s="215">
        <f>IF(LEFT(G23,1)=" "," n/a",IF(G23&lt;5,100000*VLOOKUP(G23,'Hide - Calculation'!AQ:AS,3,FALSE)/$E$8,100000*((G23+1)*(1-1/(9*(G23+1))+1.96/(3*SQRT(G23+1)))^3)/$E$8))</f>
        <v>1351.7579076507795</v>
      </c>
      <c r="K23" s="216">
        <f>IF('Hide - Calculation'!N17="","",'Hide - Calculation'!N17)</f>
        <v>1464.5489360319234</v>
      </c>
      <c r="L23" s="217">
        <f>'Hide - Calculation'!O17</f>
        <v>1812.1669120472948</v>
      </c>
      <c r="M23" s="170">
        <f>IF(ISBLANK('Hide - Calculation'!K17),"",'Hide - Calculation'!U17)</f>
        <v>311.36480712890625</v>
      </c>
      <c r="N23" s="171"/>
      <c r="O23" s="172"/>
      <c r="P23" s="172"/>
      <c r="Q23" s="172"/>
      <c r="R23" s="173"/>
      <c r="S23" s="173"/>
      <c r="T23" s="173"/>
      <c r="U23" s="173"/>
      <c r="V23" s="173"/>
      <c r="W23" s="173"/>
      <c r="X23" s="173"/>
      <c r="Y23" s="173"/>
      <c r="Z23" s="174"/>
      <c r="AA23" s="170">
        <f>IF(ISBLANK('Hide - Calculation'!K17),"",'Hide - Calculation'!T17)</f>
        <v>3560.288330078125</v>
      </c>
      <c r="AB23" s="233" t="s">
        <v>26</v>
      </c>
      <c r="AC23" s="175" t="s">
        <v>592</v>
      </c>
    </row>
    <row r="24" spans="2:29" s="63" customFormat="1" ht="33.75" customHeight="1">
      <c r="B24" s="306"/>
      <c r="C24" s="137">
        <v>12</v>
      </c>
      <c r="D24" s="147" t="s">
        <v>579</v>
      </c>
      <c r="E24" s="85"/>
      <c r="F24" s="85"/>
      <c r="G24" s="118">
        <f>IF(VLOOKUP('Hide - Control'!A$3,'All practice data'!A:CA,C24+4,FALSE)=" "," ",VLOOKUP('Hide - Control'!A$3,'All practice data'!A:CA,C24+4,FALSE))</f>
        <v>75</v>
      </c>
      <c r="H24" s="119">
        <f>IF(VLOOKUP('Hide - Control'!A$3,'All practice data'!A:CA,C24+30,FALSE)=" "," ",VLOOKUP('Hide - Control'!A$3,'All practice data'!A:CA,C24+30,FALSE))</f>
        <v>0.5661789703</v>
      </c>
      <c r="I24" s="212">
        <f>IF(LEFT(VLOOKUP('Hide - Control'!A$3,'All practice data'!A:CA,C24+44,FALSE),1)=" "," n/a",VLOOKUP('Hide - Control'!A$3,'All practice data'!A:CA,C24+44,FALSE))</f>
        <v>0.4453356552</v>
      </c>
      <c r="J24" s="212">
        <f>IF(LEFT(VLOOKUP('Hide - Control'!A$3,'All practice data'!A:CA,C24+45,FALSE),1)=" "," n/a",VLOOKUP('Hide - Control'!A$3,'All practice data'!A:CA,C24+45,FALSE))</f>
        <v>0.7097102356</v>
      </c>
      <c r="K24" s="152" t="s">
        <v>724</v>
      </c>
      <c r="L24" s="213">
        <v>1</v>
      </c>
      <c r="M24" s="152">
        <f>IF(ISBLANK('Hide - Calculation'!K18),"",'Hide - Calculation'!U18)</f>
        <v>0.22439201176166534</v>
      </c>
      <c r="N24" s="86"/>
      <c r="O24" s="87"/>
      <c r="P24" s="87"/>
      <c r="Q24" s="87"/>
      <c r="R24" s="84"/>
      <c r="S24" s="84"/>
      <c r="T24" s="84"/>
      <c r="U24" s="84"/>
      <c r="V24" s="84"/>
      <c r="W24" s="84"/>
      <c r="X24" s="84"/>
      <c r="Y24" s="84"/>
      <c r="Z24" s="88"/>
      <c r="AA24" s="152">
        <f>IF(ISBLANK('Hide - Calculation'!K18),"",'Hide - Calculation'!T18)</f>
        <v>1.8270646333694458</v>
      </c>
      <c r="AB24" s="234" t="s">
        <v>26</v>
      </c>
      <c r="AC24" s="131" t="s">
        <v>592</v>
      </c>
    </row>
    <row r="25" spans="2:29" s="63" customFormat="1" ht="33.75" customHeight="1">
      <c r="B25" s="306"/>
      <c r="C25" s="137">
        <v>13</v>
      </c>
      <c r="D25" s="147" t="s">
        <v>419</v>
      </c>
      <c r="E25" s="85"/>
      <c r="F25" s="85"/>
      <c r="G25" s="118">
        <f>IF(VLOOKUP('Hide - Control'!A$3,'All practice data'!A:CA,C25+4,FALSE)=" "," ",VLOOKUP('Hide - Control'!A$3,'All practice data'!A:CA,C25+4,FALSE))</f>
        <v>10</v>
      </c>
      <c r="H25" s="119">
        <f>IF(VLOOKUP('Hide - Control'!A$3,'All practice data'!A:CA,C25+30,FALSE)=" "," ",VLOOKUP('Hide - Control'!A$3,'All practice data'!A:CA,C25+30,FALSE))</f>
        <v>0.13333333333333333</v>
      </c>
      <c r="I25" s="120">
        <f>IF(LEFT(G25,1)=" "," n/a",IF(G25=0," n/a",+((2*G25+1.96^2-1.96*SQRT(1.96^2+4*G25*(1-G25/G23)))/(2*(G23+1.96^2)))))</f>
        <v>0.07406505099414731</v>
      </c>
      <c r="J25" s="120">
        <f>IF(LEFT(G25,1)=" "," n/a",IF(G25=0," n/a",+((2*G25+1.96^2+1.96*SQRT(1.96^2+4*G25*(1-G25/G23)))/(2*(G23+1.96^2)))))</f>
        <v>0.22833368266929938</v>
      </c>
      <c r="K25" s="125">
        <f>IF('Hide - Calculation'!N19="","",'Hide - Calculation'!N19)</f>
        <v>0.1063941605839416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0.3928571343421936</v>
      </c>
      <c r="AB25" s="234" t="s">
        <v>26</v>
      </c>
      <c r="AC25" s="131" t="s">
        <v>592</v>
      </c>
    </row>
    <row r="26" spans="2:29" s="63" customFormat="1" ht="33.75" customHeight="1">
      <c r="B26" s="306"/>
      <c r="C26" s="137">
        <v>14</v>
      </c>
      <c r="D26" s="147" t="s">
        <v>562</v>
      </c>
      <c r="E26" s="85"/>
      <c r="F26" s="85"/>
      <c r="G26" s="121">
        <f>IF(VLOOKUP('Hide - Control'!A$3,'All practice data'!A:CA,C26+4,FALSE)=" "," ",VLOOKUP('Hide - Control'!A$3,'All practice data'!A:CA,C26+4,FALSE))</f>
        <v>19</v>
      </c>
      <c r="H26" s="119">
        <f>IF(VLOOKUP('Hide - Control'!A$3,'All practice data'!A:CA,C26+30,FALSE)=" "," ",VLOOKUP('Hide - Control'!A$3,'All practice data'!A:CA,C26+30,FALSE))</f>
        <v>0.5263157894736842</v>
      </c>
      <c r="I26" s="120">
        <f>IF(OR(LEFT(G26,1)=" ",LEFT(G25,1)=" ")," n/a",IF(G26=0," n/a",+((2*G25+1.96^2-1.96*SQRT(1.96^2+4*G25*(1-G25/G26)))/(2*(G26+1.96^2)))))</f>
        <v>0.3170748251182512</v>
      </c>
      <c r="J26" s="120">
        <f>IF(OR(LEFT(G26,1)=" ",LEFT(G25,1)=" ")," n/a",IF(G26=0," n/a",+((2*G25+1.96^2+1.96*SQRT(1.96^2+4*G25*(1-G25/G26)))/(2*(G26+1.96^2)))))</f>
        <v>0.7267049451255146</v>
      </c>
      <c r="K26" s="125">
        <f>IF('Hide - Calculation'!N20="","",'Hide - Calculation'!N20)</f>
        <v>0.4193325661680092</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0.7222222089767456</v>
      </c>
      <c r="AB26" s="234" t="s">
        <v>26</v>
      </c>
      <c r="AC26" s="131" t="s">
        <v>592</v>
      </c>
    </row>
    <row r="27" spans="2:29" s="63" customFormat="1" ht="33.75" customHeight="1">
      <c r="B27" s="306"/>
      <c r="C27" s="137">
        <v>15</v>
      </c>
      <c r="D27" s="147" t="s">
        <v>549</v>
      </c>
      <c r="E27" s="85"/>
      <c r="F27" s="85"/>
      <c r="G27" s="121">
        <f>IF(VLOOKUP('Hide - Control'!A$3,'All practice data'!A:CA,C27+4,FALSE)=" "," ",VLOOKUP('Hide - Control'!A$3,'All practice data'!A:CA,C27+4,FALSE))</f>
        <v>22</v>
      </c>
      <c r="H27" s="122">
        <f>IF(VLOOKUP('Hide - Control'!A$3,'All practice data'!A:CA,C27+30,FALSE)=" "," ",VLOOKUP('Hide - Control'!A$3,'All practice data'!A:CA,C27+30,FALSE))</f>
        <v>316.31919482386775</v>
      </c>
      <c r="I27" s="123">
        <f>IF(LEFT(G27,1)=" "," n/a",IF(G27&lt;5,100000*VLOOKUP(G27,'Hide - Calculation'!AQ:AR,2,FALSE)/$E$8,100000*(G27*(1-1/(9*G27)-1.96/(3*SQRT(G27)))^3)/$E$8))</f>
        <v>198.16490367765277</v>
      </c>
      <c r="J27" s="123">
        <f>IF(LEFT(G27,1)=" "," n/a",IF(G27&lt;5,100000*VLOOKUP(G27,'Hide - Calculation'!AQ:AS,3,FALSE)/$E$8,100000*((G27+1)*(1-1/(9*(G27+1))+1.96/(3*SQRT(G27+1)))^3)/$E$8))</f>
        <v>478.93601548063396</v>
      </c>
      <c r="K27" s="122">
        <f>IF('Hide - Calculation'!N21="","",'Hide - Calculation'!N21)</f>
        <v>325.0657229697717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831.1461181640625</v>
      </c>
      <c r="AB27" s="234" t="s">
        <v>26</v>
      </c>
      <c r="AC27" s="131" t="s">
        <v>592</v>
      </c>
    </row>
    <row r="28" spans="2:29" s="63" customFormat="1" ht="33.75" customHeight="1">
      <c r="B28" s="306"/>
      <c r="C28" s="137">
        <v>16</v>
      </c>
      <c r="D28" s="147" t="s">
        <v>550</v>
      </c>
      <c r="E28" s="85"/>
      <c r="F28" s="85"/>
      <c r="G28" s="121">
        <f>IF(VLOOKUP('Hide - Control'!A$3,'All practice data'!A:CA,C28+4,FALSE)=" "," ",VLOOKUP('Hide - Control'!A$3,'All practice data'!A:CA,C28+4,FALSE))</f>
        <v>6</v>
      </c>
      <c r="H28" s="122">
        <f>IF(VLOOKUP('Hide - Control'!A$3,'All practice data'!A:CA,C28+30,FALSE)=" "," ",VLOOKUP('Hide - Control'!A$3,'All practice data'!A:CA,C28+30,FALSE))</f>
        <v>86.2688713156003</v>
      </c>
      <c r="I28" s="123">
        <f>IF(LEFT(G28,1)=" "," n/a",IF(G28&lt;5,100000*VLOOKUP(G28,'Hide - Calculation'!AQ:AR,2,FALSE)/$E$8,100000*(G28*(1-1/(9*G28)-1.96/(3*SQRT(G28)))^3)/$E$8))</f>
        <v>31.50166413635772</v>
      </c>
      <c r="J28" s="123">
        <f>IF(LEFT(G28,1)=" "," n/a",IF(G28&lt;5,100000*VLOOKUP(G28,'Hide - Calculation'!AQ:AS,3,FALSE)/$E$8,100000*((G28+1)*(1-1/(9*(G28+1))+1.96/(3*SQRT(G28+1)))^3)/$E$8))</f>
        <v>187.7770707214631</v>
      </c>
      <c r="K28" s="122">
        <f>IF('Hide - Calculation'!N22="","",'Hide - Calculation'!N22)</f>
        <v>231.76219659249705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654.413818359375</v>
      </c>
      <c r="AB28" s="234" t="s">
        <v>26</v>
      </c>
      <c r="AC28" s="131" t="s">
        <v>592</v>
      </c>
    </row>
    <row r="29" spans="2:29" s="63" customFormat="1" ht="33.75" customHeight="1">
      <c r="B29" s="306"/>
      <c r="C29" s="137">
        <v>17</v>
      </c>
      <c r="D29" s="147" t="s">
        <v>551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69.6141800835028</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164.02406311035156</v>
      </c>
      <c r="AB29" s="234" t="s">
        <v>26</v>
      </c>
      <c r="AC29" s="131" t="s">
        <v>592</v>
      </c>
    </row>
    <row r="30" spans="2:29" s="63" customFormat="1" ht="33.75" customHeight="1" thickBot="1">
      <c r="B30" s="309"/>
      <c r="C30" s="180">
        <v>18</v>
      </c>
      <c r="D30" s="181" t="s">
        <v>552</v>
      </c>
      <c r="E30" s="182"/>
      <c r="F30" s="182"/>
      <c r="G30" s="183">
        <f>IF(VLOOKUP('Hide - Control'!A$3,'All practice data'!A:CA,C30+4,FALSE)=" "," ",VLOOKUP('Hide - Control'!A$3,'All practice data'!A:CA,C30+4,FALSE))</f>
        <v>23</v>
      </c>
      <c r="H30" s="184">
        <f>IF(VLOOKUP('Hide - Control'!A$3,'All practice data'!A:CA,C30+30,FALSE)=" "," ",VLOOKUP('Hide - Control'!A$3,'All practice data'!A:CA,C30+30,FALSE))</f>
        <v>330.69734004313443</v>
      </c>
      <c r="I30" s="185">
        <f>IF(LEFT(G30,1)=" "," n/a",IF(G30&lt;5,100000*VLOOKUP(G30,'Hide - Calculation'!AQ:AR,2,FALSE)/$E$8,100000*(G30*(1-1/(9*G30)-1.96/(3*SQRT(G30)))^3)/$E$8))</f>
        <v>209.5649640018705</v>
      </c>
      <c r="J30" s="185">
        <f>IF(LEFT(G30,1)=" "," n/a",IF(G30&lt;5,100000*VLOOKUP(G30,'Hide - Calculation'!AQ:AS,3,FALSE)/$E$8,100000*((G30+1)*(1-1/(9*(G30+1))+1.96/(3*SQRT(G30+1)))^3)/$E$8))</f>
        <v>496.2334302210869</v>
      </c>
      <c r="K30" s="184">
        <f>IF('Hide - Calculation'!N24="","",'Hide - Calculation'!N24)</f>
        <v>278.798804757026</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806.7118530273438</v>
      </c>
      <c r="AB30" s="235" t="s">
        <v>26</v>
      </c>
      <c r="AC30" s="189" t="s">
        <v>592</v>
      </c>
    </row>
    <row r="31" spans="2:29" s="63" customFormat="1" ht="33.75" customHeight="1">
      <c r="B31" s="304" t="s">
        <v>421</v>
      </c>
      <c r="C31" s="163">
        <v>19</v>
      </c>
      <c r="D31" s="164" t="s">
        <v>425</v>
      </c>
      <c r="E31" s="165"/>
      <c r="F31" s="165"/>
      <c r="G31" s="166">
        <f>IF(VLOOKUP('Hide - Control'!A$3,'All practice data'!A:CA,C31+4,FALSE)=" "," ",VLOOKUP('Hide - Control'!A$3,'All practice data'!A:CA,C31+4,FALSE))</f>
        <v>35</v>
      </c>
      <c r="H31" s="167">
        <f>IF(VLOOKUP('Hide - Control'!A$3,'All practice data'!A:CA,C31+30,FALSE)=" "," ",VLOOKUP('Hide - Control'!A$3,'All practice data'!A:CA,C31+30,FALSE))</f>
        <v>503.235082674335</v>
      </c>
      <c r="I31" s="168">
        <f>IF(LEFT(G31,1)=" "," n/a",IF(G31&lt;5,100000*VLOOKUP(G31,'Hide - Calculation'!AQ:AR,2,FALSE)/$E$8,100000*(G31*(1-1/(9*G31)-1.96/(3*SQRT(G31)))^3)/$E$8))</f>
        <v>350.467908917053</v>
      </c>
      <c r="J31" s="168">
        <f>IF(LEFT(G31,1)=" "," n/a",IF(G31&lt;5,100000*VLOOKUP(G31,'Hide - Calculation'!AQ:AS,3,FALSE)/$E$8,100000*((G31+1)*(1-1/(9*(G31+1))+1.96/(3*SQRT(G31+1)))^3)/$E$8))</f>
        <v>699.903285910339</v>
      </c>
      <c r="K31" s="167">
        <f>IF('Hide - Calculation'!N25="","",'Hide - Calculation'!N25)</f>
        <v>544.0852748049691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882.0049438476562</v>
      </c>
      <c r="AB31" s="233" t="s">
        <v>47</v>
      </c>
      <c r="AC31" s="175" t="s">
        <v>592</v>
      </c>
    </row>
    <row r="32" spans="2:29" s="63" customFormat="1" ht="33.75" customHeight="1">
      <c r="B32" s="305"/>
      <c r="C32" s="137">
        <v>20</v>
      </c>
      <c r="D32" s="132" t="s">
        <v>426</v>
      </c>
      <c r="E32" s="85"/>
      <c r="F32" s="85"/>
      <c r="G32" s="121">
        <f>IF(VLOOKUP('Hide - Control'!A$3,'All practice data'!A:CA,C32+4,FALSE)=" "," ",VLOOKUP('Hide - Control'!A$3,'All practice data'!A:CA,C32+4,FALSE))</f>
        <v>34</v>
      </c>
      <c r="H32" s="122">
        <f>IF(VLOOKUP('Hide - Control'!A$3,'All practice data'!A:CA,C32+30,FALSE)=" "," ",VLOOKUP('Hide - Control'!A$3,'All practice data'!A:CA,C32+30,FALSE))</f>
        <v>488.8569374550683</v>
      </c>
      <c r="I32" s="123">
        <f>IF(LEFT(G32,1)=" "," n/a",IF(G32&lt;5,100000*VLOOKUP(G32,'Hide - Calculation'!AQ:AR,2,FALSE)/$E$8,100000*(G32*(1-1/(9*G32)-1.96/(3*SQRT(G32)))^3)/$E$8))</f>
        <v>338.49297885492825</v>
      </c>
      <c r="J32" s="123">
        <f>IF(LEFT(G32,1)=" "," n/a",IF(G32&lt;5,100000*VLOOKUP(G32,'Hide - Calculation'!AQ:AS,3,FALSE)/$E$8,100000*((G32+1)*(1-1/(9*(G32+1))+1.96/(3*SQRT(G32+1)))^3)/$E$8))</f>
        <v>683.1537128251049</v>
      </c>
      <c r="K32" s="122">
        <f>IF('Hide - Calculation'!N26="","",'Hide - Calculation'!N26)</f>
        <v>387.0685246411962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719.4244384765625</v>
      </c>
      <c r="AB32" s="234" t="s">
        <v>47</v>
      </c>
      <c r="AC32" s="131" t="s">
        <v>592</v>
      </c>
    </row>
    <row r="33" spans="2:29" s="63" customFormat="1" ht="33.75" customHeight="1">
      <c r="B33" s="305"/>
      <c r="C33" s="137">
        <v>21</v>
      </c>
      <c r="D33" s="132" t="s">
        <v>428</v>
      </c>
      <c r="E33" s="85"/>
      <c r="F33" s="85"/>
      <c r="G33" s="121">
        <f>IF(VLOOKUP('Hide - Control'!A$3,'All practice data'!A:CA,C33+4,FALSE)=" "," ",VLOOKUP('Hide - Control'!A$3,'All practice data'!A:CA,C33+4,FALSE))</f>
        <v>54</v>
      </c>
      <c r="H33" s="122">
        <f>IF(VLOOKUP('Hide - Control'!A$3,'All practice data'!A:CA,C33+30,FALSE)=" "," ",VLOOKUP('Hide - Control'!A$3,'All practice data'!A:CA,C33+30,FALSE))</f>
        <v>776.4198418404026</v>
      </c>
      <c r="I33" s="123">
        <f>IF(LEFT(G33,1)=" "," n/a",IF(G33&lt;5,100000*VLOOKUP(G33,'Hide - Calculation'!AQ:AR,2,FALSE)/$E$8,100000*(G33*(1-1/(9*G33)-1.96/(3*SQRT(G33)))^3)/$E$8))</f>
        <v>583.2280641748414</v>
      </c>
      <c r="J33" s="123">
        <f>IF(LEFT(G33,1)=" "," n/a",IF(G33&lt;5,100000*VLOOKUP(G33,'Hide - Calculation'!AQ:AS,3,FALSE)/$E$8,100000*((G33+1)*(1-1/(9*(G33+1))+1.96/(3*SQRT(G33+1)))^3)/$E$8))</f>
        <v>1013.0836394413548</v>
      </c>
      <c r="K33" s="122">
        <f>IF('Hide - Calculation'!N27="","",'Hide - Calculation'!N27)</f>
        <v>898.9123425770246</v>
      </c>
      <c r="L33" s="156">
        <f>'Hide - Calculation'!O27</f>
        <v>1059.3522061277838</v>
      </c>
      <c r="M33" s="148">
        <f>IF(ISBLANK('Hide - Calculation'!K27),"",'Hide - Calculation'!U27)</f>
        <v>434.7826232910156</v>
      </c>
      <c r="N33" s="86"/>
      <c r="O33" s="87"/>
      <c r="P33" s="87"/>
      <c r="Q33" s="87"/>
      <c r="R33" s="84"/>
      <c r="S33" s="84"/>
      <c r="T33" s="84"/>
      <c r="U33" s="84"/>
      <c r="V33" s="84"/>
      <c r="W33" s="84"/>
      <c r="X33" s="84"/>
      <c r="Y33" s="84"/>
      <c r="Z33" s="88"/>
      <c r="AA33" s="148">
        <f>IF(ISBLANK('Hide - Calculation'!K27),"",'Hide - Calculation'!T27)</f>
        <v>1583.8099365234375</v>
      </c>
      <c r="AB33" s="234" t="s">
        <v>47</v>
      </c>
      <c r="AC33" s="131" t="s">
        <v>592</v>
      </c>
    </row>
    <row r="34" spans="2:29" s="63" customFormat="1" ht="33.75" customHeight="1">
      <c r="B34" s="305"/>
      <c r="C34" s="137">
        <v>22</v>
      </c>
      <c r="D34" s="132" t="s">
        <v>427</v>
      </c>
      <c r="E34" s="85"/>
      <c r="F34" s="85"/>
      <c r="G34" s="118">
        <f>IF(VLOOKUP('Hide - Control'!A$3,'All practice data'!A:CA,C34+4,FALSE)=" "," ",VLOOKUP('Hide - Control'!A$3,'All practice data'!A:CA,C34+4,FALSE))</f>
        <v>31</v>
      </c>
      <c r="H34" s="122">
        <f>IF(VLOOKUP('Hide - Control'!A$3,'All practice data'!A:CA,C34+30,FALSE)=" "," ",VLOOKUP('Hide - Control'!A$3,'All practice data'!A:CA,C34+30,FALSE))</f>
        <v>445.72250179726814</v>
      </c>
      <c r="I34" s="123">
        <f>IF(LEFT(G34,1)=" "," n/a",IF(G34&lt;5,100000*VLOOKUP(G34,'Hide - Calculation'!AQ:AR,2,FALSE)/$E$8,100000*(G34*(1-1/(9*G34)-1.96/(3*SQRT(G34)))^3)/$E$8))</f>
        <v>302.789166012843</v>
      </c>
      <c r="J34" s="123">
        <f>IF(LEFT(G34,1)=" "," n/a",IF(G34&lt;5,100000*VLOOKUP(G34,'Hide - Calculation'!AQ:AS,3,FALSE)/$E$8,100000*((G34+1)*(1-1/(9*(G34+1))+1.96/(3*SQRT(G34+1)))^3)/$E$8))</f>
        <v>632.6927350211815</v>
      </c>
      <c r="K34" s="122">
        <f>IF('Hide - Calculation'!N28="","",'Hide - Calculation'!N28)</f>
        <v>458.56416905128015</v>
      </c>
      <c r="L34" s="156">
        <f>'Hide - Calculation'!O28</f>
        <v>582.9390489900089</v>
      </c>
      <c r="M34" s="148">
        <f>IF(ISBLANK('Hide - Calculation'!K28),"",'Hide - Calculation'!U28)</f>
        <v>151.51515197753906</v>
      </c>
      <c r="N34" s="86"/>
      <c r="O34" s="87"/>
      <c r="P34" s="87"/>
      <c r="Q34" s="87"/>
      <c r="R34" s="84"/>
      <c r="S34" s="84"/>
      <c r="T34" s="84"/>
      <c r="U34" s="84"/>
      <c r="V34" s="84"/>
      <c r="W34" s="84"/>
      <c r="X34" s="84"/>
      <c r="Y34" s="84"/>
      <c r="Z34" s="88"/>
      <c r="AA34" s="148">
        <f>IF(ISBLANK('Hide - Calculation'!K28),"",'Hide - Calculation'!T28)</f>
        <v>1058.2010498046875</v>
      </c>
      <c r="AB34" s="234" t="s">
        <v>47</v>
      </c>
      <c r="AC34" s="131" t="s">
        <v>592</v>
      </c>
    </row>
    <row r="35" spans="2:29" s="63" customFormat="1" ht="33.75" customHeight="1">
      <c r="B35" s="305"/>
      <c r="C35" s="137">
        <v>23</v>
      </c>
      <c r="D35" s="138" t="s">
        <v>553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413</v>
      </c>
      <c r="AC35" s="131">
        <v>2008</v>
      </c>
    </row>
    <row r="36" spans="2:29" ht="33.75" customHeight="1">
      <c r="B36" s="306"/>
      <c r="C36" s="137">
        <v>24</v>
      </c>
      <c r="D36" s="224" t="s">
        <v>554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413</v>
      </c>
      <c r="AC36" s="131">
        <v>2008</v>
      </c>
    </row>
    <row r="37" spans="2:29" ht="33.75" customHeight="1" thickBot="1">
      <c r="B37" s="307"/>
      <c r="C37" s="176">
        <v>25</v>
      </c>
      <c r="D37" s="177" t="s">
        <v>429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413</v>
      </c>
      <c r="AC37" s="149">
        <v>2008</v>
      </c>
    </row>
    <row r="38" spans="2:29" ht="16.5" customHeight="1">
      <c r="B38" s="69"/>
      <c r="C38" s="69"/>
      <c r="D38" s="65" t="s">
        <v>411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723</v>
      </c>
      <c r="C39" s="244"/>
      <c r="D39" s="244"/>
      <c r="E39" s="303" t="s">
        <v>727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578</v>
      </c>
      <c r="BE2" s="341"/>
      <c r="BF2" s="341"/>
      <c r="BG2" s="341"/>
      <c r="BH2" s="341"/>
      <c r="BI2" s="341"/>
      <c r="BJ2" s="342"/>
    </row>
    <row r="3" spans="1:82" s="72" customFormat="1" ht="76.5" customHeight="1">
      <c r="A3" s="266" t="s">
        <v>276</v>
      </c>
      <c r="B3" s="275" t="s">
        <v>277</v>
      </c>
      <c r="C3" s="276" t="s">
        <v>49</v>
      </c>
      <c r="D3" s="274" t="s">
        <v>563</v>
      </c>
      <c r="E3" s="267" t="s">
        <v>435</v>
      </c>
      <c r="F3" s="267" t="s">
        <v>546</v>
      </c>
      <c r="G3" s="267" t="s">
        <v>437</v>
      </c>
      <c r="H3" s="267" t="s">
        <v>438</v>
      </c>
      <c r="I3" s="267" t="s">
        <v>439</v>
      </c>
      <c r="J3" s="267" t="s">
        <v>587</v>
      </c>
      <c r="K3" s="267" t="s">
        <v>588</v>
      </c>
      <c r="L3" s="267" t="s">
        <v>589</v>
      </c>
      <c r="M3" s="267" t="s">
        <v>440</v>
      </c>
      <c r="N3" s="267" t="s">
        <v>441</v>
      </c>
      <c r="O3" s="267" t="s">
        <v>442</v>
      </c>
      <c r="P3" s="267" t="s">
        <v>577</v>
      </c>
      <c r="Q3" s="267" t="s">
        <v>443</v>
      </c>
      <c r="R3" s="267" t="s">
        <v>444</v>
      </c>
      <c r="S3" s="267" t="s">
        <v>445</v>
      </c>
      <c r="T3" s="267" t="s">
        <v>446</v>
      </c>
      <c r="U3" s="267" t="s">
        <v>447</v>
      </c>
      <c r="V3" s="267" t="s">
        <v>448</v>
      </c>
      <c r="W3" s="267" t="s">
        <v>449</v>
      </c>
      <c r="X3" s="267" t="s">
        <v>450</v>
      </c>
      <c r="Y3" s="267" t="s">
        <v>451</v>
      </c>
      <c r="Z3" s="267" t="s">
        <v>452</v>
      </c>
      <c r="AA3" s="267" t="s">
        <v>453</v>
      </c>
      <c r="AB3" s="267" t="s">
        <v>454</v>
      </c>
      <c r="AC3" s="267" t="s">
        <v>455</v>
      </c>
      <c r="AD3" s="268" t="s">
        <v>456</v>
      </c>
      <c r="AE3" s="268" t="s">
        <v>435</v>
      </c>
      <c r="AF3" s="269" t="s">
        <v>436</v>
      </c>
      <c r="AG3" s="268" t="s">
        <v>437</v>
      </c>
      <c r="AH3" s="268" t="s">
        <v>438</v>
      </c>
      <c r="AI3" s="268" t="s">
        <v>439</v>
      </c>
      <c r="AJ3" s="268" t="s">
        <v>587</v>
      </c>
      <c r="AK3" s="268" t="s">
        <v>588</v>
      </c>
      <c r="AL3" s="268" t="s">
        <v>589</v>
      </c>
      <c r="AM3" s="268" t="s">
        <v>440</v>
      </c>
      <c r="AN3" s="268" t="s">
        <v>441</v>
      </c>
      <c r="AO3" s="268" t="s">
        <v>442</v>
      </c>
      <c r="AP3" s="268" t="s">
        <v>577</v>
      </c>
      <c r="AQ3" s="268" t="s">
        <v>443</v>
      </c>
      <c r="AR3" s="268" t="s">
        <v>444</v>
      </c>
      <c r="AS3" s="268" t="s">
        <v>445</v>
      </c>
      <c r="AT3" s="268" t="s">
        <v>446</v>
      </c>
      <c r="AU3" s="268" t="s">
        <v>447</v>
      </c>
      <c r="AV3" s="268" t="s">
        <v>448</v>
      </c>
      <c r="AW3" s="268" t="s">
        <v>449</v>
      </c>
      <c r="AX3" s="268" t="s">
        <v>450</v>
      </c>
      <c r="AY3" s="270" t="s">
        <v>451</v>
      </c>
      <c r="AZ3" s="271" t="s">
        <v>452</v>
      </c>
      <c r="BA3" s="271" t="s">
        <v>453</v>
      </c>
      <c r="BB3" s="271" t="s">
        <v>454</v>
      </c>
      <c r="BC3" s="272" t="s">
        <v>455</v>
      </c>
      <c r="BD3" s="273" t="s">
        <v>575</v>
      </c>
      <c r="BE3" s="273" t="s">
        <v>576</v>
      </c>
      <c r="BF3" s="273" t="s">
        <v>583</v>
      </c>
      <c r="BG3" s="273" t="s">
        <v>584</v>
      </c>
      <c r="BH3" s="273" t="s">
        <v>582</v>
      </c>
      <c r="BI3" s="273" t="s">
        <v>585</v>
      </c>
      <c r="BJ3" s="273" t="s">
        <v>586</v>
      </c>
      <c r="BK3" s="73"/>
      <c r="BL3" s="73"/>
      <c r="BM3" s="73"/>
      <c r="BN3" s="73"/>
      <c r="BO3" s="73"/>
      <c r="BP3" s="73"/>
      <c r="BQ3" s="73"/>
      <c r="BR3" s="73"/>
      <c r="BS3" s="73"/>
      <c r="BT3" s="73"/>
      <c r="BU3" s="73"/>
      <c r="BV3" s="73"/>
      <c r="BW3" s="73"/>
      <c r="BX3" s="73"/>
      <c r="BY3" s="73"/>
      <c r="BZ3" s="73"/>
      <c r="CA3" s="73"/>
      <c r="CB3" s="73"/>
      <c r="CC3" s="73"/>
      <c r="CD3" s="73"/>
    </row>
    <row r="4" spans="1:66" ht="12.75">
      <c r="A4" s="79" t="s">
        <v>729</v>
      </c>
      <c r="B4" s="79" t="s">
        <v>365</v>
      </c>
      <c r="C4" s="79" t="s">
        <v>580</v>
      </c>
      <c r="D4" s="99">
        <v>6955</v>
      </c>
      <c r="E4" s="99">
        <v>1145</v>
      </c>
      <c r="F4" s="99" t="s">
        <v>434</v>
      </c>
      <c r="G4" s="99">
        <v>17</v>
      </c>
      <c r="H4" s="99">
        <v>15</v>
      </c>
      <c r="I4" s="99">
        <v>143</v>
      </c>
      <c r="J4" s="99">
        <v>674</v>
      </c>
      <c r="K4" s="99">
        <v>15</v>
      </c>
      <c r="L4" s="99">
        <v>1546</v>
      </c>
      <c r="M4" s="99">
        <v>444</v>
      </c>
      <c r="N4" s="99">
        <v>193</v>
      </c>
      <c r="O4" s="99">
        <v>75</v>
      </c>
      <c r="P4" s="159">
        <v>75</v>
      </c>
      <c r="Q4" s="99">
        <v>10</v>
      </c>
      <c r="R4" s="99">
        <v>19</v>
      </c>
      <c r="S4" s="99">
        <v>22</v>
      </c>
      <c r="T4" s="99">
        <v>6</v>
      </c>
      <c r="U4" s="99" t="s">
        <v>726</v>
      </c>
      <c r="V4" s="99">
        <v>23</v>
      </c>
      <c r="W4" s="99">
        <v>35</v>
      </c>
      <c r="X4" s="99">
        <v>34</v>
      </c>
      <c r="Y4" s="99">
        <v>54</v>
      </c>
      <c r="Z4" s="99">
        <v>31</v>
      </c>
      <c r="AA4" s="99" t="s">
        <v>726</v>
      </c>
      <c r="AB4" s="99" t="s">
        <v>726</v>
      </c>
      <c r="AC4" s="99" t="s">
        <v>726</v>
      </c>
      <c r="AD4" s="98" t="s">
        <v>411</v>
      </c>
      <c r="AE4" s="100">
        <v>0.16462976276060387</v>
      </c>
      <c r="AF4" s="100">
        <v>0.08</v>
      </c>
      <c r="AG4" s="98">
        <v>244.42846872753415</v>
      </c>
      <c r="AH4" s="98">
        <v>215.67217828900073</v>
      </c>
      <c r="AI4" s="100">
        <v>0.021</v>
      </c>
      <c r="AJ4" s="100">
        <v>0.759009</v>
      </c>
      <c r="AK4" s="100">
        <v>0.681818</v>
      </c>
      <c r="AL4" s="100">
        <v>0.829844</v>
      </c>
      <c r="AM4" s="100">
        <v>0.595174</v>
      </c>
      <c r="AN4" s="100">
        <v>0.639073</v>
      </c>
      <c r="AO4" s="98">
        <v>1078.3608914450035</v>
      </c>
      <c r="AP4" s="158">
        <v>0.5661789703</v>
      </c>
      <c r="AQ4" s="100">
        <v>0.13333333333333333</v>
      </c>
      <c r="AR4" s="100">
        <v>0.5263157894736842</v>
      </c>
      <c r="AS4" s="98">
        <v>316.31919482386775</v>
      </c>
      <c r="AT4" s="98">
        <v>86.2688713156003</v>
      </c>
      <c r="AU4" s="98" t="s">
        <v>726</v>
      </c>
      <c r="AV4" s="98">
        <v>330.69734004313443</v>
      </c>
      <c r="AW4" s="98">
        <v>503.235082674335</v>
      </c>
      <c r="AX4" s="98">
        <v>488.8569374550683</v>
      </c>
      <c r="AY4" s="98">
        <v>776.4198418404026</v>
      </c>
      <c r="AZ4" s="98">
        <v>445.72250179726814</v>
      </c>
      <c r="BA4" s="100" t="s">
        <v>726</v>
      </c>
      <c r="BB4" s="100" t="s">
        <v>726</v>
      </c>
      <c r="BC4" s="100" t="s">
        <v>726</v>
      </c>
      <c r="BD4" s="158">
        <v>0.4453356552</v>
      </c>
      <c r="BE4" s="158">
        <v>0.7097102356</v>
      </c>
      <c r="BF4" s="162">
        <v>888</v>
      </c>
      <c r="BG4" s="162">
        <v>22</v>
      </c>
      <c r="BH4" s="162">
        <v>1863</v>
      </c>
      <c r="BI4" s="162">
        <v>746</v>
      </c>
      <c r="BJ4" s="162">
        <v>302</v>
      </c>
      <c r="BK4" s="97"/>
      <c r="BL4" s="97"/>
      <c r="BM4" s="97"/>
      <c r="BN4" s="97"/>
    </row>
    <row r="5" spans="1:66" ht="12.75">
      <c r="A5" s="79" t="s">
        <v>710</v>
      </c>
      <c r="B5" s="79" t="s">
        <v>401</v>
      </c>
      <c r="C5" s="79" t="s">
        <v>580</v>
      </c>
      <c r="D5" s="99">
        <v>2273</v>
      </c>
      <c r="E5" s="99">
        <v>286</v>
      </c>
      <c r="F5" s="99" t="s">
        <v>433</v>
      </c>
      <c r="G5" s="99" t="s">
        <v>726</v>
      </c>
      <c r="H5" s="99">
        <v>6</v>
      </c>
      <c r="I5" s="99">
        <v>26</v>
      </c>
      <c r="J5" s="99">
        <v>155</v>
      </c>
      <c r="K5" s="99">
        <v>152</v>
      </c>
      <c r="L5" s="99">
        <v>405</v>
      </c>
      <c r="M5" s="99">
        <v>87</v>
      </c>
      <c r="N5" s="99">
        <v>32</v>
      </c>
      <c r="O5" s="99">
        <v>49</v>
      </c>
      <c r="P5" s="159">
        <v>49</v>
      </c>
      <c r="Q5" s="99" t="s">
        <v>726</v>
      </c>
      <c r="R5" s="99">
        <v>6</v>
      </c>
      <c r="S5" s="99">
        <v>17</v>
      </c>
      <c r="T5" s="99">
        <v>9</v>
      </c>
      <c r="U5" s="99" t="s">
        <v>726</v>
      </c>
      <c r="V5" s="99">
        <v>8</v>
      </c>
      <c r="W5" s="99">
        <v>15</v>
      </c>
      <c r="X5" s="99">
        <v>9</v>
      </c>
      <c r="Y5" s="99">
        <v>36</v>
      </c>
      <c r="Z5" s="99">
        <v>17</v>
      </c>
      <c r="AA5" s="99" t="s">
        <v>726</v>
      </c>
      <c r="AB5" s="99" t="s">
        <v>726</v>
      </c>
      <c r="AC5" s="99" t="s">
        <v>726</v>
      </c>
      <c r="AD5" s="98" t="s">
        <v>411</v>
      </c>
      <c r="AE5" s="100">
        <v>0.12582490101187857</v>
      </c>
      <c r="AF5" s="100">
        <v>0.16</v>
      </c>
      <c r="AG5" s="98" t="s">
        <v>726</v>
      </c>
      <c r="AH5" s="98">
        <v>263.96832380114387</v>
      </c>
      <c r="AI5" s="100">
        <v>0.011000000000000001</v>
      </c>
      <c r="AJ5" s="100">
        <v>0.665236</v>
      </c>
      <c r="AK5" s="100">
        <v>0.663755</v>
      </c>
      <c r="AL5" s="100">
        <v>0.745856</v>
      </c>
      <c r="AM5" s="100">
        <v>0.418269</v>
      </c>
      <c r="AN5" s="100">
        <v>0.410256</v>
      </c>
      <c r="AO5" s="98">
        <v>2155.741311042675</v>
      </c>
      <c r="AP5" s="158">
        <v>1.274194565</v>
      </c>
      <c r="AQ5" s="100" t="s">
        <v>726</v>
      </c>
      <c r="AR5" s="100" t="s">
        <v>726</v>
      </c>
      <c r="AS5" s="98">
        <v>747.9102507699076</v>
      </c>
      <c r="AT5" s="98">
        <v>395.9524857017158</v>
      </c>
      <c r="AU5" s="98" t="s">
        <v>726</v>
      </c>
      <c r="AV5" s="98">
        <v>351.9577650681918</v>
      </c>
      <c r="AW5" s="98">
        <v>659.9208095028597</v>
      </c>
      <c r="AX5" s="98">
        <v>395.9524857017158</v>
      </c>
      <c r="AY5" s="98">
        <v>1583.809942806863</v>
      </c>
      <c r="AZ5" s="98">
        <v>747.9102507699076</v>
      </c>
      <c r="BA5" s="100" t="s">
        <v>726</v>
      </c>
      <c r="BB5" s="100" t="s">
        <v>726</v>
      </c>
      <c r="BC5" s="100" t="s">
        <v>726</v>
      </c>
      <c r="BD5" s="158">
        <v>0.9426561737</v>
      </c>
      <c r="BE5" s="158">
        <v>1.684552765</v>
      </c>
      <c r="BF5" s="162">
        <v>233</v>
      </c>
      <c r="BG5" s="162">
        <v>229</v>
      </c>
      <c r="BH5" s="162">
        <v>543</v>
      </c>
      <c r="BI5" s="162">
        <v>208</v>
      </c>
      <c r="BJ5" s="162">
        <v>78</v>
      </c>
      <c r="BK5" s="97"/>
      <c r="BL5" s="97"/>
      <c r="BM5" s="97"/>
      <c r="BN5" s="97"/>
    </row>
    <row r="6" spans="1:66" ht="12.75">
      <c r="A6" s="79" t="s">
        <v>639</v>
      </c>
      <c r="B6" s="79" t="s">
        <v>329</v>
      </c>
      <c r="C6" s="79" t="s">
        <v>580</v>
      </c>
      <c r="D6" s="99">
        <v>5345</v>
      </c>
      <c r="E6" s="99">
        <v>773</v>
      </c>
      <c r="F6" s="99" t="s">
        <v>434</v>
      </c>
      <c r="G6" s="99">
        <v>24</v>
      </c>
      <c r="H6" s="99">
        <v>7</v>
      </c>
      <c r="I6" s="99">
        <v>45</v>
      </c>
      <c r="J6" s="99">
        <v>435</v>
      </c>
      <c r="K6" s="99">
        <v>262</v>
      </c>
      <c r="L6" s="99">
        <v>1208</v>
      </c>
      <c r="M6" s="99">
        <v>296</v>
      </c>
      <c r="N6" s="99">
        <v>115</v>
      </c>
      <c r="O6" s="99">
        <v>99</v>
      </c>
      <c r="P6" s="159">
        <v>99</v>
      </c>
      <c r="Q6" s="99">
        <v>15</v>
      </c>
      <c r="R6" s="99">
        <v>28</v>
      </c>
      <c r="S6" s="99">
        <v>22</v>
      </c>
      <c r="T6" s="99">
        <v>13</v>
      </c>
      <c r="U6" s="99" t="s">
        <v>726</v>
      </c>
      <c r="V6" s="99">
        <v>23</v>
      </c>
      <c r="W6" s="99">
        <v>26</v>
      </c>
      <c r="X6" s="99">
        <v>17</v>
      </c>
      <c r="Y6" s="99">
        <v>40</v>
      </c>
      <c r="Z6" s="99">
        <v>18</v>
      </c>
      <c r="AA6" s="99" t="s">
        <v>726</v>
      </c>
      <c r="AB6" s="99" t="s">
        <v>726</v>
      </c>
      <c r="AC6" s="99" t="s">
        <v>726</v>
      </c>
      <c r="AD6" s="98" t="s">
        <v>411</v>
      </c>
      <c r="AE6" s="100">
        <v>0.14462114125350795</v>
      </c>
      <c r="AF6" s="100">
        <v>0.06</v>
      </c>
      <c r="AG6" s="98">
        <v>449.0177736202058</v>
      </c>
      <c r="AH6" s="98">
        <v>130.96351730589336</v>
      </c>
      <c r="AI6" s="100">
        <v>0.008</v>
      </c>
      <c r="AJ6" s="100">
        <v>0.769912</v>
      </c>
      <c r="AK6" s="100">
        <v>0.770588</v>
      </c>
      <c r="AL6" s="100">
        <v>0.813468</v>
      </c>
      <c r="AM6" s="100">
        <v>0.605317</v>
      </c>
      <c r="AN6" s="100">
        <v>0.614973</v>
      </c>
      <c r="AO6" s="98">
        <v>1852.1983161833489</v>
      </c>
      <c r="AP6" s="158">
        <v>1.05320343</v>
      </c>
      <c r="AQ6" s="100">
        <v>0.15151515151515152</v>
      </c>
      <c r="AR6" s="100">
        <v>0.5357142857142857</v>
      </c>
      <c r="AS6" s="98">
        <v>411.599625818522</v>
      </c>
      <c r="AT6" s="98">
        <v>243.2179607109448</v>
      </c>
      <c r="AU6" s="98" t="s">
        <v>726</v>
      </c>
      <c r="AV6" s="98">
        <v>430.3086997193639</v>
      </c>
      <c r="AW6" s="98">
        <v>486.4359214218896</v>
      </c>
      <c r="AX6" s="98">
        <v>318.05425631431245</v>
      </c>
      <c r="AY6" s="98">
        <v>748.3629560336764</v>
      </c>
      <c r="AZ6" s="98">
        <v>336.7633302151543</v>
      </c>
      <c r="BA6" s="100" t="s">
        <v>726</v>
      </c>
      <c r="BB6" s="100" t="s">
        <v>726</v>
      </c>
      <c r="BC6" s="100" t="s">
        <v>726</v>
      </c>
      <c r="BD6" s="158">
        <v>0.8559917450000001</v>
      </c>
      <c r="BE6" s="158">
        <v>1.282237396</v>
      </c>
      <c r="BF6" s="162">
        <v>565</v>
      </c>
      <c r="BG6" s="162">
        <v>340</v>
      </c>
      <c r="BH6" s="162">
        <v>1485</v>
      </c>
      <c r="BI6" s="162">
        <v>489</v>
      </c>
      <c r="BJ6" s="162">
        <v>187</v>
      </c>
      <c r="BK6" s="97"/>
      <c r="BL6" s="97"/>
      <c r="BM6" s="97"/>
      <c r="BN6" s="97"/>
    </row>
    <row r="7" spans="1:66" ht="12.75">
      <c r="A7" s="79" t="s">
        <v>626</v>
      </c>
      <c r="B7" s="79" t="s">
        <v>316</v>
      </c>
      <c r="C7" s="79" t="s">
        <v>580</v>
      </c>
      <c r="D7" s="99">
        <v>8552</v>
      </c>
      <c r="E7" s="99">
        <v>1228</v>
      </c>
      <c r="F7" s="99" t="s">
        <v>431</v>
      </c>
      <c r="G7" s="99">
        <v>33</v>
      </c>
      <c r="H7" s="99">
        <v>18</v>
      </c>
      <c r="I7" s="99">
        <v>116</v>
      </c>
      <c r="J7" s="99">
        <v>41</v>
      </c>
      <c r="K7" s="99">
        <v>16</v>
      </c>
      <c r="L7" s="99">
        <v>247</v>
      </c>
      <c r="M7" s="99">
        <v>316</v>
      </c>
      <c r="N7" s="99">
        <v>119</v>
      </c>
      <c r="O7" s="99">
        <v>76</v>
      </c>
      <c r="P7" s="159">
        <v>76</v>
      </c>
      <c r="Q7" s="99">
        <v>11</v>
      </c>
      <c r="R7" s="99">
        <v>24</v>
      </c>
      <c r="S7" s="99">
        <v>17</v>
      </c>
      <c r="T7" s="99">
        <v>8</v>
      </c>
      <c r="U7" s="99" t="s">
        <v>726</v>
      </c>
      <c r="V7" s="99">
        <v>12</v>
      </c>
      <c r="W7" s="99">
        <v>47</v>
      </c>
      <c r="X7" s="99">
        <v>23</v>
      </c>
      <c r="Y7" s="99">
        <v>83</v>
      </c>
      <c r="Z7" s="99">
        <v>43</v>
      </c>
      <c r="AA7" s="99" t="s">
        <v>726</v>
      </c>
      <c r="AB7" s="99" t="s">
        <v>726</v>
      </c>
      <c r="AC7" s="99" t="s">
        <v>726</v>
      </c>
      <c r="AD7" s="98" t="s">
        <v>411</v>
      </c>
      <c r="AE7" s="100">
        <v>0.14359214218896166</v>
      </c>
      <c r="AF7" s="100">
        <v>0.2</v>
      </c>
      <c r="AG7" s="98">
        <v>385.87464920486434</v>
      </c>
      <c r="AH7" s="98">
        <v>210.47708138447146</v>
      </c>
      <c r="AI7" s="100">
        <v>0.013999999999999999</v>
      </c>
      <c r="AJ7" s="100">
        <v>0.42268</v>
      </c>
      <c r="AK7" s="100">
        <v>0.444444</v>
      </c>
      <c r="AL7" s="100">
        <v>0.70977</v>
      </c>
      <c r="AM7" s="100">
        <v>0.426451</v>
      </c>
      <c r="AN7" s="100">
        <v>0.455939</v>
      </c>
      <c r="AO7" s="98">
        <v>888.6810102899907</v>
      </c>
      <c r="AP7" s="158">
        <v>0.5127949905</v>
      </c>
      <c r="AQ7" s="100">
        <v>0.14473684210526316</v>
      </c>
      <c r="AR7" s="100">
        <v>0.4583333333333333</v>
      </c>
      <c r="AS7" s="98">
        <v>198.78391019644528</v>
      </c>
      <c r="AT7" s="98">
        <v>93.54536950420955</v>
      </c>
      <c r="AU7" s="98" t="s">
        <v>726</v>
      </c>
      <c r="AV7" s="98">
        <v>140.31805425631433</v>
      </c>
      <c r="AW7" s="98">
        <v>549.5790458372311</v>
      </c>
      <c r="AX7" s="98">
        <v>268.94293732460244</v>
      </c>
      <c r="AY7" s="98">
        <v>970.533208606174</v>
      </c>
      <c r="AZ7" s="98">
        <v>502.8063610851263</v>
      </c>
      <c r="BA7" s="100" t="s">
        <v>726</v>
      </c>
      <c r="BB7" s="100" t="s">
        <v>726</v>
      </c>
      <c r="BC7" s="100" t="s">
        <v>726</v>
      </c>
      <c r="BD7" s="158">
        <v>0.4040241241</v>
      </c>
      <c r="BE7" s="158">
        <v>0.641839447</v>
      </c>
      <c r="BF7" s="162">
        <v>97</v>
      </c>
      <c r="BG7" s="162">
        <v>36</v>
      </c>
      <c r="BH7" s="162">
        <v>348</v>
      </c>
      <c r="BI7" s="162">
        <v>741</v>
      </c>
      <c r="BJ7" s="162">
        <v>261</v>
      </c>
      <c r="BK7" s="97"/>
      <c r="BL7" s="97"/>
      <c r="BM7" s="97"/>
      <c r="BN7" s="97"/>
    </row>
    <row r="8" spans="1:66" ht="12.75">
      <c r="A8" s="79" t="s">
        <v>681</v>
      </c>
      <c r="B8" s="79" t="s">
        <v>372</v>
      </c>
      <c r="C8" s="79" t="s">
        <v>580</v>
      </c>
      <c r="D8" s="99">
        <v>4031</v>
      </c>
      <c r="E8" s="99">
        <v>528</v>
      </c>
      <c r="F8" s="99" t="s">
        <v>432</v>
      </c>
      <c r="G8" s="99">
        <v>11</v>
      </c>
      <c r="H8" s="99">
        <v>10</v>
      </c>
      <c r="I8" s="99">
        <v>71</v>
      </c>
      <c r="J8" s="99">
        <v>257</v>
      </c>
      <c r="K8" s="99">
        <v>252</v>
      </c>
      <c r="L8" s="99">
        <v>729</v>
      </c>
      <c r="M8" s="99">
        <v>156</v>
      </c>
      <c r="N8" s="99">
        <v>53</v>
      </c>
      <c r="O8" s="99">
        <v>29</v>
      </c>
      <c r="P8" s="159">
        <v>29</v>
      </c>
      <c r="Q8" s="99" t="s">
        <v>726</v>
      </c>
      <c r="R8" s="99">
        <v>17</v>
      </c>
      <c r="S8" s="99">
        <v>11</v>
      </c>
      <c r="T8" s="99" t="s">
        <v>726</v>
      </c>
      <c r="U8" s="99" t="s">
        <v>726</v>
      </c>
      <c r="V8" s="99" t="s">
        <v>726</v>
      </c>
      <c r="W8" s="99">
        <v>12</v>
      </c>
      <c r="X8" s="99">
        <v>29</v>
      </c>
      <c r="Y8" s="99">
        <v>43</v>
      </c>
      <c r="Z8" s="99">
        <v>18</v>
      </c>
      <c r="AA8" s="99" t="s">
        <v>726</v>
      </c>
      <c r="AB8" s="99" t="s">
        <v>726</v>
      </c>
      <c r="AC8" s="99" t="s">
        <v>726</v>
      </c>
      <c r="AD8" s="98" t="s">
        <v>411</v>
      </c>
      <c r="AE8" s="100">
        <v>0.13098486727859093</v>
      </c>
      <c r="AF8" s="100">
        <v>0.1</v>
      </c>
      <c r="AG8" s="98">
        <v>272.8851401637311</v>
      </c>
      <c r="AH8" s="98">
        <v>248.07740014884644</v>
      </c>
      <c r="AI8" s="100">
        <v>0.018000000000000002</v>
      </c>
      <c r="AJ8" s="100">
        <v>0.664083</v>
      </c>
      <c r="AK8" s="100">
        <v>0.666667</v>
      </c>
      <c r="AL8" s="100">
        <v>0.718935</v>
      </c>
      <c r="AM8" s="100">
        <v>0.420485</v>
      </c>
      <c r="AN8" s="100">
        <v>0.40458</v>
      </c>
      <c r="AO8" s="98">
        <v>719.4244604316547</v>
      </c>
      <c r="AP8" s="158">
        <v>0.4224535751</v>
      </c>
      <c r="AQ8" s="100" t="s">
        <v>726</v>
      </c>
      <c r="AR8" s="100" t="s">
        <v>726</v>
      </c>
      <c r="AS8" s="98">
        <v>272.8851401637311</v>
      </c>
      <c r="AT8" s="98" t="s">
        <v>726</v>
      </c>
      <c r="AU8" s="98" t="s">
        <v>726</v>
      </c>
      <c r="AV8" s="98" t="s">
        <v>726</v>
      </c>
      <c r="AW8" s="98">
        <v>297.6928801786157</v>
      </c>
      <c r="AX8" s="98">
        <v>719.4244604316547</v>
      </c>
      <c r="AY8" s="98">
        <v>1066.7328206400398</v>
      </c>
      <c r="AZ8" s="98">
        <v>446.5393202679236</v>
      </c>
      <c r="BA8" s="100" t="s">
        <v>726</v>
      </c>
      <c r="BB8" s="100" t="s">
        <v>726</v>
      </c>
      <c r="BC8" s="100" t="s">
        <v>726</v>
      </c>
      <c r="BD8" s="158">
        <v>0.2829237938</v>
      </c>
      <c r="BE8" s="158">
        <v>0.6067137909</v>
      </c>
      <c r="BF8" s="162">
        <v>387</v>
      </c>
      <c r="BG8" s="162">
        <v>378</v>
      </c>
      <c r="BH8" s="162">
        <v>1014</v>
      </c>
      <c r="BI8" s="162">
        <v>371</v>
      </c>
      <c r="BJ8" s="162">
        <v>131</v>
      </c>
      <c r="BK8" s="97"/>
      <c r="BL8" s="97"/>
      <c r="BM8" s="97"/>
      <c r="BN8" s="97"/>
    </row>
    <row r="9" spans="1:66" ht="12.75">
      <c r="A9" s="79" t="s">
        <v>643</v>
      </c>
      <c r="B9" s="79" t="s">
        <v>333</v>
      </c>
      <c r="C9" s="79" t="s">
        <v>580</v>
      </c>
      <c r="D9" s="99">
        <v>11760</v>
      </c>
      <c r="E9" s="99">
        <v>1860</v>
      </c>
      <c r="F9" s="99" t="s">
        <v>432</v>
      </c>
      <c r="G9" s="99">
        <v>50</v>
      </c>
      <c r="H9" s="99">
        <v>22</v>
      </c>
      <c r="I9" s="99">
        <v>243</v>
      </c>
      <c r="J9" s="99">
        <v>1078</v>
      </c>
      <c r="K9" s="99">
        <v>999</v>
      </c>
      <c r="L9" s="99">
        <v>2400</v>
      </c>
      <c r="M9" s="99">
        <v>747</v>
      </c>
      <c r="N9" s="99">
        <v>285</v>
      </c>
      <c r="O9" s="99">
        <v>171</v>
      </c>
      <c r="P9" s="159">
        <v>171</v>
      </c>
      <c r="Q9" s="99">
        <v>20</v>
      </c>
      <c r="R9" s="99">
        <v>45</v>
      </c>
      <c r="S9" s="99">
        <v>33</v>
      </c>
      <c r="T9" s="99">
        <v>17</v>
      </c>
      <c r="U9" s="99">
        <v>16</v>
      </c>
      <c r="V9" s="99">
        <v>54</v>
      </c>
      <c r="W9" s="99">
        <v>80</v>
      </c>
      <c r="X9" s="99">
        <v>56</v>
      </c>
      <c r="Y9" s="99">
        <v>155</v>
      </c>
      <c r="Z9" s="99">
        <v>55</v>
      </c>
      <c r="AA9" s="99" t="s">
        <v>726</v>
      </c>
      <c r="AB9" s="99" t="s">
        <v>726</v>
      </c>
      <c r="AC9" s="99" t="s">
        <v>726</v>
      </c>
      <c r="AD9" s="98" t="s">
        <v>411</v>
      </c>
      <c r="AE9" s="100">
        <v>0.15816326530612246</v>
      </c>
      <c r="AF9" s="100">
        <v>0.11</v>
      </c>
      <c r="AG9" s="98">
        <v>425.1700680272109</v>
      </c>
      <c r="AH9" s="98">
        <v>187.0748299319728</v>
      </c>
      <c r="AI9" s="100">
        <v>0.021</v>
      </c>
      <c r="AJ9" s="100">
        <v>0.755431</v>
      </c>
      <c r="AK9" s="100">
        <v>0.771429</v>
      </c>
      <c r="AL9" s="100">
        <v>0.810811</v>
      </c>
      <c r="AM9" s="100">
        <v>0.581323</v>
      </c>
      <c r="AN9" s="100">
        <v>0.605096</v>
      </c>
      <c r="AO9" s="98">
        <v>1454.0816326530612</v>
      </c>
      <c r="AP9" s="158">
        <v>0.7890904236</v>
      </c>
      <c r="AQ9" s="100">
        <v>0.11695906432748537</v>
      </c>
      <c r="AR9" s="100">
        <v>0.4444444444444444</v>
      </c>
      <c r="AS9" s="98">
        <v>280.61224489795916</v>
      </c>
      <c r="AT9" s="98">
        <v>144.5578231292517</v>
      </c>
      <c r="AU9" s="98">
        <v>136.05442176870747</v>
      </c>
      <c r="AV9" s="98">
        <v>459.18367346938777</v>
      </c>
      <c r="AW9" s="98">
        <v>680.2721088435375</v>
      </c>
      <c r="AX9" s="98">
        <v>476.1904761904762</v>
      </c>
      <c r="AY9" s="98">
        <v>1318.0272108843537</v>
      </c>
      <c r="AZ9" s="98">
        <v>467.687074829932</v>
      </c>
      <c r="BA9" s="100" t="s">
        <v>726</v>
      </c>
      <c r="BB9" s="100" t="s">
        <v>726</v>
      </c>
      <c r="BC9" s="100" t="s">
        <v>726</v>
      </c>
      <c r="BD9" s="158">
        <v>0.6752492523</v>
      </c>
      <c r="BE9" s="158">
        <v>0.9166293335</v>
      </c>
      <c r="BF9" s="162">
        <v>1427</v>
      </c>
      <c r="BG9" s="162">
        <v>1295</v>
      </c>
      <c r="BH9" s="162">
        <v>2960</v>
      </c>
      <c r="BI9" s="162">
        <v>1285</v>
      </c>
      <c r="BJ9" s="162">
        <v>471</v>
      </c>
      <c r="BK9" s="97"/>
      <c r="BL9" s="97"/>
      <c r="BM9" s="97"/>
      <c r="BN9" s="97"/>
    </row>
    <row r="10" spans="1:66" ht="12.75">
      <c r="A10" s="79" t="s">
        <v>676</v>
      </c>
      <c r="B10" s="79" t="s">
        <v>367</v>
      </c>
      <c r="C10" s="79" t="s">
        <v>580</v>
      </c>
      <c r="D10" s="99">
        <v>7182</v>
      </c>
      <c r="E10" s="99">
        <v>1440</v>
      </c>
      <c r="F10" s="99" t="s">
        <v>434</v>
      </c>
      <c r="G10" s="99">
        <v>29</v>
      </c>
      <c r="H10" s="99">
        <v>25</v>
      </c>
      <c r="I10" s="99">
        <v>154</v>
      </c>
      <c r="J10" s="99">
        <v>797</v>
      </c>
      <c r="K10" s="99">
        <v>748</v>
      </c>
      <c r="L10" s="99">
        <v>1448</v>
      </c>
      <c r="M10" s="99">
        <v>485</v>
      </c>
      <c r="N10" s="99">
        <v>205</v>
      </c>
      <c r="O10" s="99">
        <v>210</v>
      </c>
      <c r="P10" s="159">
        <v>210</v>
      </c>
      <c r="Q10" s="99">
        <v>31</v>
      </c>
      <c r="R10" s="99">
        <v>48</v>
      </c>
      <c r="S10" s="99">
        <v>40</v>
      </c>
      <c r="T10" s="99">
        <v>47</v>
      </c>
      <c r="U10" s="99" t="s">
        <v>726</v>
      </c>
      <c r="V10" s="99">
        <v>38</v>
      </c>
      <c r="W10" s="99">
        <v>52</v>
      </c>
      <c r="X10" s="99">
        <v>23</v>
      </c>
      <c r="Y10" s="99">
        <v>67</v>
      </c>
      <c r="Z10" s="99">
        <v>76</v>
      </c>
      <c r="AA10" s="99" t="s">
        <v>726</v>
      </c>
      <c r="AB10" s="99" t="s">
        <v>726</v>
      </c>
      <c r="AC10" s="99" t="s">
        <v>726</v>
      </c>
      <c r="AD10" s="98" t="s">
        <v>411</v>
      </c>
      <c r="AE10" s="100">
        <v>0.20050125313283207</v>
      </c>
      <c r="AF10" s="100">
        <v>0.07</v>
      </c>
      <c r="AG10" s="98">
        <v>403.7872458925091</v>
      </c>
      <c r="AH10" s="98">
        <v>348.09245335561127</v>
      </c>
      <c r="AI10" s="100">
        <v>0.021</v>
      </c>
      <c r="AJ10" s="100">
        <v>0.827622</v>
      </c>
      <c r="AK10" s="100">
        <v>0.805167</v>
      </c>
      <c r="AL10" s="100">
        <v>0.782703</v>
      </c>
      <c r="AM10" s="100">
        <v>0.566589</v>
      </c>
      <c r="AN10" s="100">
        <v>0.599415</v>
      </c>
      <c r="AO10" s="98">
        <v>2923.9766081871344</v>
      </c>
      <c r="AP10" s="158">
        <v>1.399378052</v>
      </c>
      <c r="AQ10" s="100">
        <v>0.14761904761904762</v>
      </c>
      <c r="AR10" s="100">
        <v>0.6458333333333334</v>
      </c>
      <c r="AS10" s="98">
        <v>556.947925368978</v>
      </c>
      <c r="AT10" s="98">
        <v>654.4138123085492</v>
      </c>
      <c r="AU10" s="98" t="s">
        <v>726</v>
      </c>
      <c r="AV10" s="98">
        <v>529.1005291005291</v>
      </c>
      <c r="AW10" s="98">
        <v>724.0323029796714</v>
      </c>
      <c r="AX10" s="98">
        <v>320.24505708716237</v>
      </c>
      <c r="AY10" s="98">
        <v>932.8877749930382</v>
      </c>
      <c r="AZ10" s="98">
        <v>1058.2010582010582</v>
      </c>
      <c r="BA10" s="100" t="s">
        <v>726</v>
      </c>
      <c r="BB10" s="100" t="s">
        <v>726</v>
      </c>
      <c r="BC10" s="100" t="s">
        <v>726</v>
      </c>
      <c r="BD10" s="158">
        <v>1.216500015</v>
      </c>
      <c r="BE10" s="158">
        <v>1.601988831</v>
      </c>
      <c r="BF10" s="162">
        <v>963</v>
      </c>
      <c r="BG10" s="162">
        <v>929</v>
      </c>
      <c r="BH10" s="162">
        <v>1850</v>
      </c>
      <c r="BI10" s="162">
        <v>856</v>
      </c>
      <c r="BJ10" s="162">
        <v>342</v>
      </c>
      <c r="BK10" s="97"/>
      <c r="BL10" s="97"/>
      <c r="BM10" s="97"/>
      <c r="BN10" s="97"/>
    </row>
    <row r="11" spans="1:66" ht="12.75">
      <c r="A11" s="79" t="s">
        <v>707</v>
      </c>
      <c r="B11" s="79" t="s">
        <v>398</v>
      </c>
      <c r="C11" s="79" t="s">
        <v>580</v>
      </c>
      <c r="D11" s="99">
        <v>2464</v>
      </c>
      <c r="E11" s="99">
        <v>470</v>
      </c>
      <c r="F11" s="99" t="s">
        <v>434</v>
      </c>
      <c r="G11" s="99">
        <v>11</v>
      </c>
      <c r="H11" s="99" t="s">
        <v>726</v>
      </c>
      <c r="I11" s="99">
        <v>34</v>
      </c>
      <c r="J11" s="99">
        <v>220</v>
      </c>
      <c r="K11" s="99" t="s">
        <v>726</v>
      </c>
      <c r="L11" s="99">
        <v>491</v>
      </c>
      <c r="M11" s="99">
        <v>193</v>
      </c>
      <c r="N11" s="99">
        <v>75</v>
      </c>
      <c r="O11" s="99">
        <v>50</v>
      </c>
      <c r="P11" s="159">
        <v>50</v>
      </c>
      <c r="Q11" s="99" t="s">
        <v>726</v>
      </c>
      <c r="R11" s="99">
        <v>9</v>
      </c>
      <c r="S11" s="99">
        <v>13</v>
      </c>
      <c r="T11" s="99">
        <v>11</v>
      </c>
      <c r="U11" s="99" t="s">
        <v>726</v>
      </c>
      <c r="V11" s="99" t="s">
        <v>726</v>
      </c>
      <c r="W11" s="99">
        <v>14</v>
      </c>
      <c r="X11" s="99">
        <v>11</v>
      </c>
      <c r="Y11" s="99">
        <v>24</v>
      </c>
      <c r="Z11" s="99">
        <v>11</v>
      </c>
      <c r="AA11" s="99" t="s">
        <v>726</v>
      </c>
      <c r="AB11" s="99" t="s">
        <v>726</v>
      </c>
      <c r="AC11" s="99" t="s">
        <v>726</v>
      </c>
      <c r="AD11" s="98" t="s">
        <v>411</v>
      </c>
      <c r="AE11" s="100">
        <v>0.19074675324675325</v>
      </c>
      <c r="AF11" s="100">
        <v>0.05</v>
      </c>
      <c r="AG11" s="98">
        <v>446.42857142857144</v>
      </c>
      <c r="AH11" s="98" t="s">
        <v>726</v>
      </c>
      <c r="AI11" s="100">
        <v>0.013999999999999999</v>
      </c>
      <c r="AJ11" s="100">
        <v>0.658683</v>
      </c>
      <c r="AK11" s="100" t="s">
        <v>726</v>
      </c>
      <c r="AL11" s="100">
        <v>0.800979</v>
      </c>
      <c r="AM11" s="100">
        <v>0.595679</v>
      </c>
      <c r="AN11" s="100">
        <v>0.56391</v>
      </c>
      <c r="AO11" s="98">
        <v>2029.2207792207791</v>
      </c>
      <c r="AP11" s="158">
        <v>1.007317047</v>
      </c>
      <c r="AQ11" s="100" t="s">
        <v>726</v>
      </c>
      <c r="AR11" s="100" t="s">
        <v>726</v>
      </c>
      <c r="AS11" s="98">
        <v>527.5974025974026</v>
      </c>
      <c r="AT11" s="98">
        <v>446.42857142857144</v>
      </c>
      <c r="AU11" s="98" t="s">
        <v>726</v>
      </c>
      <c r="AV11" s="98" t="s">
        <v>726</v>
      </c>
      <c r="AW11" s="98">
        <v>568.1818181818181</v>
      </c>
      <c r="AX11" s="98">
        <v>446.42857142857144</v>
      </c>
      <c r="AY11" s="98">
        <v>974.025974025974</v>
      </c>
      <c r="AZ11" s="98">
        <v>446.42857142857144</v>
      </c>
      <c r="BA11" s="100" t="s">
        <v>726</v>
      </c>
      <c r="BB11" s="100" t="s">
        <v>726</v>
      </c>
      <c r="BC11" s="100" t="s">
        <v>726</v>
      </c>
      <c r="BD11" s="158">
        <v>0.7476501465</v>
      </c>
      <c r="BE11" s="158">
        <v>1.328022003</v>
      </c>
      <c r="BF11" s="162">
        <v>334</v>
      </c>
      <c r="BG11" s="162" t="s">
        <v>726</v>
      </c>
      <c r="BH11" s="162">
        <v>613</v>
      </c>
      <c r="BI11" s="162">
        <v>324</v>
      </c>
      <c r="BJ11" s="162">
        <v>133</v>
      </c>
      <c r="BK11" s="97"/>
      <c r="BL11" s="97"/>
      <c r="BM11" s="97"/>
      <c r="BN11" s="97"/>
    </row>
    <row r="12" spans="1:66" ht="12.75">
      <c r="A12" s="79" t="s">
        <v>595</v>
      </c>
      <c r="B12" s="79" t="s">
        <v>282</v>
      </c>
      <c r="C12" s="79" t="s">
        <v>580</v>
      </c>
      <c r="D12" s="99">
        <v>7915</v>
      </c>
      <c r="E12" s="99">
        <v>1419</v>
      </c>
      <c r="F12" s="99" t="s">
        <v>434</v>
      </c>
      <c r="G12" s="99">
        <v>33</v>
      </c>
      <c r="H12" s="99">
        <v>15</v>
      </c>
      <c r="I12" s="99">
        <v>135</v>
      </c>
      <c r="J12" s="99">
        <v>833</v>
      </c>
      <c r="K12" s="99">
        <v>162</v>
      </c>
      <c r="L12" s="99">
        <v>1665</v>
      </c>
      <c r="M12" s="99">
        <v>709</v>
      </c>
      <c r="N12" s="99">
        <v>273</v>
      </c>
      <c r="O12" s="99">
        <v>188</v>
      </c>
      <c r="P12" s="159">
        <v>188</v>
      </c>
      <c r="Q12" s="99">
        <v>16</v>
      </c>
      <c r="R12" s="99">
        <v>28</v>
      </c>
      <c r="S12" s="99">
        <v>42</v>
      </c>
      <c r="T12" s="99">
        <v>30</v>
      </c>
      <c r="U12" s="99">
        <v>6</v>
      </c>
      <c r="V12" s="99">
        <v>54</v>
      </c>
      <c r="W12" s="99">
        <v>53</v>
      </c>
      <c r="X12" s="99">
        <v>24</v>
      </c>
      <c r="Y12" s="99">
        <v>60</v>
      </c>
      <c r="Z12" s="99">
        <v>26</v>
      </c>
      <c r="AA12" s="99" t="s">
        <v>726</v>
      </c>
      <c r="AB12" s="99" t="s">
        <v>726</v>
      </c>
      <c r="AC12" s="99" t="s">
        <v>726</v>
      </c>
      <c r="AD12" s="98" t="s">
        <v>411</v>
      </c>
      <c r="AE12" s="100">
        <v>0.17927984838913455</v>
      </c>
      <c r="AF12" s="100">
        <v>0.06</v>
      </c>
      <c r="AG12" s="98">
        <v>416.92987997473153</v>
      </c>
      <c r="AH12" s="98">
        <v>189.51358180669615</v>
      </c>
      <c r="AI12" s="100">
        <v>0.017</v>
      </c>
      <c r="AJ12" s="100">
        <v>0.711966</v>
      </c>
      <c r="AK12" s="100">
        <v>0.760563</v>
      </c>
      <c r="AL12" s="100">
        <v>0.812988</v>
      </c>
      <c r="AM12" s="100">
        <v>0.62193</v>
      </c>
      <c r="AN12" s="100">
        <v>0.654676</v>
      </c>
      <c r="AO12" s="98">
        <v>2375.2368919772584</v>
      </c>
      <c r="AP12" s="158">
        <v>1.181088181</v>
      </c>
      <c r="AQ12" s="100">
        <v>0.0851063829787234</v>
      </c>
      <c r="AR12" s="100">
        <v>0.5714285714285714</v>
      </c>
      <c r="AS12" s="98">
        <v>530.6380290587492</v>
      </c>
      <c r="AT12" s="98">
        <v>379.0271636133923</v>
      </c>
      <c r="AU12" s="98">
        <v>75.80543272267846</v>
      </c>
      <c r="AV12" s="98">
        <v>682.2488945041061</v>
      </c>
      <c r="AW12" s="98">
        <v>669.6146557169931</v>
      </c>
      <c r="AX12" s="98">
        <v>303.22173089071384</v>
      </c>
      <c r="AY12" s="98">
        <v>758.0543272267846</v>
      </c>
      <c r="AZ12" s="98">
        <v>328.49020846494</v>
      </c>
      <c r="BA12" s="100" t="s">
        <v>726</v>
      </c>
      <c r="BB12" s="100" t="s">
        <v>726</v>
      </c>
      <c r="BC12" s="100" t="s">
        <v>726</v>
      </c>
      <c r="BD12" s="158">
        <v>1.018284302</v>
      </c>
      <c r="BE12" s="158">
        <v>1.362519379</v>
      </c>
      <c r="BF12" s="162">
        <v>1170</v>
      </c>
      <c r="BG12" s="162">
        <v>213</v>
      </c>
      <c r="BH12" s="162">
        <v>2048</v>
      </c>
      <c r="BI12" s="162">
        <v>1140</v>
      </c>
      <c r="BJ12" s="162">
        <v>417</v>
      </c>
      <c r="BK12" s="97"/>
      <c r="BL12" s="97"/>
      <c r="BM12" s="97"/>
      <c r="BN12" s="97"/>
    </row>
    <row r="13" spans="1:66" ht="12.75">
      <c r="A13" s="79" t="s">
        <v>677</v>
      </c>
      <c r="B13" s="79" t="s">
        <v>368</v>
      </c>
      <c r="C13" s="79" t="s">
        <v>580</v>
      </c>
      <c r="D13" s="99">
        <v>12395</v>
      </c>
      <c r="E13" s="99">
        <v>2070</v>
      </c>
      <c r="F13" s="99" t="s">
        <v>434</v>
      </c>
      <c r="G13" s="99">
        <v>49</v>
      </c>
      <c r="H13" s="99">
        <v>30</v>
      </c>
      <c r="I13" s="99">
        <v>220</v>
      </c>
      <c r="J13" s="99">
        <v>997</v>
      </c>
      <c r="K13" s="99">
        <v>13</v>
      </c>
      <c r="L13" s="99">
        <v>2617</v>
      </c>
      <c r="M13" s="99">
        <v>685</v>
      </c>
      <c r="N13" s="99">
        <v>286</v>
      </c>
      <c r="O13" s="99">
        <v>143</v>
      </c>
      <c r="P13" s="159">
        <v>143</v>
      </c>
      <c r="Q13" s="99">
        <v>15</v>
      </c>
      <c r="R13" s="99">
        <v>38</v>
      </c>
      <c r="S13" s="99">
        <v>18</v>
      </c>
      <c r="T13" s="99">
        <v>26</v>
      </c>
      <c r="U13" s="99" t="s">
        <v>726</v>
      </c>
      <c r="V13" s="99">
        <v>31</v>
      </c>
      <c r="W13" s="99">
        <v>82</v>
      </c>
      <c r="X13" s="99">
        <v>45</v>
      </c>
      <c r="Y13" s="99">
        <v>115</v>
      </c>
      <c r="Z13" s="99">
        <v>54</v>
      </c>
      <c r="AA13" s="99" t="s">
        <v>726</v>
      </c>
      <c r="AB13" s="99" t="s">
        <v>726</v>
      </c>
      <c r="AC13" s="99" t="s">
        <v>726</v>
      </c>
      <c r="AD13" s="98" t="s">
        <v>411</v>
      </c>
      <c r="AE13" s="100">
        <v>0.16700282371924163</v>
      </c>
      <c r="AF13" s="100">
        <v>0.09</v>
      </c>
      <c r="AG13" s="98">
        <v>395.3206938281565</v>
      </c>
      <c r="AH13" s="98">
        <v>242.03307785397337</v>
      </c>
      <c r="AI13" s="100">
        <v>0.018000000000000002</v>
      </c>
      <c r="AJ13" s="100">
        <v>0.685695</v>
      </c>
      <c r="AK13" s="100">
        <v>0.541667</v>
      </c>
      <c r="AL13" s="100">
        <v>0.825292</v>
      </c>
      <c r="AM13" s="100">
        <v>0.567523</v>
      </c>
      <c r="AN13" s="100">
        <v>0.651481</v>
      </c>
      <c r="AO13" s="98">
        <v>1153.691004437273</v>
      </c>
      <c r="AP13" s="158">
        <v>0.6061439896</v>
      </c>
      <c r="AQ13" s="100">
        <v>0.1048951048951049</v>
      </c>
      <c r="AR13" s="100">
        <v>0.39473684210526316</v>
      </c>
      <c r="AS13" s="98">
        <v>145.21984671238403</v>
      </c>
      <c r="AT13" s="98">
        <v>209.76200080677694</v>
      </c>
      <c r="AU13" s="98" t="s">
        <v>726</v>
      </c>
      <c r="AV13" s="98">
        <v>250.1008471157725</v>
      </c>
      <c r="AW13" s="98">
        <v>661.5570794675273</v>
      </c>
      <c r="AX13" s="98">
        <v>363.04961678096004</v>
      </c>
      <c r="AY13" s="98">
        <v>927.793465106898</v>
      </c>
      <c r="AZ13" s="98">
        <v>435.6595401371521</v>
      </c>
      <c r="BA13" s="100" t="s">
        <v>726</v>
      </c>
      <c r="BB13" s="100" t="s">
        <v>726</v>
      </c>
      <c r="BC13" s="100" t="s">
        <v>726</v>
      </c>
      <c r="BD13" s="158">
        <v>0.5108703232</v>
      </c>
      <c r="BE13" s="158">
        <v>0.7140288544000001</v>
      </c>
      <c r="BF13" s="162">
        <v>1454</v>
      </c>
      <c r="BG13" s="162">
        <v>24</v>
      </c>
      <c r="BH13" s="162">
        <v>3171</v>
      </c>
      <c r="BI13" s="162">
        <v>1207</v>
      </c>
      <c r="BJ13" s="162">
        <v>439</v>
      </c>
      <c r="BK13" s="97"/>
      <c r="BL13" s="97"/>
      <c r="BM13" s="97"/>
      <c r="BN13" s="97"/>
    </row>
    <row r="14" spans="1:66" ht="12.75">
      <c r="A14" s="79" t="s">
        <v>691</v>
      </c>
      <c r="B14" s="79" t="s">
        <v>382</v>
      </c>
      <c r="C14" s="79" t="s">
        <v>580</v>
      </c>
      <c r="D14" s="99">
        <v>12766</v>
      </c>
      <c r="E14" s="99">
        <v>2318</v>
      </c>
      <c r="F14" s="99" t="s">
        <v>434</v>
      </c>
      <c r="G14" s="99">
        <v>65</v>
      </c>
      <c r="H14" s="99">
        <v>22</v>
      </c>
      <c r="I14" s="99">
        <v>257</v>
      </c>
      <c r="J14" s="99">
        <v>1177</v>
      </c>
      <c r="K14" s="99">
        <v>1116</v>
      </c>
      <c r="L14" s="99">
        <v>2557</v>
      </c>
      <c r="M14" s="99">
        <v>788</v>
      </c>
      <c r="N14" s="99">
        <v>347</v>
      </c>
      <c r="O14" s="99">
        <v>237</v>
      </c>
      <c r="P14" s="159">
        <v>237</v>
      </c>
      <c r="Q14" s="99">
        <v>15</v>
      </c>
      <c r="R14" s="99">
        <v>55</v>
      </c>
      <c r="S14" s="99">
        <v>65</v>
      </c>
      <c r="T14" s="99">
        <v>40</v>
      </c>
      <c r="U14" s="99">
        <v>13</v>
      </c>
      <c r="V14" s="99">
        <v>43</v>
      </c>
      <c r="W14" s="99">
        <v>67</v>
      </c>
      <c r="X14" s="99">
        <v>58</v>
      </c>
      <c r="Y14" s="99">
        <v>127</v>
      </c>
      <c r="Z14" s="99">
        <v>55</v>
      </c>
      <c r="AA14" s="99" t="s">
        <v>726</v>
      </c>
      <c r="AB14" s="99" t="s">
        <v>726</v>
      </c>
      <c r="AC14" s="99" t="s">
        <v>726</v>
      </c>
      <c r="AD14" s="98" t="s">
        <v>411</v>
      </c>
      <c r="AE14" s="100">
        <v>0.18157606141312863</v>
      </c>
      <c r="AF14" s="100">
        <v>0.08</v>
      </c>
      <c r="AG14" s="98">
        <v>509.1649694501018</v>
      </c>
      <c r="AH14" s="98">
        <v>172.3327588908037</v>
      </c>
      <c r="AI14" s="100">
        <v>0.02</v>
      </c>
      <c r="AJ14" s="100">
        <v>0.734248</v>
      </c>
      <c r="AK14" s="100">
        <v>0.724675</v>
      </c>
      <c r="AL14" s="100">
        <v>0.764653</v>
      </c>
      <c r="AM14" s="100">
        <v>0.543074</v>
      </c>
      <c r="AN14" s="100">
        <v>0.570724</v>
      </c>
      <c r="AO14" s="98">
        <v>1856.4938116872943</v>
      </c>
      <c r="AP14" s="158">
        <v>0.9417066193</v>
      </c>
      <c r="AQ14" s="100">
        <v>0.06329113924050633</v>
      </c>
      <c r="AR14" s="100">
        <v>0.2727272727272727</v>
      </c>
      <c r="AS14" s="98">
        <v>509.1649694501018</v>
      </c>
      <c r="AT14" s="98">
        <v>313.33228889237034</v>
      </c>
      <c r="AU14" s="98">
        <v>101.83299389002036</v>
      </c>
      <c r="AV14" s="98">
        <v>336.8322105592981</v>
      </c>
      <c r="AW14" s="98">
        <v>524.8315838947203</v>
      </c>
      <c r="AX14" s="98">
        <v>454.331818893937</v>
      </c>
      <c r="AY14" s="98">
        <v>994.8300172332758</v>
      </c>
      <c r="AZ14" s="98">
        <v>430.8318972270092</v>
      </c>
      <c r="BA14" s="100" t="s">
        <v>726</v>
      </c>
      <c r="BB14" s="100" t="s">
        <v>726</v>
      </c>
      <c r="BC14" s="100" t="s">
        <v>726</v>
      </c>
      <c r="BD14" s="158">
        <v>0.8256214905</v>
      </c>
      <c r="BE14" s="158">
        <v>1.069542618</v>
      </c>
      <c r="BF14" s="162">
        <v>1603</v>
      </c>
      <c r="BG14" s="162">
        <v>1540</v>
      </c>
      <c r="BH14" s="162">
        <v>3344</v>
      </c>
      <c r="BI14" s="162">
        <v>1451</v>
      </c>
      <c r="BJ14" s="162">
        <v>608</v>
      </c>
      <c r="BK14" s="97"/>
      <c r="BL14" s="97"/>
      <c r="BM14" s="97"/>
      <c r="BN14" s="97"/>
    </row>
    <row r="15" spans="1:66" ht="12.75">
      <c r="A15" s="79" t="s">
        <v>632</v>
      </c>
      <c r="B15" s="79" t="s">
        <v>322</v>
      </c>
      <c r="C15" s="79" t="s">
        <v>580</v>
      </c>
      <c r="D15" s="99">
        <v>3968</v>
      </c>
      <c r="E15" s="99">
        <v>820</v>
      </c>
      <c r="F15" s="99" t="s">
        <v>434</v>
      </c>
      <c r="G15" s="99">
        <v>20</v>
      </c>
      <c r="H15" s="99">
        <v>8</v>
      </c>
      <c r="I15" s="99">
        <v>76</v>
      </c>
      <c r="J15" s="99">
        <v>375</v>
      </c>
      <c r="K15" s="99">
        <v>10</v>
      </c>
      <c r="L15" s="99">
        <v>765</v>
      </c>
      <c r="M15" s="99">
        <v>265</v>
      </c>
      <c r="N15" s="99">
        <v>115</v>
      </c>
      <c r="O15" s="99">
        <v>82</v>
      </c>
      <c r="P15" s="159">
        <v>82</v>
      </c>
      <c r="Q15" s="99" t="s">
        <v>726</v>
      </c>
      <c r="R15" s="99">
        <v>17</v>
      </c>
      <c r="S15" s="99">
        <v>22</v>
      </c>
      <c r="T15" s="99">
        <v>19</v>
      </c>
      <c r="U15" s="99" t="s">
        <v>726</v>
      </c>
      <c r="V15" s="99" t="s">
        <v>726</v>
      </c>
      <c r="W15" s="99">
        <v>33</v>
      </c>
      <c r="X15" s="99">
        <v>19</v>
      </c>
      <c r="Y15" s="99">
        <v>42</v>
      </c>
      <c r="Z15" s="99">
        <v>26</v>
      </c>
      <c r="AA15" s="99" t="s">
        <v>726</v>
      </c>
      <c r="AB15" s="99" t="s">
        <v>726</v>
      </c>
      <c r="AC15" s="99" t="s">
        <v>726</v>
      </c>
      <c r="AD15" s="98" t="s">
        <v>411</v>
      </c>
      <c r="AE15" s="100">
        <v>0.20665322580645162</v>
      </c>
      <c r="AF15" s="100">
        <v>0.05</v>
      </c>
      <c r="AG15" s="98">
        <v>504.03225806451616</v>
      </c>
      <c r="AH15" s="98">
        <v>201.61290322580646</v>
      </c>
      <c r="AI15" s="100">
        <v>0.019</v>
      </c>
      <c r="AJ15" s="100">
        <v>0.753012</v>
      </c>
      <c r="AK15" s="100">
        <v>0.714286</v>
      </c>
      <c r="AL15" s="100">
        <v>0.807814</v>
      </c>
      <c r="AM15" s="100">
        <v>0.58114</v>
      </c>
      <c r="AN15" s="100">
        <v>0.649718</v>
      </c>
      <c r="AO15" s="98">
        <v>2066.532258064516</v>
      </c>
      <c r="AP15" s="158">
        <v>0.9845864867999999</v>
      </c>
      <c r="AQ15" s="100" t="s">
        <v>726</v>
      </c>
      <c r="AR15" s="100" t="s">
        <v>726</v>
      </c>
      <c r="AS15" s="98">
        <v>554.4354838709677</v>
      </c>
      <c r="AT15" s="98">
        <v>478.8306451612903</v>
      </c>
      <c r="AU15" s="98" t="s">
        <v>726</v>
      </c>
      <c r="AV15" s="98" t="s">
        <v>726</v>
      </c>
      <c r="AW15" s="98">
        <v>831.6532258064516</v>
      </c>
      <c r="AX15" s="98">
        <v>478.8306451612903</v>
      </c>
      <c r="AY15" s="98">
        <v>1058.467741935484</v>
      </c>
      <c r="AZ15" s="98">
        <v>655.241935483871</v>
      </c>
      <c r="BA15" s="100" t="s">
        <v>726</v>
      </c>
      <c r="BB15" s="100" t="s">
        <v>726</v>
      </c>
      <c r="BC15" s="100" t="s">
        <v>726</v>
      </c>
      <c r="BD15" s="158">
        <v>0.7830709076</v>
      </c>
      <c r="BE15" s="158">
        <v>1.2221315</v>
      </c>
      <c r="BF15" s="162">
        <v>498</v>
      </c>
      <c r="BG15" s="162">
        <v>14</v>
      </c>
      <c r="BH15" s="162">
        <v>947</v>
      </c>
      <c r="BI15" s="162">
        <v>456</v>
      </c>
      <c r="BJ15" s="162">
        <v>177</v>
      </c>
      <c r="BK15" s="97"/>
      <c r="BL15" s="97"/>
      <c r="BM15" s="97"/>
      <c r="BN15" s="97"/>
    </row>
    <row r="16" spans="1:66" ht="12.75">
      <c r="A16" s="79" t="s">
        <v>603</v>
      </c>
      <c r="B16" s="79" t="s">
        <v>291</v>
      </c>
      <c r="C16" s="79" t="s">
        <v>580</v>
      </c>
      <c r="D16" s="99">
        <v>6940</v>
      </c>
      <c r="E16" s="99">
        <v>1175</v>
      </c>
      <c r="F16" s="99" t="s">
        <v>434</v>
      </c>
      <c r="G16" s="99">
        <v>31</v>
      </c>
      <c r="H16" s="99">
        <v>21</v>
      </c>
      <c r="I16" s="99">
        <v>169</v>
      </c>
      <c r="J16" s="99">
        <v>799</v>
      </c>
      <c r="K16" s="99">
        <v>669</v>
      </c>
      <c r="L16" s="99">
        <v>1546</v>
      </c>
      <c r="M16" s="99">
        <v>547</v>
      </c>
      <c r="N16" s="99">
        <v>203</v>
      </c>
      <c r="O16" s="99">
        <v>209</v>
      </c>
      <c r="P16" s="159">
        <v>209</v>
      </c>
      <c r="Q16" s="99">
        <v>17</v>
      </c>
      <c r="R16" s="99">
        <v>32</v>
      </c>
      <c r="S16" s="99">
        <v>55</v>
      </c>
      <c r="T16" s="99">
        <v>31</v>
      </c>
      <c r="U16" s="99">
        <v>6</v>
      </c>
      <c r="V16" s="99">
        <v>33</v>
      </c>
      <c r="W16" s="99">
        <v>59</v>
      </c>
      <c r="X16" s="99">
        <v>15</v>
      </c>
      <c r="Y16" s="99">
        <v>102</v>
      </c>
      <c r="Z16" s="99">
        <v>57</v>
      </c>
      <c r="AA16" s="99" t="s">
        <v>726</v>
      </c>
      <c r="AB16" s="99" t="s">
        <v>726</v>
      </c>
      <c r="AC16" s="99" t="s">
        <v>726</v>
      </c>
      <c r="AD16" s="98" t="s">
        <v>411</v>
      </c>
      <c r="AE16" s="100">
        <v>0.16930835734870317</v>
      </c>
      <c r="AF16" s="100">
        <v>0.05</v>
      </c>
      <c r="AG16" s="98">
        <v>446.68587896253604</v>
      </c>
      <c r="AH16" s="98">
        <v>302.5936599423631</v>
      </c>
      <c r="AI16" s="100">
        <v>0.024</v>
      </c>
      <c r="AJ16" s="100">
        <v>0.791873</v>
      </c>
      <c r="AK16" s="100">
        <v>0.818849</v>
      </c>
      <c r="AL16" s="100">
        <v>0.854616</v>
      </c>
      <c r="AM16" s="100">
        <v>0.600439</v>
      </c>
      <c r="AN16" s="100">
        <v>0.634375</v>
      </c>
      <c r="AO16" s="98">
        <v>3011.5273775216137</v>
      </c>
      <c r="AP16" s="158">
        <v>1.521318817</v>
      </c>
      <c r="AQ16" s="100">
        <v>0.08133971291866028</v>
      </c>
      <c r="AR16" s="100">
        <v>0.53125</v>
      </c>
      <c r="AS16" s="98">
        <v>792.507204610951</v>
      </c>
      <c r="AT16" s="98">
        <v>446.68587896253604</v>
      </c>
      <c r="AU16" s="98">
        <v>86.45533141210375</v>
      </c>
      <c r="AV16" s="98">
        <v>475.5043227665706</v>
      </c>
      <c r="AW16" s="98">
        <v>850.1440922190202</v>
      </c>
      <c r="AX16" s="98">
        <v>216.13832853025937</v>
      </c>
      <c r="AY16" s="98">
        <v>1469.7406340057637</v>
      </c>
      <c r="AZ16" s="98">
        <v>821.3256484149856</v>
      </c>
      <c r="BA16" s="100" t="s">
        <v>726</v>
      </c>
      <c r="BB16" s="100" t="s">
        <v>726</v>
      </c>
      <c r="BC16" s="100" t="s">
        <v>726</v>
      </c>
      <c r="BD16" s="158">
        <v>1.322046661</v>
      </c>
      <c r="BE16" s="158">
        <v>1.742146912</v>
      </c>
      <c r="BF16" s="162">
        <v>1009</v>
      </c>
      <c r="BG16" s="162">
        <v>817</v>
      </c>
      <c r="BH16" s="162">
        <v>1809</v>
      </c>
      <c r="BI16" s="162">
        <v>911</v>
      </c>
      <c r="BJ16" s="162">
        <v>320</v>
      </c>
      <c r="BK16" s="97"/>
      <c r="BL16" s="97"/>
      <c r="BM16" s="97"/>
      <c r="BN16" s="97"/>
    </row>
    <row r="17" spans="1:66" ht="12.75">
      <c r="A17" s="79" t="s">
        <v>673</v>
      </c>
      <c r="B17" s="79" t="s">
        <v>363</v>
      </c>
      <c r="C17" s="79" t="s">
        <v>580</v>
      </c>
      <c r="D17" s="99">
        <v>12314</v>
      </c>
      <c r="E17" s="99">
        <v>1914</v>
      </c>
      <c r="F17" s="99" t="s">
        <v>433</v>
      </c>
      <c r="G17" s="99">
        <v>70</v>
      </c>
      <c r="H17" s="99">
        <v>43</v>
      </c>
      <c r="I17" s="99">
        <v>228</v>
      </c>
      <c r="J17" s="99">
        <v>854</v>
      </c>
      <c r="K17" s="99" t="s">
        <v>726</v>
      </c>
      <c r="L17" s="99">
        <v>2167</v>
      </c>
      <c r="M17" s="99">
        <v>486</v>
      </c>
      <c r="N17" s="99">
        <v>204</v>
      </c>
      <c r="O17" s="99">
        <v>154</v>
      </c>
      <c r="P17" s="159">
        <v>154</v>
      </c>
      <c r="Q17" s="99">
        <v>17</v>
      </c>
      <c r="R17" s="99">
        <v>45</v>
      </c>
      <c r="S17" s="99">
        <v>45</v>
      </c>
      <c r="T17" s="99">
        <v>28</v>
      </c>
      <c r="U17" s="99">
        <v>9</v>
      </c>
      <c r="V17" s="99">
        <v>23</v>
      </c>
      <c r="W17" s="99">
        <v>62</v>
      </c>
      <c r="X17" s="99">
        <v>49</v>
      </c>
      <c r="Y17" s="99">
        <v>95</v>
      </c>
      <c r="Z17" s="99">
        <v>69</v>
      </c>
      <c r="AA17" s="99" t="s">
        <v>726</v>
      </c>
      <c r="AB17" s="99" t="s">
        <v>726</v>
      </c>
      <c r="AC17" s="99" t="s">
        <v>726</v>
      </c>
      <c r="AD17" s="98" t="s">
        <v>411</v>
      </c>
      <c r="AE17" s="100">
        <v>0.15543284066915705</v>
      </c>
      <c r="AF17" s="100">
        <v>0.16</v>
      </c>
      <c r="AG17" s="98">
        <v>568.4586649342212</v>
      </c>
      <c r="AH17" s="98">
        <v>349.1960370310216</v>
      </c>
      <c r="AI17" s="100">
        <v>0.019</v>
      </c>
      <c r="AJ17" s="100">
        <v>0.663559</v>
      </c>
      <c r="AK17" s="100" t="s">
        <v>726</v>
      </c>
      <c r="AL17" s="100">
        <v>0.738582</v>
      </c>
      <c r="AM17" s="100">
        <v>0.472303</v>
      </c>
      <c r="AN17" s="100">
        <v>0.552846</v>
      </c>
      <c r="AO17" s="98">
        <v>1250.6090628552868</v>
      </c>
      <c r="AP17" s="158">
        <v>0.6988304901</v>
      </c>
      <c r="AQ17" s="100">
        <v>0.11038961038961038</v>
      </c>
      <c r="AR17" s="100">
        <v>0.37777777777777777</v>
      </c>
      <c r="AS17" s="98">
        <v>365.43771317199935</v>
      </c>
      <c r="AT17" s="98">
        <v>227.3834659736885</v>
      </c>
      <c r="AU17" s="98">
        <v>73.08754263439987</v>
      </c>
      <c r="AV17" s="98">
        <v>186.77927562124412</v>
      </c>
      <c r="AW17" s="98">
        <v>503.4919603703102</v>
      </c>
      <c r="AX17" s="98">
        <v>397.92106545395484</v>
      </c>
      <c r="AY17" s="98">
        <v>771.479616696443</v>
      </c>
      <c r="AZ17" s="98">
        <v>560.3378268637323</v>
      </c>
      <c r="BA17" s="100" t="s">
        <v>726</v>
      </c>
      <c r="BB17" s="100" t="s">
        <v>726</v>
      </c>
      <c r="BC17" s="100" t="s">
        <v>726</v>
      </c>
      <c r="BD17" s="158">
        <v>0.5928171539</v>
      </c>
      <c r="BE17" s="158">
        <v>0.8183317565999999</v>
      </c>
      <c r="BF17" s="162">
        <v>1287</v>
      </c>
      <c r="BG17" s="162" t="s">
        <v>726</v>
      </c>
      <c r="BH17" s="162">
        <v>2934</v>
      </c>
      <c r="BI17" s="162">
        <v>1029</v>
      </c>
      <c r="BJ17" s="162">
        <v>369</v>
      </c>
      <c r="BK17" s="97"/>
      <c r="BL17" s="97"/>
      <c r="BM17" s="97"/>
      <c r="BN17" s="97"/>
    </row>
    <row r="18" spans="1:66" ht="12.75">
      <c r="A18" s="79" t="s">
        <v>620</v>
      </c>
      <c r="B18" s="79" t="s">
        <v>308</v>
      </c>
      <c r="C18" s="79" t="s">
        <v>580</v>
      </c>
      <c r="D18" s="99">
        <v>17875</v>
      </c>
      <c r="E18" s="99">
        <v>2380</v>
      </c>
      <c r="F18" s="99" t="s">
        <v>433</v>
      </c>
      <c r="G18" s="99">
        <v>63</v>
      </c>
      <c r="H18" s="99">
        <v>35</v>
      </c>
      <c r="I18" s="99">
        <v>241</v>
      </c>
      <c r="J18" s="99">
        <v>1467</v>
      </c>
      <c r="K18" s="99">
        <v>1446</v>
      </c>
      <c r="L18" s="99">
        <v>3481</v>
      </c>
      <c r="M18" s="99">
        <v>856</v>
      </c>
      <c r="N18" s="99">
        <v>358</v>
      </c>
      <c r="O18" s="99">
        <v>263</v>
      </c>
      <c r="P18" s="159">
        <v>263</v>
      </c>
      <c r="Q18" s="99">
        <v>13</v>
      </c>
      <c r="R18" s="99">
        <v>56</v>
      </c>
      <c r="S18" s="99">
        <v>64</v>
      </c>
      <c r="T18" s="99">
        <v>38</v>
      </c>
      <c r="U18" s="99">
        <v>12</v>
      </c>
      <c r="V18" s="99">
        <v>33</v>
      </c>
      <c r="W18" s="99">
        <v>77</v>
      </c>
      <c r="X18" s="99">
        <v>71</v>
      </c>
      <c r="Y18" s="99">
        <v>186</v>
      </c>
      <c r="Z18" s="99">
        <v>82</v>
      </c>
      <c r="AA18" s="99" t="s">
        <v>726</v>
      </c>
      <c r="AB18" s="99" t="s">
        <v>726</v>
      </c>
      <c r="AC18" s="99" t="s">
        <v>726</v>
      </c>
      <c r="AD18" s="98" t="s">
        <v>411</v>
      </c>
      <c r="AE18" s="100">
        <v>0.13314685314685315</v>
      </c>
      <c r="AF18" s="100">
        <v>0.13</v>
      </c>
      <c r="AG18" s="98">
        <v>352.4475524475524</v>
      </c>
      <c r="AH18" s="98">
        <v>195.8041958041958</v>
      </c>
      <c r="AI18" s="100">
        <v>0.013000000000000001</v>
      </c>
      <c r="AJ18" s="100">
        <v>0.746185</v>
      </c>
      <c r="AK18" s="100">
        <v>0.753125</v>
      </c>
      <c r="AL18" s="100">
        <v>0.7933</v>
      </c>
      <c r="AM18" s="100">
        <v>0.543837</v>
      </c>
      <c r="AN18" s="100">
        <v>0.578352</v>
      </c>
      <c r="AO18" s="98">
        <v>1471.3286713286714</v>
      </c>
      <c r="AP18" s="158">
        <v>0.8697758484000001</v>
      </c>
      <c r="AQ18" s="100">
        <v>0.049429657794676805</v>
      </c>
      <c r="AR18" s="100">
        <v>0.23214285714285715</v>
      </c>
      <c r="AS18" s="98">
        <v>358.041958041958</v>
      </c>
      <c r="AT18" s="98">
        <v>212.5874125874126</v>
      </c>
      <c r="AU18" s="98">
        <v>67.13286713286713</v>
      </c>
      <c r="AV18" s="98">
        <v>184.6153846153846</v>
      </c>
      <c r="AW18" s="98">
        <v>430.7692307692308</v>
      </c>
      <c r="AX18" s="98">
        <v>397.2027972027972</v>
      </c>
      <c r="AY18" s="98">
        <v>1040.5594405594406</v>
      </c>
      <c r="AZ18" s="98">
        <v>458.7412587412587</v>
      </c>
      <c r="BA18" s="100" t="s">
        <v>726</v>
      </c>
      <c r="BB18" s="100" t="s">
        <v>726</v>
      </c>
      <c r="BC18" s="100" t="s">
        <v>726</v>
      </c>
      <c r="BD18" s="158">
        <v>0.7678242493</v>
      </c>
      <c r="BE18" s="158">
        <v>0.9814972687</v>
      </c>
      <c r="BF18" s="162">
        <v>1966</v>
      </c>
      <c r="BG18" s="162">
        <v>1920</v>
      </c>
      <c r="BH18" s="162">
        <v>4388</v>
      </c>
      <c r="BI18" s="162">
        <v>1574</v>
      </c>
      <c r="BJ18" s="162">
        <v>619</v>
      </c>
      <c r="BK18" s="97"/>
      <c r="BL18" s="97"/>
      <c r="BM18" s="97"/>
      <c r="BN18" s="97"/>
    </row>
    <row r="19" spans="1:66" ht="12.75">
      <c r="A19" s="79" t="s">
        <v>663</v>
      </c>
      <c r="B19" s="79" t="s">
        <v>353</v>
      </c>
      <c r="C19" s="79" t="s">
        <v>580</v>
      </c>
      <c r="D19" s="99">
        <v>13751</v>
      </c>
      <c r="E19" s="99">
        <v>2580</v>
      </c>
      <c r="F19" s="99" t="s">
        <v>433</v>
      </c>
      <c r="G19" s="99">
        <v>46</v>
      </c>
      <c r="H19" s="99">
        <v>37</v>
      </c>
      <c r="I19" s="99">
        <v>181</v>
      </c>
      <c r="J19" s="99">
        <v>1156</v>
      </c>
      <c r="K19" s="99">
        <v>13</v>
      </c>
      <c r="L19" s="99">
        <v>2798</v>
      </c>
      <c r="M19" s="99">
        <v>792</v>
      </c>
      <c r="N19" s="99">
        <v>303</v>
      </c>
      <c r="O19" s="99">
        <v>236</v>
      </c>
      <c r="P19" s="159">
        <v>236</v>
      </c>
      <c r="Q19" s="99">
        <v>34</v>
      </c>
      <c r="R19" s="99">
        <v>72</v>
      </c>
      <c r="S19" s="99">
        <v>53</v>
      </c>
      <c r="T19" s="99">
        <v>43</v>
      </c>
      <c r="U19" s="99">
        <v>11</v>
      </c>
      <c r="V19" s="99">
        <v>35</v>
      </c>
      <c r="W19" s="99">
        <v>106</v>
      </c>
      <c r="X19" s="99">
        <v>40</v>
      </c>
      <c r="Y19" s="99">
        <v>155</v>
      </c>
      <c r="Z19" s="99">
        <v>73</v>
      </c>
      <c r="AA19" s="99" t="s">
        <v>726</v>
      </c>
      <c r="AB19" s="99" t="s">
        <v>726</v>
      </c>
      <c r="AC19" s="99" t="s">
        <v>726</v>
      </c>
      <c r="AD19" s="98" t="s">
        <v>411</v>
      </c>
      <c r="AE19" s="100">
        <v>0.18762271834775654</v>
      </c>
      <c r="AF19" s="100">
        <v>0.13</v>
      </c>
      <c r="AG19" s="98">
        <v>334.52112573631007</v>
      </c>
      <c r="AH19" s="98">
        <v>269.07134026616245</v>
      </c>
      <c r="AI19" s="100">
        <v>0.013000000000000001</v>
      </c>
      <c r="AJ19" s="100">
        <v>0.695966</v>
      </c>
      <c r="AK19" s="100">
        <v>0.433333</v>
      </c>
      <c r="AL19" s="100">
        <v>0.835973</v>
      </c>
      <c r="AM19" s="100">
        <v>0.525896</v>
      </c>
      <c r="AN19" s="100">
        <v>0.551913</v>
      </c>
      <c r="AO19" s="98">
        <v>1716.2388189949822</v>
      </c>
      <c r="AP19" s="158">
        <v>0.8683827972</v>
      </c>
      <c r="AQ19" s="100">
        <v>0.1440677966101695</v>
      </c>
      <c r="AR19" s="100">
        <v>0.4722222222222222</v>
      </c>
      <c r="AS19" s="98">
        <v>385.4265144353138</v>
      </c>
      <c r="AT19" s="98">
        <v>312.70453057959423</v>
      </c>
      <c r="AU19" s="98">
        <v>79.99418224129154</v>
      </c>
      <c r="AV19" s="98">
        <v>254.52694349501854</v>
      </c>
      <c r="AW19" s="98">
        <v>770.8530288706276</v>
      </c>
      <c r="AX19" s="98">
        <v>290.88793542287834</v>
      </c>
      <c r="AY19" s="98">
        <v>1127.1907497636535</v>
      </c>
      <c r="AZ19" s="98">
        <v>530.8704821467529</v>
      </c>
      <c r="BA19" s="100" t="s">
        <v>726</v>
      </c>
      <c r="BB19" s="100" t="s">
        <v>726</v>
      </c>
      <c r="BC19" s="100" t="s">
        <v>726</v>
      </c>
      <c r="BD19" s="158">
        <v>0.7611173248</v>
      </c>
      <c r="BE19" s="158">
        <v>0.9865305327999999</v>
      </c>
      <c r="BF19" s="162">
        <v>1661</v>
      </c>
      <c r="BG19" s="162">
        <v>30</v>
      </c>
      <c r="BH19" s="162">
        <v>3347</v>
      </c>
      <c r="BI19" s="162">
        <v>1506</v>
      </c>
      <c r="BJ19" s="162">
        <v>549</v>
      </c>
      <c r="BK19" s="97"/>
      <c r="BL19" s="97"/>
      <c r="BM19" s="97"/>
      <c r="BN19" s="97"/>
    </row>
    <row r="20" spans="1:66" ht="12.75">
      <c r="A20" s="79" t="s">
        <v>657</v>
      </c>
      <c r="B20" s="79" t="s">
        <v>347</v>
      </c>
      <c r="C20" s="79" t="s">
        <v>580</v>
      </c>
      <c r="D20" s="99">
        <v>5675</v>
      </c>
      <c r="E20" s="99">
        <v>1048</v>
      </c>
      <c r="F20" s="99" t="s">
        <v>434</v>
      </c>
      <c r="G20" s="99">
        <v>24</v>
      </c>
      <c r="H20" s="99" t="s">
        <v>726</v>
      </c>
      <c r="I20" s="99">
        <v>104</v>
      </c>
      <c r="J20" s="99">
        <v>564</v>
      </c>
      <c r="K20" s="99">
        <v>549</v>
      </c>
      <c r="L20" s="99">
        <v>1149</v>
      </c>
      <c r="M20" s="99">
        <v>363</v>
      </c>
      <c r="N20" s="99">
        <v>161</v>
      </c>
      <c r="O20" s="99">
        <v>100</v>
      </c>
      <c r="P20" s="159">
        <v>100</v>
      </c>
      <c r="Q20" s="99">
        <v>7</v>
      </c>
      <c r="R20" s="99">
        <v>18</v>
      </c>
      <c r="S20" s="99">
        <v>16</v>
      </c>
      <c r="T20" s="99">
        <v>19</v>
      </c>
      <c r="U20" s="99" t="s">
        <v>726</v>
      </c>
      <c r="V20" s="99">
        <v>16</v>
      </c>
      <c r="W20" s="99">
        <v>36</v>
      </c>
      <c r="X20" s="99">
        <v>21</v>
      </c>
      <c r="Y20" s="99">
        <v>54</v>
      </c>
      <c r="Z20" s="99">
        <v>23</v>
      </c>
      <c r="AA20" s="99" t="s">
        <v>726</v>
      </c>
      <c r="AB20" s="99" t="s">
        <v>726</v>
      </c>
      <c r="AC20" s="99" t="s">
        <v>726</v>
      </c>
      <c r="AD20" s="98" t="s">
        <v>411</v>
      </c>
      <c r="AE20" s="100">
        <v>0.18466960352422906</v>
      </c>
      <c r="AF20" s="100">
        <v>0.05</v>
      </c>
      <c r="AG20" s="98">
        <v>422.90748898678413</v>
      </c>
      <c r="AH20" s="98" t="s">
        <v>726</v>
      </c>
      <c r="AI20" s="100">
        <v>0.018000000000000002</v>
      </c>
      <c r="AJ20" s="100">
        <v>0.798867</v>
      </c>
      <c r="AK20" s="100">
        <v>0.808542</v>
      </c>
      <c r="AL20" s="100">
        <v>0.809155</v>
      </c>
      <c r="AM20" s="100">
        <v>0.575277</v>
      </c>
      <c r="AN20" s="100">
        <v>0.614504</v>
      </c>
      <c r="AO20" s="98">
        <v>1762.1145374449338</v>
      </c>
      <c r="AP20" s="158">
        <v>0.8747637177</v>
      </c>
      <c r="AQ20" s="100">
        <v>0.07</v>
      </c>
      <c r="AR20" s="100">
        <v>0.3888888888888889</v>
      </c>
      <c r="AS20" s="98">
        <v>281.9383259911894</v>
      </c>
      <c r="AT20" s="98">
        <v>334.80176211453744</v>
      </c>
      <c r="AU20" s="98" t="s">
        <v>726</v>
      </c>
      <c r="AV20" s="98">
        <v>281.9383259911894</v>
      </c>
      <c r="AW20" s="98">
        <v>634.3612334801762</v>
      </c>
      <c r="AX20" s="98">
        <v>370.04405286343615</v>
      </c>
      <c r="AY20" s="98">
        <v>951.5418502202643</v>
      </c>
      <c r="AZ20" s="98">
        <v>405.2863436123348</v>
      </c>
      <c r="BA20" s="100" t="s">
        <v>726</v>
      </c>
      <c r="BB20" s="100" t="s">
        <v>726</v>
      </c>
      <c r="BC20" s="100" t="s">
        <v>726</v>
      </c>
      <c r="BD20" s="158">
        <v>0.7117426299999999</v>
      </c>
      <c r="BE20" s="158">
        <v>1.063947067</v>
      </c>
      <c r="BF20" s="162">
        <v>706</v>
      </c>
      <c r="BG20" s="162">
        <v>679</v>
      </c>
      <c r="BH20" s="162">
        <v>1420</v>
      </c>
      <c r="BI20" s="162">
        <v>631</v>
      </c>
      <c r="BJ20" s="162">
        <v>262</v>
      </c>
      <c r="BK20" s="97"/>
      <c r="BL20" s="97"/>
      <c r="BM20" s="97"/>
      <c r="BN20" s="97"/>
    </row>
    <row r="21" spans="1:66" ht="12.75">
      <c r="A21" s="79" t="s">
        <v>610</v>
      </c>
      <c r="B21" s="79" t="s">
        <v>298</v>
      </c>
      <c r="C21" s="79" t="s">
        <v>580</v>
      </c>
      <c r="D21" s="99">
        <v>15697</v>
      </c>
      <c r="E21" s="99">
        <v>3128</v>
      </c>
      <c r="F21" s="99" t="s">
        <v>434</v>
      </c>
      <c r="G21" s="99">
        <v>77</v>
      </c>
      <c r="H21" s="99">
        <v>31</v>
      </c>
      <c r="I21" s="99">
        <v>338</v>
      </c>
      <c r="J21" s="99">
        <v>1731</v>
      </c>
      <c r="K21" s="99">
        <v>1585</v>
      </c>
      <c r="L21" s="99">
        <v>3126</v>
      </c>
      <c r="M21" s="99">
        <v>1279</v>
      </c>
      <c r="N21" s="99">
        <v>502</v>
      </c>
      <c r="O21" s="99">
        <v>146</v>
      </c>
      <c r="P21" s="159">
        <v>146</v>
      </c>
      <c r="Q21" s="99">
        <v>23</v>
      </c>
      <c r="R21" s="99">
        <v>49</v>
      </c>
      <c r="S21" s="99">
        <v>30</v>
      </c>
      <c r="T21" s="99">
        <v>28</v>
      </c>
      <c r="U21" s="99">
        <v>9</v>
      </c>
      <c r="V21" s="99">
        <v>30</v>
      </c>
      <c r="W21" s="99">
        <v>94</v>
      </c>
      <c r="X21" s="99">
        <v>60</v>
      </c>
      <c r="Y21" s="99">
        <v>123</v>
      </c>
      <c r="Z21" s="99">
        <v>57</v>
      </c>
      <c r="AA21" s="99" t="s">
        <v>726</v>
      </c>
      <c r="AB21" s="99" t="s">
        <v>726</v>
      </c>
      <c r="AC21" s="99" t="s">
        <v>726</v>
      </c>
      <c r="AD21" s="98" t="s">
        <v>411</v>
      </c>
      <c r="AE21" s="100">
        <v>0.19927374657577882</v>
      </c>
      <c r="AF21" s="100">
        <v>0.06</v>
      </c>
      <c r="AG21" s="98">
        <v>490.5395935529082</v>
      </c>
      <c r="AH21" s="98">
        <v>197.48996623558642</v>
      </c>
      <c r="AI21" s="100">
        <v>0.022000000000000002</v>
      </c>
      <c r="AJ21" s="100">
        <v>0.783258</v>
      </c>
      <c r="AK21" s="100">
        <v>0.754403</v>
      </c>
      <c r="AL21" s="100">
        <v>0.805463</v>
      </c>
      <c r="AM21" s="100">
        <v>0.623902</v>
      </c>
      <c r="AN21" s="100">
        <v>0.675639</v>
      </c>
      <c r="AO21" s="98">
        <v>930.1140345288909</v>
      </c>
      <c r="AP21" s="158">
        <v>0.4447986221</v>
      </c>
      <c r="AQ21" s="100">
        <v>0.15753424657534246</v>
      </c>
      <c r="AR21" s="100">
        <v>0.46938775510204084</v>
      </c>
      <c r="AS21" s="98">
        <v>191.1193221634707</v>
      </c>
      <c r="AT21" s="98">
        <v>178.37803401923935</v>
      </c>
      <c r="AU21" s="98">
        <v>57.33579664904122</v>
      </c>
      <c r="AV21" s="98">
        <v>191.1193221634707</v>
      </c>
      <c r="AW21" s="98">
        <v>598.8405427788749</v>
      </c>
      <c r="AX21" s="98">
        <v>382.2386443269414</v>
      </c>
      <c r="AY21" s="98">
        <v>783.58922087023</v>
      </c>
      <c r="AZ21" s="98">
        <v>363.1267121105944</v>
      </c>
      <c r="BA21" s="100" t="s">
        <v>726</v>
      </c>
      <c r="BB21" s="100" t="s">
        <v>726</v>
      </c>
      <c r="BC21" s="100" t="s">
        <v>726</v>
      </c>
      <c r="BD21" s="158">
        <v>0.37557628630000006</v>
      </c>
      <c r="BE21" s="158">
        <v>0.5230826569</v>
      </c>
      <c r="BF21" s="162">
        <v>2210</v>
      </c>
      <c r="BG21" s="162">
        <v>2101</v>
      </c>
      <c r="BH21" s="162">
        <v>3881</v>
      </c>
      <c r="BI21" s="162">
        <v>2050</v>
      </c>
      <c r="BJ21" s="162">
        <v>743</v>
      </c>
      <c r="BK21" s="97"/>
      <c r="BL21" s="97"/>
      <c r="BM21" s="97"/>
      <c r="BN21" s="97"/>
    </row>
    <row r="22" spans="1:66" ht="12.75">
      <c r="A22" s="79" t="s">
        <v>614</v>
      </c>
      <c r="B22" s="79" t="s">
        <v>302</v>
      </c>
      <c r="C22" s="79" t="s">
        <v>580</v>
      </c>
      <c r="D22" s="99">
        <v>8898</v>
      </c>
      <c r="E22" s="99">
        <v>1125</v>
      </c>
      <c r="F22" s="99" t="s">
        <v>432</v>
      </c>
      <c r="G22" s="99">
        <v>40</v>
      </c>
      <c r="H22" s="99">
        <v>15</v>
      </c>
      <c r="I22" s="99">
        <v>126</v>
      </c>
      <c r="J22" s="99">
        <v>603</v>
      </c>
      <c r="K22" s="99">
        <v>9</v>
      </c>
      <c r="L22" s="99">
        <v>1730</v>
      </c>
      <c r="M22" s="99">
        <v>323</v>
      </c>
      <c r="N22" s="99">
        <v>128</v>
      </c>
      <c r="O22" s="99">
        <v>167</v>
      </c>
      <c r="P22" s="159">
        <v>167</v>
      </c>
      <c r="Q22" s="99">
        <v>15</v>
      </c>
      <c r="R22" s="99">
        <v>34</v>
      </c>
      <c r="S22" s="99">
        <v>25</v>
      </c>
      <c r="T22" s="99">
        <v>30</v>
      </c>
      <c r="U22" s="99" t="s">
        <v>726</v>
      </c>
      <c r="V22" s="99">
        <v>42</v>
      </c>
      <c r="W22" s="99">
        <v>42</v>
      </c>
      <c r="X22" s="99">
        <v>33</v>
      </c>
      <c r="Y22" s="99">
        <v>69</v>
      </c>
      <c r="Z22" s="99">
        <v>25</v>
      </c>
      <c r="AA22" s="99" t="s">
        <v>726</v>
      </c>
      <c r="AB22" s="99" t="s">
        <v>726</v>
      </c>
      <c r="AC22" s="99" t="s">
        <v>726</v>
      </c>
      <c r="AD22" s="98" t="s">
        <v>411</v>
      </c>
      <c r="AE22" s="100">
        <v>0.12643290627107215</v>
      </c>
      <c r="AF22" s="100">
        <v>0.1</v>
      </c>
      <c r="AG22" s="98">
        <v>449.53922229714544</v>
      </c>
      <c r="AH22" s="98">
        <v>168.57720836142954</v>
      </c>
      <c r="AI22" s="100">
        <v>0.013999999999999999</v>
      </c>
      <c r="AJ22" s="100">
        <v>0.676768</v>
      </c>
      <c r="AK22" s="100">
        <v>0.5625</v>
      </c>
      <c r="AL22" s="100">
        <v>0.725976</v>
      </c>
      <c r="AM22" s="100">
        <v>0.475</v>
      </c>
      <c r="AN22" s="100">
        <v>0.505929</v>
      </c>
      <c r="AO22" s="98">
        <v>1876.8262530905822</v>
      </c>
      <c r="AP22" s="158">
        <v>1.144488068</v>
      </c>
      <c r="AQ22" s="100">
        <v>0.08982035928143713</v>
      </c>
      <c r="AR22" s="100">
        <v>0.4411764705882353</v>
      </c>
      <c r="AS22" s="98">
        <v>280.9620139357159</v>
      </c>
      <c r="AT22" s="98">
        <v>337.1544167228591</v>
      </c>
      <c r="AU22" s="98" t="s">
        <v>726</v>
      </c>
      <c r="AV22" s="98">
        <v>472.0161834120027</v>
      </c>
      <c r="AW22" s="98">
        <v>472.0161834120027</v>
      </c>
      <c r="AX22" s="98">
        <v>370.869858395145</v>
      </c>
      <c r="AY22" s="98">
        <v>775.4551584625758</v>
      </c>
      <c r="AZ22" s="98">
        <v>280.9620139357159</v>
      </c>
      <c r="BA22" s="100" t="s">
        <v>726</v>
      </c>
      <c r="BB22" s="100" t="s">
        <v>726</v>
      </c>
      <c r="BC22" s="100" t="s">
        <v>726</v>
      </c>
      <c r="BD22" s="158">
        <v>0.9774868774</v>
      </c>
      <c r="BE22" s="158">
        <v>1.3318382260000001</v>
      </c>
      <c r="BF22" s="162">
        <v>891</v>
      </c>
      <c r="BG22" s="162">
        <v>16</v>
      </c>
      <c r="BH22" s="162">
        <v>2383</v>
      </c>
      <c r="BI22" s="162">
        <v>680</v>
      </c>
      <c r="BJ22" s="162">
        <v>253</v>
      </c>
      <c r="BK22" s="97"/>
      <c r="BL22" s="97"/>
      <c r="BM22" s="97"/>
      <c r="BN22" s="97"/>
    </row>
    <row r="23" spans="1:66" ht="12.75">
      <c r="A23" s="79" t="s">
        <v>636</v>
      </c>
      <c r="B23" s="79" t="s">
        <v>326</v>
      </c>
      <c r="C23" s="79" t="s">
        <v>580</v>
      </c>
      <c r="D23" s="99">
        <v>11128</v>
      </c>
      <c r="E23" s="99">
        <v>1000</v>
      </c>
      <c r="F23" s="99" t="s">
        <v>432</v>
      </c>
      <c r="G23" s="99">
        <v>33</v>
      </c>
      <c r="H23" s="99">
        <v>11</v>
      </c>
      <c r="I23" s="99">
        <v>107</v>
      </c>
      <c r="J23" s="99">
        <v>668</v>
      </c>
      <c r="K23" s="99">
        <v>12</v>
      </c>
      <c r="L23" s="99">
        <v>2287</v>
      </c>
      <c r="M23" s="99">
        <v>378</v>
      </c>
      <c r="N23" s="99">
        <v>164</v>
      </c>
      <c r="O23" s="99">
        <v>86</v>
      </c>
      <c r="P23" s="159">
        <v>86</v>
      </c>
      <c r="Q23" s="99">
        <v>7</v>
      </c>
      <c r="R23" s="99">
        <v>18</v>
      </c>
      <c r="S23" s="99">
        <v>22</v>
      </c>
      <c r="T23" s="99">
        <v>12</v>
      </c>
      <c r="U23" s="99" t="s">
        <v>726</v>
      </c>
      <c r="V23" s="99">
        <v>8</v>
      </c>
      <c r="W23" s="99">
        <v>46</v>
      </c>
      <c r="X23" s="99">
        <v>25</v>
      </c>
      <c r="Y23" s="99">
        <v>67</v>
      </c>
      <c r="Z23" s="99">
        <v>22</v>
      </c>
      <c r="AA23" s="99" t="s">
        <v>726</v>
      </c>
      <c r="AB23" s="99" t="s">
        <v>726</v>
      </c>
      <c r="AC23" s="99" t="s">
        <v>726</v>
      </c>
      <c r="AD23" s="98" t="s">
        <v>411</v>
      </c>
      <c r="AE23" s="100">
        <v>0.08986340762041696</v>
      </c>
      <c r="AF23" s="100">
        <v>0.1</v>
      </c>
      <c r="AG23" s="98">
        <v>296.549245147376</v>
      </c>
      <c r="AH23" s="98">
        <v>98.84974838245866</v>
      </c>
      <c r="AI23" s="100">
        <v>0.01</v>
      </c>
      <c r="AJ23" s="100">
        <v>0.67001</v>
      </c>
      <c r="AK23" s="100">
        <v>0.521739</v>
      </c>
      <c r="AL23" s="100">
        <v>0.72904</v>
      </c>
      <c r="AM23" s="100">
        <v>0.525</v>
      </c>
      <c r="AN23" s="100">
        <v>0.58363</v>
      </c>
      <c r="AO23" s="98">
        <v>772.8253055355859</v>
      </c>
      <c r="AP23" s="158">
        <v>0.5254176331</v>
      </c>
      <c r="AQ23" s="100">
        <v>0.08139534883720931</v>
      </c>
      <c r="AR23" s="100">
        <v>0.3888888888888889</v>
      </c>
      <c r="AS23" s="98">
        <v>197.6994967649173</v>
      </c>
      <c r="AT23" s="98">
        <v>107.83608914450036</v>
      </c>
      <c r="AU23" s="98" t="s">
        <v>726</v>
      </c>
      <c r="AV23" s="98">
        <v>71.89072609633357</v>
      </c>
      <c r="AW23" s="98">
        <v>413.37167505391807</v>
      </c>
      <c r="AX23" s="98">
        <v>224.65851905104242</v>
      </c>
      <c r="AY23" s="98">
        <v>602.0848310567936</v>
      </c>
      <c r="AZ23" s="98">
        <v>197.6994967649173</v>
      </c>
      <c r="BA23" s="100" t="s">
        <v>726</v>
      </c>
      <c r="BB23" s="100" t="s">
        <v>726</v>
      </c>
      <c r="BC23" s="100" t="s">
        <v>726</v>
      </c>
      <c r="BD23" s="158">
        <v>0.42026630400000003</v>
      </c>
      <c r="BE23" s="158">
        <v>0.6488864899</v>
      </c>
      <c r="BF23" s="162">
        <v>997</v>
      </c>
      <c r="BG23" s="162">
        <v>23</v>
      </c>
      <c r="BH23" s="162">
        <v>3137</v>
      </c>
      <c r="BI23" s="162">
        <v>720</v>
      </c>
      <c r="BJ23" s="162">
        <v>281</v>
      </c>
      <c r="BK23" s="97"/>
      <c r="BL23" s="97"/>
      <c r="BM23" s="97"/>
      <c r="BN23" s="97"/>
    </row>
    <row r="24" spans="1:66" ht="12.75">
      <c r="A24" s="79" t="s">
        <v>700</v>
      </c>
      <c r="B24" s="79" t="s">
        <v>391</v>
      </c>
      <c r="C24" s="79" t="s">
        <v>580</v>
      </c>
      <c r="D24" s="99">
        <v>2287</v>
      </c>
      <c r="E24" s="99">
        <v>153</v>
      </c>
      <c r="F24" s="99" t="s">
        <v>433</v>
      </c>
      <c r="G24" s="99" t="s">
        <v>726</v>
      </c>
      <c r="H24" s="99" t="s">
        <v>726</v>
      </c>
      <c r="I24" s="99">
        <v>19</v>
      </c>
      <c r="J24" s="99">
        <v>110</v>
      </c>
      <c r="K24" s="99" t="s">
        <v>726</v>
      </c>
      <c r="L24" s="99">
        <v>442</v>
      </c>
      <c r="M24" s="99">
        <v>56</v>
      </c>
      <c r="N24" s="99">
        <v>27</v>
      </c>
      <c r="O24" s="99">
        <v>15</v>
      </c>
      <c r="P24" s="159">
        <v>15</v>
      </c>
      <c r="Q24" s="99" t="s">
        <v>726</v>
      </c>
      <c r="R24" s="99" t="s">
        <v>726</v>
      </c>
      <c r="S24" s="99" t="s">
        <v>726</v>
      </c>
      <c r="T24" s="99" t="s">
        <v>726</v>
      </c>
      <c r="U24" s="99" t="s">
        <v>726</v>
      </c>
      <c r="V24" s="99" t="s">
        <v>726</v>
      </c>
      <c r="W24" s="99">
        <v>11</v>
      </c>
      <c r="X24" s="99">
        <v>6</v>
      </c>
      <c r="Y24" s="99">
        <v>32</v>
      </c>
      <c r="Z24" s="99">
        <v>15</v>
      </c>
      <c r="AA24" s="99" t="s">
        <v>726</v>
      </c>
      <c r="AB24" s="99" t="s">
        <v>726</v>
      </c>
      <c r="AC24" s="99" t="s">
        <v>726</v>
      </c>
      <c r="AD24" s="98" t="s">
        <v>411</v>
      </c>
      <c r="AE24" s="100">
        <v>0.06689986882378662</v>
      </c>
      <c r="AF24" s="100">
        <v>0.12</v>
      </c>
      <c r="AG24" s="98" t="s">
        <v>726</v>
      </c>
      <c r="AH24" s="98" t="s">
        <v>726</v>
      </c>
      <c r="AI24" s="100">
        <v>0.008</v>
      </c>
      <c r="AJ24" s="100">
        <v>0.607735</v>
      </c>
      <c r="AK24" s="100" t="s">
        <v>726</v>
      </c>
      <c r="AL24" s="100">
        <v>0.712903</v>
      </c>
      <c r="AM24" s="100">
        <v>0.451613</v>
      </c>
      <c r="AN24" s="100">
        <v>0.529412</v>
      </c>
      <c r="AO24" s="98">
        <v>655.8810668998689</v>
      </c>
      <c r="AP24" s="158">
        <v>0.49732284550000005</v>
      </c>
      <c r="AQ24" s="100" t="s">
        <v>726</v>
      </c>
      <c r="AR24" s="100" t="s">
        <v>726</v>
      </c>
      <c r="AS24" s="98" t="s">
        <v>726</v>
      </c>
      <c r="AT24" s="98" t="s">
        <v>726</v>
      </c>
      <c r="AU24" s="98" t="s">
        <v>726</v>
      </c>
      <c r="AV24" s="98" t="s">
        <v>726</v>
      </c>
      <c r="AW24" s="98">
        <v>480.9794490599038</v>
      </c>
      <c r="AX24" s="98">
        <v>262.35242675994755</v>
      </c>
      <c r="AY24" s="98">
        <v>1399.21294271972</v>
      </c>
      <c r="AZ24" s="98">
        <v>655.8810668998689</v>
      </c>
      <c r="BA24" s="100" t="s">
        <v>726</v>
      </c>
      <c r="BB24" s="100" t="s">
        <v>726</v>
      </c>
      <c r="BC24" s="100" t="s">
        <v>726</v>
      </c>
      <c r="BD24" s="158">
        <v>0.27834783550000003</v>
      </c>
      <c r="BE24" s="158">
        <v>0.8202584075999999</v>
      </c>
      <c r="BF24" s="162">
        <v>181</v>
      </c>
      <c r="BG24" s="162" t="s">
        <v>726</v>
      </c>
      <c r="BH24" s="162">
        <v>620</v>
      </c>
      <c r="BI24" s="162">
        <v>124</v>
      </c>
      <c r="BJ24" s="162">
        <v>51</v>
      </c>
      <c r="BK24" s="97"/>
      <c r="BL24" s="97"/>
      <c r="BM24" s="97"/>
      <c r="BN24" s="97"/>
    </row>
    <row r="25" spans="1:66" ht="12.75">
      <c r="A25" s="79" t="s">
        <v>698</v>
      </c>
      <c r="B25" s="79" t="s">
        <v>389</v>
      </c>
      <c r="C25" s="79" t="s">
        <v>580</v>
      </c>
      <c r="D25" s="99">
        <v>2394</v>
      </c>
      <c r="E25" s="99">
        <v>319</v>
      </c>
      <c r="F25" s="99" t="s">
        <v>432</v>
      </c>
      <c r="G25" s="99" t="s">
        <v>726</v>
      </c>
      <c r="H25" s="99" t="s">
        <v>726</v>
      </c>
      <c r="I25" s="99">
        <v>44</v>
      </c>
      <c r="J25" s="99">
        <v>138</v>
      </c>
      <c r="K25" s="99" t="s">
        <v>726</v>
      </c>
      <c r="L25" s="99">
        <v>408</v>
      </c>
      <c r="M25" s="99">
        <v>69</v>
      </c>
      <c r="N25" s="99">
        <v>24</v>
      </c>
      <c r="O25" s="99">
        <v>26</v>
      </c>
      <c r="P25" s="159">
        <v>26</v>
      </c>
      <c r="Q25" s="99" t="s">
        <v>726</v>
      </c>
      <c r="R25" s="99" t="s">
        <v>726</v>
      </c>
      <c r="S25" s="99">
        <v>12</v>
      </c>
      <c r="T25" s="99" t="s">
        <v>726</v>
      </c>
      <c r="U25" s="99" t="s">
        <v>726</v>
      </c>
      <c r="V25" s="99" t="s">
        <v>726</v>
      </c>
      <c r="W25" s="99">
        <v>13</v>
      </c>
      <c r="X25" s="99">
        <v>6</v>
      </c>
      <c r="Y25" s="99">
        <v>23</v>
      </c>
      <c r="Z25" s="99">
        <v>20</v>
      </c>
      <c r="AA25" s="99" t="s">
        <v>726</v>
      </c>
      <c r="AB25" s="99" t="s">
        <v>726</v>
      </c>
      <c r="AC25" s="99" t="s">
        <v>726</v>
      </c>
      <c r="AD25" s="98" t="s">
        <v>411</v>
      </c>
      <c r="AE25" s="100">
        <v>0.13324979114452798</v>
      </c>
      <c r="AF25" s="100">
        <v>0.11</v>
      </c>
      <c r="AG25" s="98" t="s">
        <v>726</v>
      </c>
      <c r="AH25" s="98" t="s">
        <v>726</v>
      </c>
      <c r="AI25" s="100">
        <v>0.018000000000000002</v>
      </c>
      <c r="AJ25" s="100">
        <v>0.621622</v>
      </c>
      <c r="AK25" s="100" t="s">
        <v>726</v>
      </c>
      <c r="AL25" s="100">
        <v>0.723404</v>
      </c>
      <c r="AM25" s="100">
        <v>0.410714</v>
      </c>
      <c r="AN25" s="100">
        <v>0.380952</v>
      </c>
      <c r="AO25" s="98">
        <v>1086.048454469507</v>
      </c>
      <c r="AP25" s="158">
        <v>0.701366272</v>
      </c>
      <c r="AQ25" s="100" t="s">
        <v>726</v>
      </c>
      <c r="AR25" s="100" t="s">
        <v>726</v>
      </c>
      <c r="AS25" s="98">
        <v>501.2531328320802</v>
      </c>
      <c r="AT25" s="98" t="s">
        <v>726</v>
      </c>
      <c r="AU25" s="98" t="s">
        <v>726</v>
      </c>
      <c r="AV25" s="98" t="s">
        <v>726</v>
      </c>
      <c r="AW25" s="98">
        <v>543.0242272347535</v>
      </c>
      <c r="AX25" s="98">
        <v>250.6265664160401</v>
      </c>
      <c r="AY25" s="98">
        <v>960.735171261487</v>
      </c>
      <c r="AZ25" s="98">
        <v>835.421888053467</v>
      </c>
      <c r="BA25" s="100" t="s">
        <v>726</v>
      </c>
      <c r="BB25" s="100" t="s">
        <v>726</v>
      </c>
      <c r="BC25" s="100" t="s">
        <v>726</v>
      </c>
      <c r="BD25" s="158">
        <v>0.4581557465</v>
      </c>
      <c r="BE25" s="158">
        <v>1.027664108</v>
      </c>
      <c r="BF25" s="162">
        <v>222</v>
      </c>
      <c r="BG25" s="162" t="s">
        <v>726</v>
      </c>
      <c r="BH25" s="162">
        <v>564</v>
      </c>
      <c r="BI25" s="162">
        <v>168</v>
      </c>
      <c r="BJ25" s="162">
        <v>63</v>
      </c>
      <c r="BK25" s="97"/>
      <c r="BL25" s="97"/>
      <c r="BM25" s="97"/>
      <c r="BN25" s="97"/>
    </row>
    <row r="26" spans="1:66" ht="12.75">
      <c r="A26" s="79" t="s">
        <v>699</v>
      </c>
      <c r="B26" s="79" t="s">
        <v>390</v>
      </c>
      <c r="C26" s="79" t="s">
        <v>580</v>
      </c>
      <c r="D26" s="99">
        <v>2410</v>
      </c>
      <c r="E26" s="99">
        <v>238</v>
      </c>
      <c r="F26" s="99" t="s">
        <v>433</v>
      </c>
      <c r="G26" s="99" t="s">
        <v>726</v>
      </c>
      <c r="H26" s="99" t="s">
        <v>726</v>
      </c>
      <c r="I26" s="99">
        <v>14</v>
      </c>
      <c r="J26" s="99">
        <v>126</v>
      </c>
      <c r="K26" s="99" t="s">
        <v>726</v>
      </c>
      <c r="L26" s="99">
        <v>399</v>
      </c>
      <c r="M26" s="99">
        <v>44</v>
      </c>
      <c r="N26" s="99">
        <v>19</v>
      </c>
      <c r="O26" s="99">
        <v>27</v>
      </c>
      <c r="P26" s="159">
        <v>27</v>
      </c>
      <c r="Q26" s="99" t="s">
        <v>726</v>
      </c>
      <c r="R26" s="99" t="s">
        <v>726</v>
      </c>
      <c r="S26" s="99">
        <v>6</v>
      </c>
      <c r="T26" s="99" t="s">
        <v>726</v>
      </c>
      <c r="U26" s="99" t="s">
        <v>726</v>
      </c>
      <c r="V26" s="99">
        <v>9</v>
      </c>
      <c r="W26" s="99">
        <v>12</v>
      </c>
      <c r="X26" s="99">
        <v>6</v>
      </c>
      <c r="Y26" s="99">
        <v>22</v>
      </c>
      <c r="Z26" s="99">
        <v>10</v>
      </c>
      <c r="AA26" s="99" t="s">
        <v>726</v>
      </c>
      <c r="AB26" s="99" t="s">
        <v>726</v>
      </c>
      <c r="AC26" s="99" t="s">
        <v>726</v>
      </c>
      <c r="AD26" s="98" t="s">
        <v>411</v>
      </c>
      <c r="AE26" s="100">
        <v>0.0987551867219917</v>
      </c>
      <c r="AF26" s="100">
        <v>0.13</v>
      </c>
      <c r="AG26" s="98" t="s">
        <v>726</v>
      </c>
      <c r="AH26" s="98" t="s">
        <v>726</v>
      </c>
      <c r="AI26" s="100">
        <v>0.006</v>
      </c>
      <c r="AJ26" s="100">
        <v>0.583333</v>
      </c>
      <c r="AK26" s="100" t="s">
        <v>726</v>
      </c>
      <c r="AL26" s="100">
        <v>0.690311</v>
      </c>
      <c r="AM26" s="100">
        <v>0.316547</v>
      </c>
      <c r="AN26" s="100">
        <v>0.345455</v>
      </c>
      <c r="AO26" s="98">
        <v>1120.331950207469</v>
      </c>
      <c r="AP26" s="158">
        <v>0.8368521881</v>
      </c>
      <c r="AQ26" s="100" t="s">
        <v>726</v>
      </c>
      <c r="AR26" s="100" t="s">
        <v>726</v>
      </c>
      <c r="AS26" s="98">
        <v>248.96265560165975</v>
      </c>
      <c r="AT26" s="98" t="s">
        <v>726</v>
      </c>
      <c r="AU26" s="98" t="s">
        <v>726</v>
      </c>
      <c r="AV26" s="98">
        <v>373.4439834024896</v>
      </c>
      <c r="AW26" s="98">
        <v>497.9253112033195</v>
      </c>
      <c r="AX26" s="98">
        <v>248.96265560165975</v>
      </c>
      <c r="AY26" s="98">
        <v>912.8630705394191</v>
      </c>
      <c r="AZ26" s="98">
        <v>414.9377593360996</v>
      </c>
      <c r="BA26" s="100" t="s">
        <v>726</v>
      </c>
      <c r="BB26" s="100" t="s">
        <v>726</v>
      </c>
      <c r="BC26" s="100" t="s">
        <v>726</v>
      </c>
      <c r="BD26" s="158">
        <v>0.5514908599999999</v>
      </c>
      <c r="BE26" s="158">
        <v>1.217575989</v>
      </c>
      <c r="BF26" s="162">
        <v>216</v>
      </c>
      <c r="BG26" s="162" t="s">
        <v>726</v>
      </c>
      <c r="BH26" s="162">
        <v>578</v>
      </c>
      <c r="BI26" s="162">
        <v>139</v>
      </c>
      <c r="BJ26" s="162">
        <v>55</v>
      </c>
      <c r="BK26" s="97"/>
      <c r="BL26" s="97"/>
      <c r="BM26" s="97"/>
      <c r="BN26" s="97"/>
    </row>
    <row r="27" spans="1:66" ht="12.75">
      <c r="A27" s="79" t="s">
        <v>703</v>
      </c>
      <c r="B27" s="79" t="s">
        <v>394</v>
      </c>
      <c r="C27" s="79" t="s">
        <v>580</v>
      </c>
      <c r="D27" s="99">
        <v>2286</v>
      </c>
      <c r="E27" s="99">
        <v>201</v>
      </c>
      <c r="F27" s="99" t="s">
        <v>432</v>
      </c>
      <c r="G27" s="99" t="s">
        <v>726</v>
      </c>
      <c r="H27" s="99" t="s">
        <v>726</v>
      </c>
      <c r="I27" s="99">
        <v>24</v>
      </c>
      <c r="J27" s="99">
        <v>98</v>
      </c>
      <c r="K27" s="99" t="s">
        <v>726</v>
      </c>
      <c r="L27" s="99">
        <v>375</v>
      </c>
      <c r="M27" s="99">
        <v>54</v>
      </c>
      <c r="N27" s="99">
        <v>27</v>
      </c>
      <c r="O27" s="99">
        <v>62</v>
      </c>
      <c r="P27" s="159">
        <v>62</v>
      </c>
      <c r="Q27" s="99" t="s">
        <v>726</v>
      </c>
      <c r="R27" s="99">
        <v>8</v>
      </c>
      <c r="S27" s="99">
        <v>19</v>
      </c>
      <c r="T27" s="99">
        <v>13</v>
      </c>
      <c r="U27" s="99" t="s">
        <v>726</v>
      </c>
      <c r="V27" s="99">
        <v>6</v>
      </c>
      <c r="W27" s="99">
        <v>16</v>
      </c>
      <c r="X27" s="99">
        <v>9</v>
      </c>
      <c r="Y27" s="99">
        <v>31</v>
      </c>
      <c r="Z27" s="99">
        <v>11</v>
      </c>
      <c r="AA27" s="99" t="s">
        <v>726</v>
      </c>
      <c r="AB27" s="99" t="s">
        <v>726</v>
      </c>
      <c r="AC27" s="99" t="s">
        <v>726</v>
      </c>
      <c r="AD27" s="98" t="s">
        <v>411</v>
      </c>
      <c r="AE27" s="100">
        <v>0.08792650918635171</v>
      </c>
      <c r="AF27" s="100">
        <v>0.11</v>
      </c>
      <c r="AG27" s="98" t="s">
        <v>726</v>
      </c>
      <c r="AH27" s="98" t="s">
        <v>726</v>
      </c>
      <c r="AI27" s="100">
        <v>0.01</v>
      </c>
      <c r="AJ27" s="100">
        <v>0.576471</v>
      </c>
      <c r="AK27" s="100" t="s">
        <v>726</v>
      </c>
      <c r="AL27" s="100">
        <v>0.579598</v>
      </c>
      <c r="AM27" s="100">
        <v>0.380282</v>
      </c>
      <c r="AN27" s="100">
        <v>0.457627</v>
      </c>
      <c r="AO27" s="98">
        <v>2712.1609798775153</v>
      </c>
      <c r="AP27" s="158">
        <v>1.827064667</v>
      </c>
      <c r="AQ27" s="100" t="s">
        <v>726</v>
      </c>
      <c r="AR27" s="100" t="s">
        <v>726</v>
      </c>
      <c r="AS27" s="98">
        <v>831.1461067366579</v>
      </c>
      <c r="AT27" s="98">
        <v>568.678915135608</v>
      </c>
      <c r="AU27" s="98" t="s">
        <v>726</v>
      </c>
      <c r="AV27" s="98">
        <v>262.4671916010499</v>
      </c>
      <c r="AW27" s="98">
        <v>699.912510936133</v>
      </c>
      <c r="AX27" s="98">
        <v>393.7007874015748</v>
      </c>
      <c r="AY27" s="98">
        <v>1356.0804899387576</v>
      </c>
      <c r="AZ27" s="98">
        <v>481.18985126859144</v>
      </c>
      <c r="BA27" s="100" t="s">
        <v>726</v>
      </c>
      <c r="BB27" s="100" t="s">
        <v>726</v>
      </c>
      <c r="BC27" s="100" t="s">
        <v>726</v>
      </c>
      <c r="BD27" s="158">
        <v>1.400800018</v>
      </c>
      <c r="BE27" s="158">
        <v>2.3422143550000003</v>
      </c>
      <c r="BF27" s="162">
        <v>170</v>
      </c>
      <c r="BG27" s="162" t="s">
        <v>726</v>
      </c>
      <c r="BH27" s="162">
        <v>647</v>
      </c>
      <c r="BI27" s="162">
        <v>142</v>
      </c>
      <c r="BJ27" s="162">
        <v>59</v>
      </c>
      <c r="BK27" s="97"/>
      <c r="BL27" s="97"/>
      <c r="BM27" s="97"/>
      <c r="BN27" s="97"/>
    </row>
    <row r="28" spans="1:66" ht="12.75">
      <c r="A28" s="79" t="s">
        <v>713</v>
      </c>
      <c r="B28" s="79" t="s">
        <v>404</v>
      </c>
      <c r="C28" s="79" t="s">
        <v>580</v>
      </c>
      <c r="D28" s="99">
        <v>2400</v>
      </c>
      <c r="E28" s="99">
        <v>194</v>
      </c>
      <c r="F28" s="99" t="s">
        <v>432</v>
      </c>
      <c r="G28" s="99">
        <v>6</v>
      </c>
      <c r="H28" s="99" t="s">
        <v>726</v>
      </c>
      <c r="I28" s="99">
        <v>21</v>
      </c>
      <c r="J28" s="99">
        <v>100</v>
      </c>
      <c r="K28" s="99" t="s">
        <v>726</v>
      </c>
      <c r="L28" s="99">
        <v>415</v>
      </c>
      <c r="M28" s="99">
        <v>45</v>
      </c>
      <c r="N28" s="99">
        <v>23</v>
      </c>
      <c r="O28" s="99">
        <v>21</v>
      </c>
      <c r="P28" s="159">
        <v>21</v>
      </c>
      <c r="Q28" s="99" t="s">
        <v>726</v>
      </c>
      <c r="R28" s="99" t="s">
        <v>726</v>
      </c>
      <c r="S28" s="99" t="s">
        <v>726</v>
      </c>
      <c r="T28" s="99" t="s">
        <v>726</v>
      </c>
      <c r="U28" s="99" t="s">
        <v>726</v>
      </c>
      <c r="V28" s="99">
        <v>6</v>
      </c>
      <c r="W28" s="99" t="s">
        <v>726</v>
      </c>
      <c r="X28" s="99" t="s">
        <v>726</v>
      </c>
      <c r="Y28" s="99">
        <v>16</v>
      </c>
      <c r="Z28" s="99" t="s">
        <v>726</v>
      </c>
      <c r="AA28" s="99" t="s">
        <v>726</v>
      </c>
      <c r="AB28" s="99" t="s">
        <v>726</v>
      </c>
      <c r="AC28" s="99" t="s">
        <v>726</v>
      </c>
      <c r="AD28" s="98" t="s">
        <v>411</v>
      </c>
      <c r="AE28" s="100">
        <v>0.08083333333333333</v>
      </c>
      <c r="AF28" s="100">
        <v>0.12</v>
      </c>
      <c r="AG28" s="98">
        <v>250</v>
      </c>
      <c r="AH28" s="98" t="s">
        <v>726</v>
      </c>
      <c r="AI28" s="100">
        <v>0.009000000000000001</v>
      </c>
      <c r="AJ28" s="100">
        <v>0.606061</v>
      </c>
      <c r="AK28" s="100" t="s">
        <v>726</v>
      </c>
      <c r="AL28" s="100">
        <v>0.623123</v>
      </c>
      <c r="AM28" s="100">
        <v>0.354331</v>
      </c>
      <c r="AN28" s="100">
        <v>0.511111</v>
      </c>
      <c r="AO28" s="98">
        <v>875</v>
      </c>
      <c r="AP28" s="158">
        <v>0.6472754668999999</v>
      </c>
      <c r="AQ28" s="100" t="s">
        <v>726</v>
      </c>
      <c r="AR28" s="100" t="s">
        <v>726</v>
      </c>
      <c r="AS28" s="98" t="s">
        <v>726</v>
      </c>
      <c r="AT28" s="98" t="s">
        <v>726</v>
      </c>
      <c r="AU28" s="98" t="s">
        <v>726</v>
      </c>
      <c r="AV28" s="98">
        <v>250</v>
      </c>
      <c r="AW28" s="98" t="s">
        <v>726</v>
      </c>
      <c r="AX28" s="98" t="s">
        <v>726</v>
      </c>
      <c r="AY28" s="98">
        <v>666.6666666666666</v>
      </c>
      <c r="AZ28" s="98" t="s">
        <v>726</v>
      </c>
      <c r="BA28" s="100" t="s">
        <v>726</v>
      </c>
      <c r="BB28" s="100" t="s">
        <v>726</v>
      </c>
      <c r="BC28" s="100" t="s">
        <v>726</v>
      </c>
      <c r="BD28" s="158">
        <v>0.4006737137</v>
      </c>
      <c r="BE28" s="158">
        <v>0.9894293213</v>
      </c>
      <c r="BF28" s="162">
        <v>165</v>
      </c>
      <c r="BG28" s="162" t="s">
        <v>726</v>
      </c>
      <c r="BH28" s="162">
        <v>666</v>
      </c>
      <c r="BI28" s="162">
        <v>127</v>
      </c>
      <c r="BJ28" s="162">
        <v>45</v>
      </c>
      <c r="BK28" s="97"/>
      <c r="BL28" s="97"/>
      <c r="BM28" s="97"/>
      <c r="BN28" s="97"/>
    </row>
    <row r="29" spans="1:66" ht="12.75">
      <c r="A29" s="79" t="s">
        <v>684</v>
      </c>
      <c r="B29" s="79" t="s">
        <v>375</v>
      </c>
      <c r="C29" s="79" t="s">
        <v>580</v>
      </c>
      <c r="D29" s="99">
        <v>6963</v>
      </c>
      <c r="E29" s="99">
        <v>906</v>
      </c>
      <c r="F29" s="99" t="s">
        <v>434</v>
      </c>
      <c r="G29" s="99">
        <v>25</v>
      </c>
      <c r="H29" s="99">
        <v>8</v>
      </c>
      <c r="I29" s="99">
        <v>111</v>
      </c>
      <c r="J29" s="99">
        <v>630</v>
      </c>
      <c r="K29" s="99">
        <v>6</v>
      </c>
      <c r="L29" s="99">
        <v>1523</v>
      </c>
      <c r="M29" s="99">
        <v>398</v>
      </c>
      <c r="N29" s="99">
        <v>173</v>
      </c>
      <c r="O29" s="99">
        <v>52</v>
      </c>
      <c r="P29" s="159">
        <v>52</v>
      </c>
      <c r="Q29" s="99">
        <v>9</v>
      </c>
      <c r="R29" s="99">
        <v>26</v>
      </c>
      <c r="S29" s="99">
        <v>6</v>
      </c>
      <c r="T29" s="99">
        <v>7</v>
      </c>
      <c r="U29" s="99" t="s">
        <v>726</v>
      </c>
      <c r="V29" s="99">
        <v>20</v>
      </c>
      <c r="W29" s="99">
        <v>32</v>
      </c>
      <c r="X29" s="99">
        <v>28</v>
      </c>
      <c r="Y29" s="99">
        <v>41</v>
      </c>
      <c r="Z29" s="99">
        <v>18</v>
      </c>
      <c r="AA29" s="99" t="s">
        <v>726</v>
      </c>
      <c r="AB29" s="99" t="s">
        <v>726</v>
      </c>
      <c r="AC29" s="99" t="s">
        <v>726</v>
      </c>
      <c r="AD29" s="98" t="s">
        <v>411</v>
      </c>
      <c r="AE29" s="100">
        <v>0.13011632916846186</v>
      </c>
      <c r="AF29" s="100">
        <v>0.07</v>
      </c>
      <c r="AG29" s="98">
        <v>359.04064340083295</v>
      </c>
      <c r="AH29" s="98">
        <v>114.89300588826656</v>
      </c>
      <c r="AI29" s="100">
        <v>0.016</v>
      </c>
      <c r="AJ29" s="100">
        <v>0.801527</v>
      </c>
      <c r="AK29" s="100">
        <v>0.5</v>
      </c>
      <c r="AL29" s="100">
        <v>0.790758</v>
      </c>
      <c r="AM29" s="100">
        <v>0.572662</v>
      </c>
      <c r="AN29" s="100">
        <v>0.6337</v>
      </c>
      <c r="AO29" s="98">
        <v>746.8045382737325</v>
      </c>
      <c r="AP29" s="158">
        <v>0.4355050659</v>
      </c>
      <c r="AQ29" s="100">
        <v>0.17307692307692307</v>
      </c>
      <c r="AR29" s="100">
        <v>0.34615384615384615</v>
      </c>
      <c r="AS29" s="98">
        <v>86.16975441619991</v>
      </c>
      <c r="AT29" s="98">
        <v>100.53138015223324</v>
      </c>
      <c r="AU29" s="98" t="s">
        <v>726</v>
      </c>
      <c r="AV29" s="98">
        <v>287.23251472066636</v>
      </c>
      <c r="AW29" s="98">
        <v>459.57202355306623</v>
      </c>
      <c r="AX29" s="98">
        <v>402.12552060893296</v>
      </c>
      <c r="AY29" s="98">
        <v>588.8266551773661</v>
      </c>
      <c r="AZ29" s="98">
        <v>258.5092632485997</v>
      </c>
      <c r="BA29" s="100" t="s">
        <v>726</v>
      </c>
      <c r="BB29" s="100" t="s">
        <v>726</v>
      </c>
      <c r="BC29" s="100" t="s">
        <v>726</v>
      </c>
      <c r="BD29" s="158">
        <v>0.32525600429999996</v>
      </c>
      <c r="BE29" s="158">
        <v>0.5711069107</v>
      </c>
      <c r="BF29" s="162">
        <v>786</v>
      </c>
      <c r="BG29" s="162">
        <v>12</v>
      </c>
      <c r="BH29" s="162">
        <v>1926</v>
      </c>
      <c r="BI29" s="162">
        <v>695</v>
      </c>
      <c r="BJ29" s="162">
        <v>273</v>
      </c>
      <c r="BK29" s="97"/>
      <c r="BL29" s="97"/>
      <c r="BM29" s="97"/>
      <c r="BN29" s="97"/>
    </row>
    <row r="30" spans="1:66" ht="12.75">
      <c r="A30" s="79" t="s">
        <v>678</v>
      </c>
      <c r="B30" s="79" t="s">
        <v>369</v>
      </c>
      <c r="C30" s="79" t="s">
        <v>580</v>
      </c>
      <c r="D30" s="99">
        <v>11333</v>
      </c>
      <c r="E30" s="99">
        <v>1978</v>
      </c>
      <c r="F30" s="99" t="s">
        <v>434</v>
      </c>
      <c r="G30" s="99">
        <v>69</v>
      </c>
      <c r="H30" s="99">
        <v>29</v>
      </c>
      <c r="I30" s="99">
        <v>235</v>
      </c>
      <c r="J30" s="99">
        <v>1045</v>
      </c>
      <c r="K30" s="99">
        <v>21</v>
      </c>
      <c r="L30" s="99">
        <v>2276</v>
      </c>
      <c r="M30" s="99">
        <v>755</v>
      </c>
      <c r="N30" s="99">
        <v>297</v>
      </c>
      <c r="O30" s="99">
        <v>173</v>
      </c>
      <c r="P30" s="159">
        <v>173</v>
      </c>
      <c r="Q30" s="99">
        <v>12</v>
      </c>
      <c r="R30" s="99">
        <v>29</v>
      </c>
      <c r="S30" s="99">
        <v>13</v>
      </c>
      <c r="T30" s="99">
        <v>26</v>
      </c>
      <c r="U30" s="99">
        <v>15</v>
      </c>
      <c r="V30" s="99">
        <v>53</v>
      </c>
      <c r="W30" s="99">
        <v>81</v>
      </c>
      <c r="X30" s="99">
        <v>54</v>
      </c>
      <c r="Y30" s="99">
        <v>113</v>
      </c>
      <c r="Z30" s="99">
        <v>49</v>
      </c>
      <c r="AA30" s="99" t="s">
        <v>726</v>
      </c>
      <c r="AB30" s="99" t="s">
        <v>726</v>
      </c>
      <c r="AC30" s="99" t="s">
        <v>726</v>
      </c>
      <c r="AD30" s="98" t="s">
        <v>411</v>
      </c>
      <c r="AE30" s="100">
        <v>0.1745345451336804</v>
      </c>
      <c r="AF30" s="100">
        <v>0.07</v>
      </c>
      <c r="AG30" s="98">
        <v>608.8414365128386</v>
      </c>
      <c r="AH30" s="98">
        <v>255.8898791140916</v>
      </c>
      <c r="AI30" s="100">
        <v>0.021</v>
      </c>
      <c r="AJ30" s="100">
        <v>0.700402</v>
      </c>
      <c r="AK30" s="100">
        <v>0.583333</v>
      </c>
      <c r="AL30" s="100">
        <v>0.797198</v>
      </c>
      <c r="AM30" s="100">
        <v>0.551095</v>
      </c>
      <c r="AN30" s="100">
        <v>0.604888</v>
      </c>
      <c r="AO30" s="98">
        <v>1526.5154857495809</v>
      </c>
      <c r="AP30" s="158">
        <v>0.7736068726</v>
      </c>
      <c r="AQ30" s="100">
        <v>0.06936416184971098</v>
      </c>
      <c r="AR30" s="100">
        <v>0.41379310344827586</v>
      </c>
      <c r="AS30" s="98">
        <v>114.70925615459278</v>
      </c>
      <c r="AT30" s="98">
        <v>229.41851230918556</v>
      </c>
      <c r="AU30" s="98">
        <v>132.35683402453014</v>
      </c>
      <c r="AV30" s="98">
        <v>467.6608135533398</v>
      </c>
      <c r="AW30" s="98">
        <v>714.7269037324627</v>
      </c>
      <c r="AX30" s="98">
        <v>476.4846024883085</v>
      </c>
      <c r="AY30" s="98">
        <v>997.0881496514603</v>
      </c>
      <c r="AZ30" s="98">
        <v>432.3656578134651</v>
      </c>
      <c r="BA30" s="100" t="s">
        <v>726</v>
      </c>
      <c r="BB30" s="100" t="s">
        <v>726</v>
      </c>
      <c r="BC30" s="100" t="s">
        <v>726</v>
      </c>
      <c r="BD30" s="158">
        <v>0.6626212311</v>
      </c>
      <c r="BE30" s="158">
        <v>0.8978644562</v>
      </c>
      <c r="BF30" s="162">
        <v>1492</v>
      </c>
      <c r="BG30" s="162">
        <v>36</v>
      </c>
      <c r="BH30" s="162">
        <v>2855</v>
      </c>
      <c r="BI30" s="162">
        <v>1370</v>
      </c>
      <c r="BJ30" s="162">
        <v>491</v>
      </c>
      <c r="BK30" s="97"/>
      <c r="BL30" s="97"/>
      <c r="BM30" s="97"/>
      <c r="BN30" s="97"/>
    </row>
    <row r="31" spans="1:66" ht="12.75">
      <c r="A31" s="79" t="s">
        <v>669</v>
      </c>
      <c r="B31" s="79" t="s">
        <v>359</v>
      </c>
      <c r="C31" s="79" t="s">
        <v>580</v>
      </c>
      <c r="D31" s="99">
        <v>13588</v>
      </c>
      <c r="E31" s="99">
        <v>2086</v>
      </c>
      <c r="F31" s="99" t="s">
        <v>432</v>
      </c>
      <c r="G31" s="99">
        <v>56</v>
      </c>
      <c r="H31" s="99">
        <v>24</v>
      </c>
      <c r="I31" s="99">
        <v>132</v>
      </c>
      <c r="J31" s="99">
        <v>1146</v>
      </c>
      <c r="K31" s="99">
        <v>6</v>
      </c>
      <c r="L31" s="99">
        <v>2575</v>
      </c>
      <c r="M31" s="99">
        <v>750</v>
      </c>
      <c r="N31" s="99">
        <v>283</v>
      </c>
      <c r="O31" s="99">
        <v>125</v>
      </c>
      <c r="P31" s="159">
        <v>125</v>
      </c>
      <c r="Q31" s="99">
        <v>24</v>
      </c>
      <c r="R31" s="99">
        <v>58</v>
      </c>
      <c r="S31" s="99">
        <v>13</v>
      </c>
      <c r="T31" s="99">
        <v>23</v>
      </c>
      <c r="U31" s="99">
        <v>13</v>
      </c>
      <c r="V31" s="99">
        <v>31</v>
      </c>
      <c r="W31" s="99">
        <v>91</v>
      </c>
      <c r="X31" s="99">
        <v>55</v>
      </c>
      <c r="Y31" s="99">
        <v>111</v>
      </c>
      <c r="Z31" s="99">
        <v>66</v>
      </c>
      <c r="AA31" s="99" t="s">
        <v>726</v>
      </c>
      <c r="AB31" s="99" t="s">
        <v>726</v>
      </c>
      <c r="AC31" s="99" t="s">
        <v>726</v>
      </c>
      <c r="AD31" s="98" t="s">
        <v>411</v>
      </c>
      <c r="AE31" s="100">
        <v>0.1535178098322049</v>
      </c>
      <c r="AF31" s="100">
        <v>0.12</v>
      </c>
      <c r="AG31" s="98">
        <v>412.12834854283193</v>
      </c>
      <c r="AH31" s="98">
        <v>176.6264350897851</v>
      </c>
      <c r="AI31" s="100">
        <v>0.01</v>
      </c>
      <c r="AJ31" s="100">
        <v>0.742709</v>
      </c>
      <c r="AK31" s="100">
        <v>0.5</v>
      </c>
      <c r="AL31" s="100">
        <v>0.783628</v>
      </c>
      <c r="AM31" s="100">
        <v>0.549451</v>
      </c>
      <c r="AN31" s="100">
        <v>0.583505</v>
      </c>
      <c r="AO31" s="98">
        <v>919.9293494259641</v>
      </c>
      <c r="AP31" s="158">
        <v>0.5166488266</v>
      </c>
      <c r="AQ31" s="100">
        <v>0.192</v>
      </c>
      <c r="AR31" s="100">
        <v>0.41379310344827586</v>
      </c>
      <c r="AS31" s="98">
        <v>95.67265234030026</v>
      </c>
      <c r="AT31" s="98">
        <v>169.2670002943774</v>
      </c>
      <c r="AU31" s="98">
        <v>95.67265234030026</v>
      </c>
      <c r="AV31" s="98">
        <v>228.1424786576391</v>
      </c>
      <c r="AW31" s="98">
        <v>669.7085663821018</v>
      </c>
      <c r="AX31" s="98">
        <v>404.7689137474242</v>
      </c>
      <c r="AY31" s="98">
        <v>816.8972622902561</v>
      </c>
      <c r="AZ31" s="98">
        <v>485.722696496909</v>
      </c>
      <c r="BA31" s="100" t="s">
        <v>726</v>
      </c>
      <c r="BB31" s="100" t="s">
        <v>726</v>
      </c>
      <c r="BC31" s="100" t="s">
        <v>726</v>
      </c>
      <c r="BD31" s="158">
        <v>0.4300539398</v>
      </c>
      <c r="BE31" s="158">
        <v>0.615563736</v>
      </c>
      <c r="BF31" s="162">
        <v>1543</v>
      </c>
      <c r="BG31" s="162">
        <v>12</v>
      </c>
      <c r="BH31" s="162">
        <v>3286</v>
      </c>
      <c r="BI31" s="162">
        <v>1365</v>
      </c>
      <c r="BJ31" s="162">
        <v>485</v>
      </c>
      <c r="BK31" s="97"/>
      <c r="BL31" s="97"/>
      <c r="BM31" s="97"/>
      <c r="BN31" s="97"/>
    </row>
    <row r="32" spans="1:66" ht="12.75">
      <c r="A32" s="79" t="s">
        <v>646</v>
      </c>
      <c r="B32" s="79" t="s">
        <v>336</v>
      </c>
      <c r="C32" s="79" t="s">
        <v>580</v>
      </c>
      <c r="D32" s="99">
        <v>6273</v>
      </c>
      <c r="E32" s="99">
        <v>1141</v>
      </c>
      <c r="F32" s="99" t="s">
        <v>434</v>
      </c>
      <c r="G32" s="99">
        <v>20</v>
      </c>
      <c r="H32" s="99">
        <v>10</v>
      </c>
      <c r="I32" s="99">
        <v>121</v>
      </c>
      <c r="J32" s="99">
        <v>529</v>
      </c>
      <c r="K32" s="99">
        <v>496</v>
      </c>
      <c r="L32" s="99">
        <v>1257</v>
      </c>
      <c r="M32" s="99">
        <v>387</v>
      </c>
      <c r="N32" s="99">
        <v>168</v>
      </c>
      <c r="O32" s="99">
        <v>47</v>
      </c>
      <c r="P32" s="159">
        <v>47</v>
      </c>
      <c r="Q32" s="99">
        <v>6</v>
      </c>
      <c r="R32" s="99">
        <v>18</v>
      </c>
      <c r="S32" s="99">
        <v>19</v>
      </c>
      <c r="T32" s="99" t="s">
        <v>726</v>
      </c>
      <c r="U32" s="99" t="s">
        <v>726</v>
      </c>
      <c r="V32" s="99">
        <v>6</v>
      </c>
      <c r="W32" s="99">
        <v>30</v>
      </c>
      <c r="X32" s="99">
        <v>20</v>
      </c>
      <c r="Y32" s="99">
        <v>41</v>
      </c>
      <c r="Z32" s="99">
        <v>16</v>
      </c>
      <c r="AA32" s="99" t="s">
        <v>726</v>
      </c>
      <c r="AB32" s="99" t="s">
        <v>726</v>
      </c>
      <c r="AC32" s="99" t="s">
        <v>726</v>
      </c>
      <c r="AD32" s="98" t="s">
        <v>411</v>
      </c>
      <c r="AE32" s="100">
        <v>0.18189064243583614</v>
      </c>
      <c r="AF32" s="100">
        <v>0.03</v>
      </c>
      <c r="AG32" s="98">
        <v>318.8267176789415</v>
      </c>
      <c r="AH32" s="98">
        <v>159.41335883947076</v>
      </c>
      <c r="AI32" s="100">
        <v>0.019</v>
      </c>
      <c r="AJ32" s="100">
        <v>0.735744</v>
      </c>
      <c r="AK32" s="100">
        <v>0.727273</v>
      </c>
      <c r="AL32" s="100">
        <v>0.794062</v>
      </c>
      <c r="AM32" s="100">
        <v>0.584592</v>
      </c>
      <c r="AN32" s="100">
        <v>0.641221</v>
      </c>
      <c r="AO32" s="98">
        <v>749.2427865455126</v>
      </c>
      <c r="AP32" s="158">
        <v>0.3862533569</v>
      </c>
      <c r="AQ32" s="100">
        <v>0.1276595744680851</v>
      </c>
      <c r="AR32" s="100">
        <v>0.3333333333333333</v>
      </c>
      <c r="AS32" s="98">
        <v>302.88538179499443</v>
      </c>
      <c r="AT32" s="98" t="s">
        <v>726</v>
      </c>
      <c r="AU32" s="98" t="s">
        <v>726</v>
      </c>
      <c r="AV32" s="98">
        <v>95.64801530368244</v>
      </c>
      <c r="AW32" s="98">
        <v>478.24007651841225</v>
      </c>
      <c r="AX32" s="98">
        <v>318.8267176789415</v>
      </c>
      <c r="AY32" s="98">
        <v>653.59477124183</v>
      </c>
      <c r="AZ32" s="98">
        <v>255.0613741431532</v>
      </c>
      <c r="BA32" s="100" t="s">
        <v>726</v>
      </c>
      <c r="BB32" s="100" t="s">
        <v>726</v>
      </c>
      <c r="BC32" s="100" t="s">
        <v>726</v>
      </c>
      <c r="BD32" s="158">
        <v>0.2838044357</v>
      </c>
      <c r="BE32" s="158">
        <v>0.5136350632</v>
      </c>
      <c r="BF32" s="162">
        <v>719</v>
      </c>
      <c r="BG32" s="162">
        <v>682</v>
      </c>
      <c r="BH32" s="162">
        <v>1583</v>
      </c>
      <c r="BI32" s="162">
        <v>662</v>
      </c>
      <c r="BJ32" s="162">
        <v>262</v>
      </c>
      <c r="BK32" s="97"/>
      <c r="BL32" s="97"/>
      <c r="BM32" s="97"/>
      <c r="BN32" s="97"/>
    </row>
    <row r="33" spans="1:66" ht="12.75">
      <c r="A33" s="79" t="s">
        <v>648</v>
      </c>
      <c r="B33" s="79" t="s">
        <v>338</v>
      </c>
      <c r="C33" s="79" t="s">
        <v>580</v>
      </c>
      <c r="D33" s="99">
        <v>16611</v>
      </c>
      <c r="E33" s="99">
        <v>2243</v>
      </c>
      <c r="F33" s="99" t="s">
        <v>434</v>
      </c>
      <c r="G33" s="99">
        <v>62</v>
      </c>
      <c r="H33" s="99">
        <v>31</v>
      </c>
      <c r="I33" s="99">
        <v>264</v>
      </c>
      <c r="J33" s="99">
        <v>1254</v>
      </c>
      <c r="K33" s="99">
        <v>14</v>
      </c>
      <c r="L33" s="99">
        <v>3363</v>
      </c>
      <c r="M33" s="99">
        <v>833</v>
      </c>
      <c r="N33" s="99">
        <v>323</v>
      </c>
      <c r="O33" s="99">
        <v>255</v>
      </c>
      <c r="P33" s="159">
        <v>255</v>
      </c>
      <c r="Q33" s="99">
        <v>23</v>
      </c>
      <c r="R33" s="99">
        <v>60</v>
      </c>
      <c r="S33" s="99">
        <v>53</v>
      </c>
      <c r="T33" s="99">
        <v>44</v>
      </c>
      <c r="U33" s="99">
        <v>16</v>
      </c>
      <c r="V33" s="99">
        <v>70</v>
      </c>
      <c r="W33" s="99">
        <v>93</v>
      </c>
      <c r="X33" s="99">
        <v>71</v>
      </c>
      <c r="Y33" s="99">
        <v>182</v>
      </c>
      <c r="Z33" s="99">
        <v>66</v>
      </c>
      <c r="AA33" s="99" t="s">
        <v>726</v>
      </c>
      <c r="AB33" s="99" t="s">
        <v>726</v>
      </c>
      <c r="AC33" s="99" t="s">
        <v>726</v>
      </c>
      <c r="AD33" s="98" t="s">
        <v>411</v>
      </c>
      <c r="AE33" s="100">
        <v>0.13503100355186323</v>
      </c>
      <c r="AF33" s="100">
        <v>0.06</v>
      </c>
      <c r="AG33" s="98">
        <v>373.24664379025944</v>
      </c>
      <c r="AH33" s="98">
        <v>186.62332189512972</v>
      </c>
      <c r="AI33" s="100">
        <v>0.016</v>
      </c>
      <c r="AJ33" s="100">
        <v>0.686747</v>
      </c>
      <c r="AK33" s="100">
        <v>0.388889</v>
      </c>
      <c r="AL33" s="100">
        <v>0.764318</v>
      </c>
      <c r="AM33" s="100">
        <v>0.572902</v>
      </c>
      <c r="AN33" s="100">
        <v>0.60149</v>
      </c>
      <c r="AO33" s="98">
        <v>1535.1273252663898</v>
      </c>
      <c r="AP33" s="158">
        <v>0.8788330078</v>
      </c>
      <c r="AQ33" s="100">
        <v>0.09019607843137255</v>
      </c>
      <c r="AR33" s="100">
        <v>0.38333333333333336</v>
      </c>
      <c r="AS33" s="98">
        <v>319.0656793690928</v>
      </c>
      <c r="AT33" s="98">
        <v>264.88471494792606</v>
      </c>
      <c r="AU33" s="98">
        <v>96.32171452651858</v>
      </c>
      <c r="AV33" s="98">
        <v>421.40750105351873</v>
      </c>
      <c r="AW33" s="98">
        <v>559.8699656853892</v>
      </c>
      <c r="AX33" s="98">
        <v>427.42760821142616</v>
      </c>
      <c r="AY33" s="98">
        <v>1095.6595027391488</v>
      </c>
      <c r="AZ33" s="98">
        <v>397.3270724218891</v>
      </c>
      <c r="BA33" s="100" t="s">
        <v>726</v>
      </c>
      <c r="BB33" s="100" t="s">
        <v>726</v>
      </c>
      <c r="BC33" s="100" t="s">
        <v>726</v>
      </c>
      <c r="BD33" s="158">
        <v>0.7742675018</v>
      </c>
      <c r="BE33" s="158">
        <v>0.9935829925999999</v>
      </c>
      <c r="BF33" s="162">
        <v>1826</v>
      </c>
      <c r="BG33" s="162">
        <v>36</v>
      </c>
      <c r="BH33" s="162">
        <v>4400</v>
      </c>
      <c r="BI33" s="162">
        <v>1454</v>
      </c>
      <c r="BJ33" s="162">
        <v>537</v>
      </c>
      <c r="BK33" s="97"/>
      <c r="BL33" s="97"/>
      <c r="BM33" s="97"/>
      <c r="BN33" s="97"/>
    </row>
    <row r="34" spans="1:66" ht="12.75">
      <c r="A34" s="79" t="s">
        <v>679</v>
      </c>
      <c r="B34" s="79" t="s">
        <v>370</v>
      </c>
      <c r="C34" s="79" t="s">
        <v>580</v>
      </c>
      <c r="D34" s="99">
        <v>8430</v>
      </c>
      <c r="E34" s="99">
        <v>1485</v>
      </c>
      <c r="F34" s="99" t="s">
        <v>434</v>
      </c>
      <c r="G34" s="99">
        <v>26</v>
      </c>
      <c r="H34" s="99">
        <v>23</v>
      </c>
      <c r="I34" s="99">
        <v>114</v>
      </c>
      <c r="J34" s="99">
        <v>768</v>
      </c>
      <c r="K34" s="99">
        <v>755</v>
      </c>
      <c r="L34" s="99">
        <v>1802</v>
      </c>
      <c r="M34" s="99">
        <v>549</v>
      </c>
      <c r="N34" s="99">
        <v>210</v>
      </c>
      <c r="O34" s="99">
        <v>108</v>
      </c>
      <c r="P34" s="159">
        <v>108</v>
      </c>
      <c r="Q34" s="99">
        <v>9</v>
      </c>
      <c r="R34" s="99">
        <v>29</v>
      </c>
      <c r="S34" s="99">
        <v>19</v>
      </c>
      <c r="T34" s="99">
        <v>9</v>
      </c>
      <c r="U34" s="99" t="s">
        <v>726</v>
      </c>
      <c r="V34" s="99">
        <v>35</v>
      </c>
      <c r="W34" s="99">
        <v>38</v>
      </c>
      <c r="X34" s="99">
        <v>17</v>
      </c>
      <c r="Y34" s="99">
        <v>86</v>
      </c>
      <c r="Z34" s="99">
        <v>35</v>
      </c>
      <c r="AA34" s="99" t="s">
        <v>726</v>
      </c>
      <c r="AB34" s="99" t="s">
        <v>726</v>
      </c>
      <c r="AC34" s="99" t="s">
        <v>726</v>
      </c>
      <c r="AD34" s="98" t="s">
        <v>411</v>
      </c>
      <c r="AE34" s="100">
        <v>0.17615658362989323</v>
      </c>
      <c r="AF34" s="100">
        <v>0.07</v>
      </c>
      <c r="AG34" s="98">
        <v>308.4223013048636</v>
      </c>
      <c r="AH34" s="98">
        <v>272.8351126927639</v>
      </c>
      <c r="AI34" s="100">
        <v>0.013999999999999999</v>
      </c>
      <c r="AJ34" s="100">
        <v>0.777328</v>
      </c>
      <c r="AK34" s="100">
        <v>0.787278</v>
      </c>
      <c r="AL34" s="100">
        <v>0.80303</v>
      </c>
      <c r="AM34" s="100">
        <v>0.607301</v>
      </c>
      <c r="AN34" s="100">
        <v>0.621302</v>
      </c>
      <c r="AO34" s="98">
        <v>1281.1387900355871</v>
      </c>
      <c r="AP34" s="158">
        <v>0.6612288666</v>
      </c>
      <c r="AQ34" s="100">
        <v>0.08333333333333333</v>
      </c>
      <c r="AR34" s="100">
        <v>0.3103448275862069</v>
      </c>
      <c r="AS34" s="98">
        <v>225.38552787663107</v>
      </c>
      <c r="AT34" s="98">
        <v>106.76156583629893</v>
      </c>
      <c r="AU34" s="98" t="s">
        <v>726</v>
      </c>
      <c r="AV34" s="98">
        <v>415.1838671411625</v>
      </c>
      <c r="AW34" s="98">
        <v>450.77105575326215</v>
      </c>
      <c r="AX34" s="98">
        <v>201.66073546856464</v>
      </c>
      <c r="AY34" s="98">
        <v>1020.1660735468564</v>
      </c>
      <c r="AZ34" s="98">
        <v>415.1838671411625</v>
      </c>
      <c r="BA34" s="100" t="s">
        <v>726</v>
      </c>
      <c r="BB34" s="100" t="s">
        <v>726</v>
      </c>
      <c r="BC34" s="100" t="s">
        <v>726</v>
      </c>
      <c r="BD34" s="158">
        <v>0.5424188614</v>
      </c>
      <c r="BE34" s="158">
        <v>0.7983280182</v>
      </c>
      <c r="BF34" s="162">
        <v>988</v>
      </c>
      <c r="BG34" s="162">
        <v>959</v>
      </c>
      <c r="BH34" s="162">
        <v>2244</v>
      </c>
      <c r="BI34" s="162">
        <v>904</v>
      </c>
      <c r="BJ34" s="162">
        <v>338</v>
      </c>
      <c r="BK34" s="97"/>
      <c r="BL34" s="97"/>
      <c r="BM34" s="97"/>
      <c r="BN34" s="97"/>
    </row>
    <row r="35" spans="1:66" ht="12.75">
      <c r="A35" s="79" t="s">
        <v>605</v>
      </c>
      <c r="B35" s="79" t="s">
        <v>293</v>
      </c>
      <c r="C35" s="79" t="s">
        <v>580</v>
      </c>
      <c r="D35" s="99">
        <v>9611</v>
      </c>
      <c r="E35" s="99">
        <v>1106</v>
      </c>
      <c r="F35" s="99" t="s">
        <v>432</v>
      </c>
      <c r="G35" s="99">
        <v>27</v>
      </c>
      <c r="H35" s="99">
        <v>15</v>
      </c>
      <c r="I35" s="99">
        <v>110</v>
      </c>
      <c r="J35" s="99">
        <v>606</v>
      </c>
      <c r="K35" s="99">
        <v>6</v>
      </c>
      <c r="L35" s="99">
        <v>1850</v>
      </c>
      <c r="M35" s="99">
        <v>381</v>
      </c>
      <c r="N35" s="99">
        <v>162</v>
      </c>
      <c r="O35" s="99">
        <v>100</v>
      </c>
      <c r="P35" s="159">
        <v>100</v>
      </c>
      <c r="Q35" s="99">
        <v>9</v>
      </c>
      <c r="R35" s="99">
        <v>23</v>
      </c>
      <c r="S35" s="99">
        <v>30</v>
      </c>
      <c r="T35" s="99">
        <v>18</v>
      </c>
      <c r="U35" s="99" t="s">
        <v>726</v>
      </c>
      <c r="V35" s="99">
        <v>14</v>
      </c>
      <c r="W35" s="99">
        <v>55</v>
      </c>
      <c r="X35" s="99">
        <v>42</v>
      </c>
      <c r="Y35" s="99">
        <v>105</v>
      </c>
      <c r="Z35" s="99">
        <v>32</v>
      </c>
      <c r="AA35" s="99" t="s">
        <v>726</v>
      </c>
      <c r="AB35" s="99" t="s">
        <v>726</v>
      </c>
      <c r="AC35" s="99" t="s">
        <v>726</v>
      </c>
      <c r="AD35" s="98" t="s">
        <v>411</v>
      </c>
      <c r="AE35" s="100">
        <v>0.11507647487254188</v>
      </c>
      <c r="AF35" s="100">
        <v>0.11</v>
      </c>
      <c r="AG35" s="98">
        <v>280.9281032150661</v>
      </c>
      <c r="AH35" s="98">
        <v>156.07116845281448</v>
      </c>
      <c r="AI35" s="100">
        <v>0.011000000000000001</v>
      </c>
      <c r="AJ35" s="100">
        <v>0.71716</v>
      </c>
      <c r="AK35" s="100">
        <v>0.4</v>
      </c>
      <c r="AL35" s="100">
        <v>0.727773</v>
      </c>
      <c r="AM35" s="100">
        <v>0.522634</v>
      </c>
      <c r="AN35" s="100">
        <v>0.545455</v>
      </c>
      <c r="AO35" s="98">
        <v>1040.4744563520965</v>
      </c>
      <c r="AP35" s="158">
        <v>0.6662488555999999</v>
      </c>
      <c r="AQ35" s="100">
        <v>0.09</v>
      </c>
      <c r="AR35" s="100">
        <v>0.391304347826087</v>
      </c>
      <c r="AS35" s="98">
        <v>312.14233690562895</v>
      </c>
      <c r="AT35" s="98">
        <v>187.28540214337738</v>
      </c>
      <c r="AU35" s="98" t="s">
        <v>726</v>
      </c>
      <c r="AV35" s="98">
        <v>145.66642388929353</v>
      </c>
      <c r="AW35" s="98">
        <v>572.2609509936531</v>
      </c>
      <c r="AX35" s="98">
        <v>436.9992716678806</v>
      </c>
      <c r="AY35" s="98">
        <v>1092.4981791697014</v>
      </c>
      <c r="AZ35" s="98">
        <v>332.9518260326709</v>
      </c>
      <c r="BA35" s="101" t="s">
        <v>726</v>
      </c>
      <c r="BB35" s="101" t="s">
        <v>726</v>
      </c>
      <c r="BC35" s="101" t="s">
        <v>726</v>
      </c>
      <c r="BD35" s="158">
        <v>0.5420866776</v>
      </c>
      <c r="BE35" s="158">
        <v>0.8103371429</v>
      </c>
      <c r="BF35" s="162">
        <v>845</v>
      </c>
      <c r="BG35" s="162">
        <v>15</v>
      </c>
      <c r="BH35" s="162">
        <v>2542</v>
      </c>
      <c r="BI35" s="162">
        <v>729</v>
      </c>
      <c r="BJ35" s="162">
        <v>297</v>
      </c>
      <c r="BK35" s="97"/>
      <c r="BL35" s="97"/>
      <c r="BM35" s="97"/>
      <c r="BN35" s="97"/>
    </row>
    <row r="36" spans="1:66" ht="12.75">
      <c r="A36" s="79" t="s">
        <v>708</v>
      </c>
      <c r="B36" s="79" t="s">
        <v>399</v>
      </c>
      <c r="C36" s="79" t="s">
        <v>580</v>
      </c>
      <c r="D36" s="99">
        <v>1865</v>
      </c>
      <c r="E36" s="99">
        <v>95</v>
      </c>
      <c r="F36" s="99" t="s">
        <v>433</v>
      </c>
      <c r="G36" s="99" t="s">
        <v>726</v>
      </c>
      <c r="H36" s="99" t="s">
        <v>726</v>
      </c>
      <c r="I36" s="99">
        <v>11</v>
      </c>
      <c r="J36" s="99">
        <v>85</v>
      </c>
      <c r="K36" s="99">
        <v>82</v>
      </c>
      <c r="L36" s="99">
        <v>327</v>
      </c>
      <c r="M36" s="99">
        <v>50</v>
      </c>
      <c r="N36" s="99">
        <v>19</v>
      </c>
      <c r="O36" s="99" t="s">
        <v>726</v>
      </c>
      <c r="P36" s="159" t="s">
        <v>726</v>
      </c>
      <c r="Q36" s="99" t="s">
        <v>726</v>
      </c>
      <c r="R36" s="99" t="s">
        <v>726</v>
      </c>
      <c r="S36" s="99" t="s">
        <v>726</v>
      </c>
      <c r="T36" s="99" t="s">
        <v>726</v>
      </c>
      <c r="U36" s="99" t="s">
        <v>726</v>
      </c>
      <c r="V36" s="99" t="s">
        <v>726</v>
      </c>
      <c r="W36" s="99" t="s">
        <v>726</v>
      </c>
      <c r="X36" s="99" t="s">
        <v>726</v>
      </c>
      <c r="Y36" s="99">
        <v>10</v>
      </c>
      <c r="Z36" s="99" t="s">
        <v>726</v>
      </c>
      <c r="AA36" s="99" t="s">
        <v>726</v>
      </c>
      <c r="AB36" s="99" t="s">
        <v>726</v>
      </c>
      <c r="AC36" s="99" t="s">
        <v>726</v>
      </c>
      <c r="AD36" s="98" t="s">
        <v>411</v>
      </c>
      <c r="AE36" s="100">
        <v>0.05093833780160858</v>
      </c>
      <c r="AF36" s="100">
        <v>0.14</v>
      </c>
      <c r="AG36" s="98" t="s">
        <v>726</v>
      </c>
      <c r="AH36" s="98" t="s">
        <v>726</v>
      </c>
      <c r="AI36" s="100">
        <v>0.006</v>
      </c>
      <c r="AJ36" s="100">
        <v>0.607143</v>
      </c>
      <c r="AK36" s="100">
        <v>0.616541</v>
      </c>
      <c r="AL36" s="100">
        <v>0.712418</v>
      </c>
      <c r="AM36" s="100">
        <v>0.438596</v>
      </c>
      <c r="AN36" s="100">
        <v>0.527778</v>
      </c>
      <c r="AO36" s="98" t="s">
        <v>726</v>
      </c>
      <c r="AP36" s="158" t="s">
        <v>726</v>
      </c>
      <c r="AQ36" s="100" t="s">
        <v>726</v>
      </c>
      <c r="AR36" s="100" t="s">
        <v>726</v>
      </c>
      <c r="AS36" s="98" t="s">
        <v>726</v>
      </c>
      <c r="AT36" s="98" t="s">
        <v>726</v>
      </c>
      <c r="AU36" s="98" t="s">
        <v>726</v>
      </c>
      <c r="AV36" s="98" t="s">
        <v>726</v>
      </c>
      <c r="AW36" s="98" t="s">
        <v>726</v>
      </c>
      <c r="AX36" s="98" t="s">
        <v>726</v>
      </c>
      <c r="AY36" s="98">
        <v>536.1930294906166</v>
      </c>
      <c r="AZ36" s="98" t="s">
        <v>726</v>
      </c>
      <c r="BA36" s="100" t="s">
        <v>726</v>
      </c>
      <c r="BB36" s="100" t="s">
        <v>726</v>
      </c>
      <c r="BC36" s="100" t="s">
        <v>726</v>
      </c>
      <c r="BD36" s="158" t="s">
        <v>726</v>
      </c>
      <c r="BE36" s="158" t="s">
        <v>726</v>
      </c>
      <c r="BF36" s="162">
        <v>140</v>
      </c>
      <c r="BG36" s="162">
        <v>133</v>
      </c>
      <c r="BH36" s="162">
        <v>459</v>
      </c>
      <c r="BI36" s="162">
        <v>114</v>
      </c>
      <c r="BJ36" s="162">
        <v>36</v>
      </c>
      <c r="BK36" s="97"/>
      <c r="BL36" s="97"/>
      <c r="BM36" s="97"/>
      <c r="BN36" s="97"/>
    </row>
    <row r="37" spans="1:66" ht="12.75">
      <c r="A37" s="79" t="s">
        <v>686</v>
      </c>
      <c r="B37" s="79" t="s">
        <v>377</v>
      </c>
      <c r="C37" s="79" t="s">
        <v>580</v>
      </c>
      <c r="D37" s="99">
        <v>4245</v>
      </c>
      <c r="E37" s="99">
        <v>691</v>
      </c>
      <c r="F37" s="99" t="s">
        <v>434</v>
      </c>
      <c r="G37" s="99">
        <v>17</v>
      </c>
      <c r="H37" s="99">
        <v>11</v>
      </c>
      <c r="I37" s="99">
        <v>46</v>
      </c>
      <c r="J37" s="99">
        <v>315</v>
      </c>
      <c r="K37" s="99">
        <v>7</v>
      </c>
      <c r="L37" s="99">
        <v>809</v>
      </c>
      <c r="M37" s="99">
        <v>235</v>
      </c>
      <c r="N37" s="99">
        <v>105</v>
      </c>
      <c r="O37" s="99">
        <v>20</v>
      </c>
      <c r="P37" s="159">
        <v>20</v>
      </c>
      <c r="Q37" s="99" t="s">
        <v>726</v>
      </c>
      <c r="R37" s="99">
        <v>6</v>
      </c>
      <c r="S37" s="99" t="s">
        <v>726</v>
      </c>
      <c r="T37" s="99" t="s">
        <v>726</v>
      </c>
      <c r="U37" s="99" t="s">
        <v>726</v>
      </c>
      <c r="V37" s="99" t="s">
        <v>726</v>
      </c>
      <c r="W37" s="99">
        <v>18</v>
      </c>
      <c r="X37" s="99">
        <v>12</v>
      </c>
      <c r="Y37" s="99">
        <v>33</v>
      </c>
      <c r="Z37" s="99">
        <v>14</v>
      </c>
      <c r="AA37" s="99" t="s">
        <v>726</v>
      </c>
      <c r="AB37" s="99" t="s">
        <v>726</v>
      </c>
      <c r="AC37" s="99" t="s">
        <v>726</v>
      </c>
      <c r="AD37" s="98" t="s">
        <v>411</v>
      </c>
      <c r="AE37" s="100">
        <v>0.16277974087161368</v>
      </c>
      <c r="AF37" s="100">
        <v>0.08</v>
      </c>
      <c r="AG37" s="98">
        <v>400.4711425206125</v>
      </c>
      <c r="AH37" s="98">
        <v>259.1283863368669</v>
      </c>
      <c r="AI37" s="100">
        <v>0.011000000000000001</v>
      </c>
      <c r="AJ37" s="100">
        <v>0.684783</v>
      </c>
      <c r="AK37" s="100">
        <v>0.583333</v>
      </c>
      <c r="AL37" s="100">
        <v>0.763928</v>
      </c>
      <c r="AM37" s="100">
        <v>0.509761</v>
      </c>
      <c r="AN37" s="100">
        <v>0.541237</v>
      </c>
      <c r="AO37" s="98">
        <v>471.14252061248527</v>
      </c>
      <c r="AP37" s="158">
        <v>0.2556194878</v>
      </c>
      <c r="AQ37" s="100" t="s">
        <v>726</v>
      </c>
      <c r="AR37" s="100" t="s">
        <v>726</v>
      </c>
      <c r="AS37" s="98" t="s">
        <v>726</v>
      </c>
      <c r="AT37" s="98" t="s">
        <v>726</v>
      </c>
      <c r="AU37" s="98" t="s">
        <v>726</v>
      </c>
      <c r="AV37" s="98" t="s">
        <v>726</v>
      </c>
      <c r="AW37" s="98">
        <v>424.02826855123675</v>
      </c>
      <c r="AX37" s="98">
        <v>282.6855123674912</v>
      </c>
      <c r="AY37" s="98">
        <v>777.3851590106007</v>
      </c>
      <c r="AZ37" s="98">
        <v>329.7997644287397</v>
      </c>
      <c r="BA37" s="100" t="s">
        <v>726</v>
      </c>
      <c r="BB37" s="100" t="s">
        <v>726</v>
      </c>
      <c r="BC37" s="100" t="s">
        <v>726</v>
      </c>
      <c r="BD37" s="158">
        <v>0.1561390209</v>
      </c>
      <c r="BE37" s="158">
        <v>0.3947835541</v>
      </c>
      <c r="BF37" s="162">
        <v>460</v>
      </c>
      <c r="BG37" s="162">
        <v>12</v>
      </c>
      <c r="BH37" s="162">
        <v>1059</v>
      </c>
      <c r="BI37" s="162">
        <v>461</v>
      </c>
      <c r="BJ37" s="162">
        <v>194</v>
      </c>
      <c r="BK37" s="97"/>
      <c r="BL37" s="97"/>
      <c r="BM37" s="97"/>
      <c r="BN37" s="97"/>
    </row>
    <row r="38" spans="1:66" ht="12.75">
      <c r="A38" s="79" t="s">
        <v>611</v>
      </c>
      <c r="B38" s="79" t="s">
        <v>299</v>
      </c>
      <c r="C38" s="79" t="s">
        <v>580</v>
      </c>
      <c r="D38" s="99">
        <v>9004</v>
      </c>
      <c r="E38" s="99">
        <v>1333</v>
      </c>
      <c r="F38" s="99" t="s">
        <v>433</v>
      </c>
      <c r="G38" s="99">
        <v>44</v>
      </c>
      <c r="H38" s="99">
        <v>22</v>
      </c>
      <c r="I38" s="99">
        <v>123</v>
      </c>
      <c r="J38" s="99">
        <v>611</v>
      </c>
      <c r="K38" s="99">
        <v>597</v>
      </c>
      <c r="L38" s="99">
        <v>1439</v>
      </c>
      <c r="M38" s="99">
        <v>311</v>
      </c>
      <c r="N38" s="99">
        <v>133</v>
      </c>
      <c r="O38" s="99">
        <v>63</v>
      </c>
      <c r="P38" s="159">
        <v>63</v>
      </c>
      <c r="Q38" s="99" t="s">
        <v>726</v>
      </c>
      <c r="R38" s="99">
        <v>20</v>
      </c>
      <c r="S38" s="99">
        <v>29</v>
      </c>
      <c r="T38" s="99">
        <v>7</v>
      </c>
      <c r="U38" s="99">
        <v>8</v>
      </c>
      <c r="V38" s="99" t="s">
        <v>726</v>
      </c>
      <c r="W38" s="99">
        <v>63</v>
      </c>
      <c r="X38" s="99">
        <v>50</v>
      </c>
      <c r="Y38" s="99">
        <v>142</v>
      </c>
      <c r="Z38" s="99">
        <v>54</v>
      </c>
      <c r="AA38" s="99" t="s">
        <v>726</v>
      </c>
      <c r="AB38" s="99" t="s">
        <v>726</v>
      </c>
      <c r="AC38" s="99" t="s">
        <v>726</v>
      </c>
      <c r="AD38" s="98" t="s">
        <v>411</v>
      </c>
      <c r="AE38" s="100">
        <v>0.14804531319413594</v>
      </c>
      <c r="AF38" s="100">
        <v>0.17</v>
      </c>
      <c r="AG38" s="98">
        <v>488.6717014660151</v>
      </c>
      <c r="AH38" s="98">
        <v>244.33585073300756</v>
      </c>
      <c r="AI38" s="100">
        <v>0.013999999999999999</v>
      </c>
      <c r="AJ38" s="100">
        <v>0.691959</v>
      </c>
      <c r="AK38" s="100">
        <v>0.690173</v>
      </c>
      <c r="AL38" s="100">
        <v>0.704012</v>
      </c>
      <c r="AM38" s="100">
        <v>0.411921</v>
      </c>
      <c r="AN38" s="100">
        <v>0.444816</v>
      </c>
      <c r="AO38" s="98">
        <v>699.6890270990671</v>
      </c>
      <c r="AP38" s="158">
        <v>0.4063698578</v>
      </c>
      <c r="AQ38" s="100" t="s">
        <v>726</v>
      </c>
      <c r="AR38" s="100" t="s">
        <v>726</v>
      </c>
      <c r="AS38" s="98">
        <v>322.0790759662372</v>
      </c>
      <c r="AT38" s="98">
        <v>77.74322523322968</v>
      </c>
      <c r="AU38" s="98">
        <v>88.8494002665482</v>
      </c>
      <c r="AV38" s="98" t="s">
        <v>726</v>
      </c>
      <c r="AW38" s="98">
        <v>699.6890270990671</v>
      </c>
      <c r="AX38" s="98">
        <v>555.3087516659263</v>
      </c>
      <c r="AY38" s="98">
        <v>1577.0768547312305</v>
      </c>
      <c r="AZ38" s="98">
        <v>599.7334517992003</v>
      </c>
      <c r="BA38" s="101" t="s">
        <v>726</v>
      </c>
      <c r="BB38" s="101" t="s">
        <v>726</v>
      </c>
      <c r="BC38" s="101" t="s">
        <v>726</v>
      </c>
      <c r="BD38" s="158">
        <v>0.3122657585</v>
      </c>
      <c r="BE38" s="158">
        <v>0.5199235916</v>
      </c>
      <c r="BF38" s="162">
        <v>883</v>
      </c>
      <c r="BG38" s="162">
        <v>865</v>
      </c>
      <c r="BH38" s="162">
        <v>2044</v>
      </c>
      <c r="BI38" s="162">
        <v>755</v>
      </c>
      <c r="BJ38" s="162">
        <v>299</v>
      </c>
      <c r="BK38" s="97"/>
      <c r="BL38" s="97"/>
      <c r="BM38" s="97"/>
      <c r="BN38" s="97"/>
    </row>
    <row r="39" spans="1:66" ht="12.75">
      <c r="A39" s="79" t="s">
        <v>635</v>
      </c>
      <c r="B39" s="79" t="s">
        <v>325</v>
      </c>
      <c r="C39" s="79" t="s">
        <v>580</v>
      </c>
      <c r="D39" s="99">
        <v>6264</v>
      </c>
      <c r="E39" s="99">
        <v>981</v>
      </c>
      <c r="F39" s="99" t="s">
        <v>432</v>
      </c>
      <c r="G39" s="99">
        <v>31</v>
      </c>
      <c r="H39" s="99">
        <v>19</v>
      </c>
      <c r="I39" s="99">
        <v>81</v>
      </c>
      <c r="J39" s="99">
        <v>619</v>
      </c>
      <c r="K39" s="99">
        <v>609</v>
      </c>
      <c r="L39" s="99">
        <v>1348</v>
      </c>
      <c r="M39" s="99">
        <v>429</v>
      </c>
      <c r="N39" s="99">
        <v>157</v>
      </c>
      <c r="O39" s="99">
        <v>80</v>
      </c>
      <c r="P39" s="159">
        <v>80</v>
      </c>
      <c r="Q39" s="99">
        <v>13</v>
      </c>
      <c r="R39" s="99">
        <v>33</v>
      </c>
      <c r="S39" s="99">
        <v>17</v>
      </c>
      <c r="T39" s="99">
        <v>16</v>
      </c>
      <c r="U39" s="99" t="s">
        <v>726</v>
      </c>
      <c r="V39" s="99">
        <v>10</v>
      </c>
      <c r="W39" s="99">
        <v>41</v>
      </c>
      <c r="X39" s="99">
        <v>14</v>
      </c>
      <c r="Y39" s="99">
        <v>51</v>
      </c>
      <c r="Z39" s="99">
        <v>40</v>
      </c>
      <c r="AA39" s="99" t="s">
        <v>726</v>
      </c>
      <c r="AB39" s="99" t="s">
        <v>726</v>
      </c>
      <c r="AC39" s="99" t="s">
        <v>726</v>
      </c>
      <c r="AD39" s="98" t="s">
        <v>411</v>
      </c>
      <c r="AE39" s="100">
        <v>0.15660919540229884</v>
      </c>
      <c r="AF39" s="100">
        <v>0.09</v>
      </c>
      <c r="AG39" s="98">
        <v>494.8914431673052</v>
      </c>
      <c r="AH39" s="98">
        <v>303.3205619412516</v>
      </c>
      <c r="AI39" s="100">
        <v>0.013000000000000001</v>
      </c>
      <c r="AJ39" s="100">
        <v>0.782554</v>
      </c>
      <c r="AK39" s="100">
        <v>0.799213</v>
      </c>
      <c r="AL39" s="100">
        <v>0.793408</v>
      </c>
      <c r="AM39" s="100">
        <v>0.565217</v>
      </c>
      <c r="AN39" s="100">
        <v>0.588015</v>
      </c>
      <c r="AO39" s="98">
        <v>1277.139208173691</v>
      </c>
      <c r="AP39" s="158">
        <v>0.6859214783</v>
      </c>
      <c r="AQ39" s="100">
        <v>0.1625</v>
      </c>
      <c r="AR39" s="100">
        <v>0.3939393939393939</v>
      </c>
      <c r="AS39" s="98">
        <v>271.39208173690935</v>
      </c>
      <c r="AT39" s="98">
        <v>255.4278416347382</v>
      </c>
      <c r="AU39" s="98" t="s">
        <v>726</v>
      </c>
      <c r="AV39" s="98">
        <v>159.64240102171138</v>
      </c>
      <c r="AW39" s="98">
        <v>654.5338441890166</v>
      </c>
      <c r="AX39" s="98">
        <v>223.4993614303959</v>
      </c>
      <c r="AY39" s="98">
        <v>814.176245210728</v>
      </c>
      <c r="AZ39" s="98">
        <v>638.5696040868455</v>
      </c>
      <c r="BA39" s="100" t="s">
        <v>726</v>
      </c>
      <c r="BB39" s="100" t="s">
        <v>726</v>
      </c>
      <c r="BC39" s="100" t="s">
        <v>726</v>
      </c>
      <c r="BD39" s="158">
        <v>0.5438930511</v>
      </c>
      <c r="BE39" s="158">
        <v>0.8536886597</v>
      </c>
      <c r="BF39" s="162">
        <v>791</v>
      </c>
      <c r="BG39" s="162">
        <v>762</v>
      </c>
      <c r="BH39" s="162">
        <v>1699</v>
      </c>
      <c r="BI39" s="162">
        <v>759</v>
      </c>
      <c r="BJ39" s="162">
        <v>267</v>
      </c>
      <c r="BK39" s="97"/>
      <c r="BL39" s="97"/>
      <c r="BM39" s="97"/>
      <c r="BN39" s="97"/>
    </row>
    <row r="40" spans="1:66" ht="12.75">
      <c r="A40" s="79" t="s">
        <v>660</v>
      </c>
      <c r="B40" s="79" t="s">
        <v>350</v>
      </c>
      <c r="C40" s="79" t="s">
        <v>580</v>
      </c>
      <c r="D40" s="99">
        <v>6201</v>
      </c>
      <c r="E40" s="99">
        <v>890</v>
      </c>
      <c r="F40" s="99" t="s">
        <v>433</v>
      </c>
      <c r="G40" s="99">
        <v>19</v>
      </c>
      <c r="H40" s="99">
        <v>13</v>
      </c>
      <c r="I40" s="99">
        <v>111</v>
      </c>
      <c r="J40" s="99" t="s">
        <v>726</v>
      </c>
      <c r="K40" s="99" t="s">
        <v>726</v>
      </c>
      <c r="L40" s="99" t="s">
        <v>726</v>
      </c>
      <c r="M40" s="99">
        <v>267</v>
      </c>
      <c r="N40" s="99">
        <v>87</v>
      </c>
      <c r="O40" s="99">
        <v>73</v>
      </c>
      <c r="P40" s="159">
        <v>73</v>
      </c>
      <c r="Q40" s="99">
        <v>12</v>
      </c>
      <c r="R40" s="99">
        <v>27</v>
      </c>
      <c r="S40" s="99">
        <v>13</v>
      </c>
      <c r="T40" s="99" t="s">
        <v>726</v>
      </c>
      <c r="U40" s="99" t="s">
        <v>726</v>
      </c>
      <c r="V40" s="99">
        <v>25</v>
      </c>
      <c r="W40" s="99">
        <v>41</v>
      </c>
      <c r="X40" s="99">
        <v>16</v>
      </c>
      <c r="Y40" s="99">
        <v>41</v>
      </c>
      <c r="Z40" s="99">
        <v>43</v>
      </c>
      <c r="AA40" s="99" t="s">
        <v>726</v>
      </c>
      <c r="AB40" s="99" t="s">
        <v>726</v>
      </c>
      <c r="AC40" s="99" t="s">
        <v>726</v>
      </c>
      <c r="AD40" s="98" t="s">
        <v>411</v>
      </c>
      <c r="AE40" s="100">
        <v>0.14352523786486052</v>
      </c>
      <c r="AF40" s="100">
        <v>0.15</v>
      </c>
      <c r="AG40" s="98">
        <v>306.40219319464603</v>
      </c>
      <c r="AH40" s="98">
        <v>209.64360587002096</v>
      </c>
      <c r="AI40" s="100">
        <v>0.018000000000000002</v>
      </c>
      <c r="AJ40" s="100" t="s">
        <v>726</v>
      </c>
      <c r="AK40" s="100" t="s">
        <v>726</v>
      </c>
      <c r="AL40" s="100" t="s">
        <v>726</v>
      </c>
      <c r="AM40" s="100">
        <v>0.475089</v>
      </c>
      <c r="AN40" s="100">
        <v>0.497143</v>
      </c>
      <c r="AO40" s="98">
        <v>1177.2294791162715</v>
      </c>
      <c r="AP40" s="158">
        <v>0.6945888519000001</v>
      </c>
      <c r="AQ40" s="100">
        <v>0.1643835616438356</v>
      </c>
      <c r="AR40" s="100">
        <v>0.4444444444444444</v>
      </c>
      <c r="AS40" s="98">
        <v>209.64360587002096</v>
      </c>
      <c r="AT40" s="98" t="s">
        <v>726</v>
      </c>
      <c r="AU40" s="98" t="s">
        <v>726</v>
      </c>
      <c r="AV40" s="98">
        <v>403.1607805192711</v>
      </c>
      <c r="AW40" s="98">
        <v>661.1836800516046</v>
      </c>
      <c r="AX40" s="98">
        <v>258.0228995323335</v>
      </c>
      <c r="AY40" s="98">
        <v>661.1836800516046</v>
      </c>
      <c r="AZ40" s="98">
        <v>693.4365424931462</v>
      </c>
      <c r="BA40" s="100" t="s">
        <v>726</v>
      </c>
      <c r="BB40" s="100" t="s">
        <v>726</v>
      </c>
      <c r="BC40" s="100" t="s">
        <v>726</v>
      </c>
      <c r="BD40" s="158">
        <v>0.5444467545</v>
      </c>
      <c r="BE40" s="158">
        <v>0.8733411407</v>
      </c>
      <c r="BF40" s="162" t="s">
        <v>726</v>
      </c>
      <c r="BG40" s="162" t="s">
        <v>726</v>
      </c>
      <c r="BH40" s="162" t="s">
        <v>726</v>
      </c>
      <c r="BI40" s="162">
        <v>562</v>
      </c>
      <c r="BJ40" s="162">
        <v>175</v>
      </c>
      <c r="BK40" s="97"/>
      <c r="BL40" s="97"/>
      <c r="BM40" s="97"/>
      <c r="BN40" s="97"/>
    </row>
    <row r="41" spans="1:66" ht="12.75">
      <c r="A41" s="79" t="s">
        <v>662</v>
      </c>
      <c r="B41" s="79" t="s">
        <v>352</v>
      </c>
      <c r="C41" s="79" t="s">
        <v>580</v>
      </c>
      <c r="D41" s="99">
        <v>12137</v>
      </c>
      <c r="E41" s="99">
        <v>2289</v>
      </c>
      <c r="F41" s="99" t="s">
        <v>434</v>
      </c>
      <c r="G41" s="99">
        <v>69</v>
      </c>
      <c r="H41" s="99">
        <v>40</v>
      </c>
      <c r="I41" s="99">
        <v>278</v>
      </c>
      <c r="J41" s="99" t="s">
        <v>726</v>
      </c>
      <c r="K41" s="99" t="s">
        <v>726</v>
      </c>
      <c r="L41" s="99" t="s">
        <v>726</v>
      </c>
      <c r="M41" s="99">
        <v>878</v>
      </c>
      <c r="N41" s="99">
        <v>365</v>
      </c>
      <c r="O41" s="99">
        <v>188</v>
      </c>
      <c r="P41" s="159">
        <v>188</v>
      </c>
      <c r="Q41" s="99">
        <v>28</v>
      </c>
      <c r="R41" s="99">
        <v>62</v>
      </c>
      <c r="S41" s="99">
        <v>27</v>
      </c>
      <c r="T41" s="99">
        <v>31</v>
      </c>
      <c r="U41" s="99">
        <v>6</v>
      </c>
      <c r="V41" s="99">
        <v>54</v>
      </c>
      <c r="W41" s="99">
        <v>84</v>
      </c>
      <c r="X41" s="99">
        <v>53</v>
      </c>
      <c r="Y41" s="99">
        <v>129</v>
      </c>
      <c r="Z41" s="99">
        <v>64</v>
      </c>
      <c r="AA41" s="99" t="s">
        <v>726</v>
      </c>
      <c r="AB41" s="99" t="s">
        <v>726</v>
      </c>
      <c r="AC41" s="99" t="s">
        <v>726</v>
      </c>
      <c r="AD41" s="98" t="s">
        <v>411</v>
      </c>
      <c r="AE41" s="100">
        <v>0.18859685259948916</v>
      </c>
      <c r="AF41" s="100">
        <v>0.06</v>
      </c>
      <c r="AG41" s="98">
        <v>568.5095163549477</v>
      </c>
      <c r="AH41" s="98">
        <v>329.57073411881026</v>
      </c>
      <c r="AI41" s="100">
        <v>0.023</v>
      </c>
      <c r="AJ41" s="100" t="s">
        <v>726</v>
      </c>
      <c r="AK41" s="100" t="s">
        <v>726</v>
      </c>
      <c r="AL41" s="100" t="s">
        <v>726</v>
      </c>
      <c r="AM41" s="100">
        <v>0.592043</v>
      </c>
      <c r="AN41" s="100">
        <v>0.639229</v>
      </c>
      <c r="AO41" s="98">
        <v>1548.9824503584082</v>
      </c>
      <c r="AP41" s="158">
        <v>0.7717106628</v>
      </c>
      <c r="AQ41" s="100">
        <v>0.14893617021276595</v>
      </c>
      <c r="AR41" s="100">
        <v>0.45161290322580644</v>
      </c>
      <c r="AS41" s="98">
        <v>222.46024553019691</v>
      </c>
      <c r="AT41" s="98">
        <v>255.41731894207794</v>
      </c>
      <c r="AU41" s="98">
        <v>49.43561011782154</v>
      </c>
      <c r="AV41" s="98">
        <v>444.92049106039383</v>
      </c>
      <c r="AW41" s="98">
        <v>692.0985416495015</v>
      </c>
      <c r="AX41" s="98">
        <v>436.68122270742356</v>
      </c>
      <c r="AY41" s="98">
        <v>1062.865617533163</v>
      </c>
      <c r="AZ41" s="98">
        <v>527.3131745900964</v>
      </c>
      <c r="BA41" s="100" t="s">
        <v>726</v>
      </c>
      <c r="BB41" s="100" t="s">
        <v>726</v>
      </c>
      <c r="BC41" s="100" t="s">
        <v>726</v>
      </c>
      <c r="BD41" s="158">
        <v>0.6653363037</v>
      </c>
      <c r="BE41" s="158">
        <v>0.8902558899</v>
      </c>
      <c r="BF41" s="162" t="s">
        <v>726</v>
      </c>
      <c r="BG41" s="162" t="s">
        <v>726</v>
      </c>
      <c r="BH41" s="162" t="s">
        <v>726</v>
      </c>
      <c r="BI41" s="162">
        <v>1483</v>
      </c>
      <c r="BJ41" s="162">
        <v>571</v>
      </c>
      <c r="BK41" s="97"/>
      <c r="BL41" s="97"/>
      <c r="BM41" s="97"/>
      <c r="BN41" s="97"/>
    </row>
    <row r="42" spans="1:66" ht="12.75">
      <c r="A42" s="79" t="s">
        <v>658</v>
      </c>
      <c r="B42" s="79" t="s">
        <v>348</v>
      </c>
      <c r="C42" s="79" t="s">
        <v>580</v>
      </c>
      <c r="D42" s="99">
        <v>12022</v>
      </c>
      <c r="E42" s="99">
        <v>1977</v>
      </c>
      <c r="F42" s="99" t="s">
        <v>434</v>
      </c>
      <c r="G42" s="99">
        <v>53</v>
      </c>
      <c r="H42" s="99">
        <v>22</v>
      </c>
      <c r="I42" s="99">
        <v>163</v>
      </c>
      <c r="J42" s="99">
        <v>1215</v>
      </c>
      <c r="K42" s="99">
        <v>1129</v>
      </c>
      <c r="L42" s="99">
        <v>2494</v>
      </c>
      <c r="M42" s="99">
        <v>763</v>
      </c>
      <c r="N42" s="99">
        <v>345</v>
      </c>
      <c r="O42" s="99">
        <v>165</v>
      </c>
      <c r="P42" s="159">
        <v>165</v>
      </c>
      <c r="Q42" s="99">
        <v>20</v>
      </c>
      <c r="R42" s="99">
        <v>49</v>
      </c>
      <c r="S42" s="99">
        <v>57</v>
      </c>
      <c r="T42" s="99">
        <v>29</v>
      </c>
      <c r="U42" s="99" t="s">
        <v>726</v>
      </c>
      <c r="V42" s="99">
        <v>17</v>
      </c>
      <c r="W42" s="99">
        <v>41</v>
      </c>
      <c r="X42" s="99">
        <v>71</v>
      </c>
      <c r="Y42" s="99">
        <v>82</v>
      </c>
      <c r="Z42" s="99">
        <v>59</v>
      </c>
      <c r="AA42" s="99" t="s">
        <v>726</v>
      </c>
      <c r="AB42" s="99" t="s">
        <v>726</v>
      </c>
      <c r="AC42" s="99" t="s">
        <v>726</v>
      </c>
      <c r="AD42" s="98" t="s">
        <v>411</v>
      </c>
      <c r="AE42" s="100">
        <v>0.16444851106305108</v>
      </c>
      <c r="AF42" s="100">
        <v>0.04</v>
      </c>
      <c r="AG42" s="98">
        <v>440.8584262185992</v>
      </c>
      <c r="AH42" s="98">
        <v>182.99783729828647</v>
      </c>
      <c r="AI42" s="100">
        <v>0.013999999999999999</v>
      </c>
      <c r="AJ42" s="100">
        <v>0.863539</v>
      </c>
      <c r="AK42" s="100">
        <v>0.827713</v>
      </c>
      <c r="AL42" s="100">
        <v>0.816634</v>
      </c>
      <c r="AM42" s="100">
        <v>0.645516</v>
      </c>
      <c r="AN42" s="100">
        <v>0.698381</v>
      </c>
      <c r="AO42" s="98">
        <v>1372.4837797371486</v>
      </c>
      <c r="AP42" s="158">
        <v>0.7280502319</v>
      </c>
      <c r="AQ42" s="100">
        <v>0.12121212121212122</v>
      </c>
      <c r="AR42" s="100">
        <v>0.40816326530612246</v>
      </c>
      <c r="AS42" s="98">
        <v>474.13076027283313</v>
      </c>
      <c r="AT42" s="98">
        <v>241.2244218931958</v>
      </c>
      <c r="AU42" s="98" t="s">
        <v>726</v>
      </c>
      <c r="AV42" s="98">
        <v>141.4074197304941</v>
      </c>
      <c r="AW42" s="98">
        <v>341.0414240558975</v>
      </c>
      <c r="AX42" s="98">
        <v>590.5839294626518</v>
      </c>
      <c r="AY42" s="98">
        <v>682.082848111795</v>
      </c>
      <c r="AZ42" s="98">
        <v>490.7669272999501</v>
      </c>
      <c r="BA42" s="100" t="s">
        <v>726</v>
      </c>
      <c r="BB42" s="100" t="s">
        <v>726</v>
      </c>
      <c r="BC42" s="100" t="s">
        <v>726</v>
      </c>
      <c r="BD42" s="158">
        <v>0.6211985397</v>
      </c>
      <c r="BE42" s="158">
        <v>0.8480054474000001</v>
      </c>
      <c r="BF42" s="162">
        <v>1407</v>
      </c>
      <c r="BG42" s="162">
        <v>1364</v>
      </c>
      <c r="BH42" s="162">
        <v>3054</v>
      </c>
      <c r="BI42" s="162">
        <v>1182</v>
      </c>
      <c r="BJ42" s="162">
        <v>494</v>
      </c>
      <c r="BK42" s="97"/>
      <c r="BL42" s="97"/>
      <c r="BM42" s="97"/>
      <c r="BN42" s="97"/>
    </row>
    <row r="43" spans="1:66" ht="12.75">
      <c r="A43" s="79" t="s">
        <v>672</v>
      </c>
      <c r="B43" s="79" t="s">
        <v>362</v>
      </c>
      <c r="C43" s="79" t="s">
        <v>580</v>
      </c>
      <c r="D43" s="99">
        <v>10136</v>
      </c>
      <c r="E43" s="99">
        <v>1636</v>
      </c>
      <c r="F43" s="99" t="s">
        <v>434</v>
      </c>
      <c r="G43" s="99">
        <v>42</v>
      </c>
      <c r="H43" s="99">
        <v>34</v>
      </c>
      <c r="I43" s="99">
        <v>184</v>
      </c>
      <c r="J43" s="99">
        <v>924</v>
      </c>
      <c r="K43" s="99">
        <v>889</v>
      </c>
      <c r="L43" s="99">
        <v>2070</v>
      </c>
      <c r="M43" s="99">
        <v>607</v>
      </c>
      <c r="N43" s="99">
        <v>227</v>
      </c>
      <c r="O43" s="99">
        <v>196</v>
      </c>
      <c r="P43" s="159">
        <v>196</v>
      </c>
      <c r="Q43" s="99">
        <v>24</v>
      </c>
      <c r="R43" s="99">
        <v>49</v>
      </c>
      <c r="S43" s="99">
        <v>51</v>
      </c>
      <c r="T43" s="99">
        <v>38</v>
      </c>
      <c r="U43" s="99">
        <v>7</v>
      </c>
      <c r="V43" s="99">
        <v>28</v>
      </c>
      <c r="W43" s="99">
        <v>47</v>
      </c>
      <c r="X43" s="99">
        <v>47</v>
      </c>
      <c r="Y43" s="99">
        <v>89</v>
      </c>
      <c r="Z43" s="99">
        <v>51</v>
      </c>
      <c r="AA43" s="99" t="s">
        <v>726</v>
      </c>
      <c r="AB43" s="99" t="s">
        <v>726</v>
      </c>
      <c r="AC43" s="99" t="s">
        <v>726</v>
      </c>
      <c r="AD43" s="98" t="s">
        <v>411</v>
      </c>
      <c r="AE43" s="100">
        <v>0.16140489344909234</v>
      </c>
      <c r="AF43" s="100">
        <v>0.08</v>
      </c>
      <c r="AG43" s="98">
        <v>414.3646408839779</v>
      </c>
      <c r="AH43" s="98">
        <v>335.43804262036303</v>
      </c>
      <c r="AI43" s="100">
        <v>0.018000000000000002</v>
      </c>
      <c r="AJ43" s="100">
        <v>0.774518</v>
      </c>
      <c r="AK43" s="100">
        <v>0.772372</v>
      </c>
      <c r="AL43" s="100">
        <v>0.780837</v>
      </c>
      <c r="AM43" s="100">
        <v>0.574267</v>
      </c>
      <c r="AN43" s="100">
        <v>0.625344</v>
      </c>
      <c r="AO43" s="98">
        <v>1933.7016574585634</v>
      </c>
      <c r="AP43" s="158">
        <v>1.031901703</v>
      </c>
      <c r="AQ43" s="100">
        <v>0.12244897959183673</v>
      </c>
      <c r="AR43" s="100">
        <v>0.4897959183673469</v>
      </c>
      <c r="AS43" s="98">
        <v>503.1570639305446</v>
      </c>
      <c r="AT43" s="98">
        <v>374.9013417521705</v>
      </c>
      <c r="AU43" s="98">
        <v>69.06077348066299</v>
      </c>
      <c r="AV43" s="98">
        <v>276.24309392265195</v>
      </c>
      <c r="AW43" s="98">
        <v>463.69376479873716</v>
      </c>
      <c r="AX43" s="98">
        <v>463.69376479873716</v>
      </c>
      <c r="AY43" s="98">
        <v>878.058405682715</v>
      </c>
      <c r="AZ43" s="98">
        <v>503.1570639305446</v>
      </c>
      <c r="BA43" s="101" t="s">
        <v>726</v>
      </c>
      <c r="BB43" s="101" t="s">
        <v>726</v>
      </c>
      <c r="BC43" s="101" t="s">
        <v>726</v>
      </c>
      <c r="BD43" s="158">
        <v>0.8924874878</v>
      </c>
      <c r="BE43" s="158">
        <v>1.186918488</v>
      </c>
      <c r="BF43" s="162">
        <v>1193</v>
      </c>
      <c r="BG43" s="162">
        <v>1151</v>
      </c>
      <c r="BH43" s="162">
        <v>2651</v>
      </c>
      <c r="BI43" s="162">
        <v>1057</v>
      </c>
      <c r="BJ43" s="162">
        <v>363</v>
      </c>
      <c r="BK43" s="97"/>
      <c r="BL43" s="97"/>
      <c r="BM43" s="97"/>
      <c r="BN43" s="97"/>
    </row>
    <row r="44" spans="1:66" ht="12.75">
      <c r="A44" s="79" t="s">
        <v>730</v>
      </c>
      <c r="B44" s="79" t="s">
        <v>286</v>
      </c>
      <c r="C44" s="79" t="s">
        <v>580</v>
      </c>
      <c r="D44" s="99">
        <v>18349</v>
      </c>
      <c r="E44" s="99">
        <v>2858</v>
      </c>
      <c r="F44" s="99" t="s">
        <v>432</v>
      </c>
      <c r="G44" s="99">
        <v>75</v>
      </c>
      <c r="H44" s="99">
        <v>35</v>
      </c>
      <c r="I44" s="99">
        <v>255</v>
      </c>
      <c r="J44" s="99">
        <v>1437</v>
      </c>
      <c r="K44" s="99">
        <v>14</v>
      </c>
      <c r="L44" s="99">
        <v>3570</v>
      </c>
      <c r="M44" s="99">
        <v>929</v>
      </c>
      <c r="N44" s="99">
        <v>340</v>
      </c>
      <c r="O44" s="99">
        <v>234</v>
      </c>
      <c r="P44" s="159">
        <v>234</v>
      </c>
      <c r="Q44" s="99">
        <v>31</v>
      </c>
      <c r="R44" s="99">
        <v>65</v>
      </c>
      <c r="S44" s="99">
        <v>42</v>
      </c>
      <c r="T44" s="99">
        <v>41</v>
      </c>
      <c r="U44" s="99" t="s">
        <v>726</v>
      </c>
      <c r="V44" s="99">
        <v>56</v>
      </c>
      <c r="W44" s="99">
        <v>134</v>
      </c>
      <c r="X44" s="99">
        <v>54</v>
      </c>
      <c r="Y44" s="99">
        <v>142</v>
      </c>
      <c r="Z44" s="99">
        <v>87</v>
      </c>
      <c r="AA44" s="99" t="s">
        <v>726</v>
      </c>
      <c r="AB44" s="99" t="s">
        <v>726</v>
      </c>
      <c r="AC44" s="99" t="s">
        <v>726</v>
      </c>
      <c r="AD44" s="98" t="s">
        <v>411</v>
      </c>
      <c r="AE44" s="100">
        <v>0.15575780696495722</v>
      </c>
      <c r="AF44" s="100">
        <v>0.12</v>
      </c>
      <c r="AG44" s="98">
        <v>408.74162079677365</v>
      </c>
      <c r="AH44" s="98">
        <v>190.74608970516104</v>
      </c>
      <c r="AI44" s="100">
        <v>0.013999999999999999</v>
      </c>
      <c r="AJ44" s="100">
        <v>0.704067</v>
      </c>
      <c r="AK44" s="100">
        <v>0.777778</v>
      </c>
      <c r="AL44" s="100">
        <v>0.760545</v>
      </c>
      <c r="AM44" s="100">
        <v>0.566809</v>
      </c>
      <c r="AN44" s="100">
        <v>0.603908</v>
      </c>
      <c r="AO44" s="98">
        <v>1275.2738568859338</v>
      </c>
      <c r="AP44" s="158">
        <v>0.6976128387</v>
      </c>
      <c r="AQ44" s="100">
        <v>0.13247863247863248</v>
      </c>
      <c r="AR44" s="100">
        <v>0.47692307692307695</v>
      </c>
      <c r="AS44" s="98">
        <v>228.89530764619326</v>
      </c>
      <c r="AT44" s="98">
        <v>223.44541936890295</v>
      </c>
      <c r="AU44" s="98" t="s">
        <v>726</v>
      </c>
      <c r="AV44" s="98">
        <v>305.1937435282577</v>
      </c>
      <c r="AW44" s="98">
        <v>730.2850291569023</v>
      </c>
      <c r="AX44" s="98">
        <v>294.293966973677</v>
      </c>
      <c r="AY44" s="98">
        <v>773.8841353752248</v>
      </c>
      <c r="AZ44" s="98">
        <v>474.14028012425746</v>
      </c>
      <c r="BA44" s="100" t="s">
        <v>726</v>
      </c>
      <c r="BB44" s="100" t="s">
        <v>726</v>
      </c>
      <c r="BC44" s="100" t="s">
        <v>726</v>
      </c>
      <c r="BD44" s="158">
        <v>0.611086235</v>
      </c>
      <c r="BE44" s="158">
        <v>0.7929572296</v>
      </c>
      <c r="BF44" s="162">
        <v>2041</v>
      </c>
      <c r="BG44" s="162">
        <v>18</v>
      </c>
      <c r="BH44" s="162">
        <v>4694</v>
      </c>
      <c r="BI44" s="162">
        <v>1639</v>
      </c>
      <c r="BJ44" s="162">
        <v>563</v>
      </c>
      <c r="BK44" s="97"/>
      <c r="BL44" s="97"/>
      <c r="BM44" s="97"/>
      <c r="BN44" s="97"/>
    </row>
    <row r="45" spans="1:66" ht="12.75">
      <c r="A45" s="79" t="s">
        <v>652</v>
      </c>
      <c r="B45" s="79" t="s">
        <v>342</v>
      </c>
      <c r="C45" s="79" t="s">
        <v>580</v>
      </c>
      <c r="D45" s="99">
        <v>13775</v>
      </c>
      <c r="E45" s="99">
        <v>2092</v>
      </c>
      <c r="F45" s="99" t="s">
        <v>434</v>
      </c>
      <c r="G45" s="99">
        <v>52</v>
      </c>
      <c r="H45" s="99">
        <v>27</v>
      </c>
      <c r="I45" s="99">
        <v>285</v>
      </c>
      <c r="J45" s="99">
        <v>1342</v>
      </c>
      <c r="K45" s="99">
        <v>1211</v>
      </c>
      <c r="L45" s="99">
        <v>2888</v>
      </c>
      <c r="M45" s="99">
        <v>820</v>
      </c>
      <c r="N45" s="99">
        <v>343</v>
      </c>
      <c r="O45" s="99">
        <v>116</v>
      </c>
      <c r="P45" s="159">
        <v>116</v>
      </c>
      <c r="Q45" s="99">
        <v>14</v>
      </c>
      <c r="R45" s="99">
        <v>56</v>
      </c>
      <c r="S45" s="99">
        <v>26</v>
      </c>
      <c r="T45" s="99">
        <v>19</v>
      </c>
      <c r="U45" s="99">
        <v>13</v>
      </c>
      <c r="V45" s="99">
        <v>19</v>
      </c>
      <c r="W45" s="99">
        <v>65</v>
      </c>
      <c r="X45" s="99">
        <v>53</v>
      </c>
      <c r="Y45" s="99">
        <v>106</v>
      </c>
      <c r="Z45" s="99">
        <v>37</v>
      </c>
      <c r="AA45" s="99" t="s">
        <v>726</v>
      </c>
      <c r="AB45" s="99" t="s">
        <v>726</v>
      </c>
      <c r="AC45" s="99" t="s">
        <v>726</v>
      </c>
      <c r="AD45" s="98" t="s">
        <v>411</v>
      </c>
      <c r="AE45" s="100">
        <v>0.15186932849364793</v>
      </c>
      <c r="AF45" s="100">
        <v>0.05</v>
      </c>
      <c r="AG45" s="98">
        <v>377.49546279491835</v>
      </c>
      <c r="AH45" s="98">
        <v>196.00725952813067</v>
      </c>
      <c r="AI45" s="100">
        <v>0.021</v>
      </c>
      <c r="AJ45" s="100">
        <v>0.862468</v>
      </c>
      <c r="AK45" s="100">
        <v>0.804117</v>
      </c>
      <c r="AL45" s="100">
        <v>0.829408</v>
      </c>
      <c r="AM45" s="100">
        <v>0.586133</v>
      </c>
      <c r="AN45" s="100">
        <v>0.604938</v>
      </c>
      <c r="AO45" s="98">
        <v>842.1052631578947</v>
      </c>
      <c r="AP45" s="158">
        <v>0.4611101151</v>
      </c>
      <c r="AQ45" s="100">
        <v>0.1206896551724138</v>
      </c>
      <c r="AR45" s="100">
        <v>0.25</v>
      </c>
      <c r="AS45" s="98">
        <v>188.74773139745918</v>
      </c>
      <c r="AT45" s="98">
        <v>137.93103448275863</v>
      </c>
      <c r="AU45" s="98">
        <v>94.37386569872959</v>
      </c>
      <c r="AV45" s="98">
        <v>137.93103448275863</v>
      </c>
      <c r="AW45" s="98">
        <v>471.8693284936479</v>
      </c>
      <c r="AX45" s="98">
        <v>384.7549909255898</v>
      </c>
      <c r="AY45" s="98">
        <v>769.5099818511796</v>
      </c>
      <c r="AZ45" s="98">
        <v>268.60254083484574</v>
      </c>
      <c r="BA45" s="100" t="s">
        <v>726</v>
      </c>
      <c r="BB45" s="100" t="s">
        <v>726</v>
      </c>
      <c r="BC45" s="100" t="s">
        <v>726</v>
      </c>
      <c r="BD45" s="158">
        <v>0.3810242081</v>
      </c>
      <c r="BE45" s="158">
        <v>0.5530576706</v>
      </c>
      <c r="BF45" s="162">
        <v>1556</v>
      </c>
      <c r="BG45" s="162">
        <v>1506</v>
      </c>
      <c r="BH45" s="162">
        <v>3482</v>
      </c>
      <c r="BI45" s="162">
        <v>1399</v>
      </c>
      <c r="BJ45" s="162">
        <v>567</v>
      </c>
      <c r="BK45" s="97"/>
      <c r="BL45" s="97"/>
      <c r="BM45" s="97"/>
      <c r="BN45" s="97"/>
    </row>
    <row r="46" spans="1:66" ht="12.75">
      <c r="A46" s="79" t="s">
        <v>634</v>
      </c>
      <c r="B46" s="79" t="s">
        <v>324</v>
      </c>
      <c r="C46" s="79" t="s">
        <v>580</v>
      </c>
      <c r="D46" s="99">
        <v>12987</v>
      </c>
      <c r="E46" s="99">
        <v>2192</v>
      </c>
      <c r="F46" s="99" t="s">
        <v>433</v>
      </c>
      <c r="G46" s="99">
        <v>42</v>
      </c>
      <c r="H46" s="99">
        <v>31</v>
      </c>
      <c r="I46" s="99">
        <v>173</v>
      </c>
      <c r="J46" s="99">
        <v>1068</v>
      </c>
      <c r="K46" s="99">
        <v>882</v>
      </c>
      <c r="L46" s="99">
        <v>2415</v>
      </c>
      <c r="M46" s="99">
        <v>714</v>
      </c>
      <c r="N46" s="99">
        <v>285</v>
      </c>
      <c r="O46" s="99">
        <v>173</v>
      </c>
      <c r="P46" s="159">
        <v>173</v>
      </c>
      <c r="Q46" s="99">
        <v>20</v>
      </c>
      <c r="R46" s="99">
        <v>47</v>
      </c>
      <c r="S46" s="99">
        <v>63</v>
      </c>
      <c r="T46" s="99">
        <v>25</v>
      </c>
      <c r="U46" s="99">
        <v>9</v>
      </c>
      <c r="V46" s="99">
        <v>15</v>
      </c>
      <c r="W46" s="99">
        <v>59</v>
      </c>
      <c r="X46" s="99">
        <v>68</v>
      </c>
      <c r="Y46" s="99">
        <v>95</v>
      </c>
      <c r="Z46" s="99">
        <v>43</v>
      </c>
      <c r="AA46" s="99" t="s">
        <v>726</v>
      </c>
      <c r="AB46" s="99" t="s">
        <v>726</v>
      </c>
      <c r="AC46" s="99" t="s">
        <v>726</v>
      </c>
      <c r="AD46" s="98" t="s">
        <v>411</v>
      </c>
      <c r="AE46" s="100">
        <v>0.1687841687841688</v>
      </c>
      <c r="AF46" s="100">
        <v>0.14</v>
      </c>
      <c r="AG46" s="98">
        <v>323.4003234003234</v>
      </c>
      <c r="AH46" s="98">
        <v>238.7002387002387</v>
      </c>
      <c r="AI46" s="100">
        <v>0.013000000000000001</v>
      </c>
      <c r="AJ46" s="100">
        <v>0.722598</v>
      </c>
      <c r="AK46" s="100">
        <v>0.800363</v>
      </c>
      <c r="AL46" s="100">
        <v>0.763033</v>
      </c>
      <c r="AM46" s="100">
        <v>0.556075</v>
      </c>
      <c r="AN46" s="100">
        <v>0.578093</v>
      </c>
      <c r="AO46" s="98">
        <v>1332.101332101332</v>
      </c>
      <c r="AP46" s="158">
        <v>0.7100463867000001</v>
      </c>
      <c r="AQ46" s="100">
        <v>0.11560693641618497</v>
      </c>
      <c r="AR46" s="100">
        <v>0.425531914893617</v>
      </c>
      <c r="AS46" s="98">
        <v>485.1004851004851</v>
      </c>
      <c r="AT46" s="98">
        <v>192.5001925001925</v>
      </c>
      <c r="AU46" s="98">
        <v>69.3000693000693</v>
      </c>
      <c r="AV46" s="98">
        <v>115.5001155001155</v>
      </c>
      <c r="AW46" s="98">
        <v>454.3004543004543</v>
      </c>
      <c r="AX46" s="98">
        <v>523.6005236005236</v>
      </c>
      <c r="AY46" s="98">
        <v>731.5007315007315</v>
      </c>
      <c r="AZ46" s="98">
        <v>331.1003311003311</v>
      </c>
      <c r="BA46" s="100" t="s">
        <v>726</v>
      </c>
      <c r="BB46" s="100" t="s">
        <v>726</v>
      </c>
      <c r="BC46" s="100" t="s">
        <v>726</v>
      </c>
      <c r="BD46" s="158">
        <v>0.6081794357</v>
      </c>
      <c r="BE46" s="158">
        <v>0.8240948486</v>
      </c>
      <c r="BF46" s="162">
        <v>1478</v>
      </c>
      <c r="BG46" s="162">
        <v>1102</v>
      </c>
      <c r="BH46" s="162">
        <v>3165</v>
      </c>
      <c r="BI46" s="162">
        <v>1284</v>
      </c>
      <c r="BJ46" s="162">
        <v>493</v>
      </c>
      <c r="BK46" s="97"/>
      <c r="BL46" s="97"/>
      <c r="BM46" s="97"/>
      <c r="BN46" s="97"/>
    </row>
    <row r="47" spans="1:66" ht="12.75">
      <c r="A47" s="79" t="s">
        <v>604</v>
      </c>
      <c r="B47" s="79" t="s">
        <v>292</v>
      </c>
      <c r="C47" s="79" t="s">
        <v>580</v>
      </c>
      <c r="D47" s="99">
        <v>13520</v>
      </c>
      <c r="E47" s="99">
        <v>1883</v>
      </c>
      <c r="F47" s="99" t="s">
        <v>433</v>
      </c>
      <c r="G47" s="99">
        <v>36</v>
      </c>
      <c r="H47" s="99">
        <v>59</v>
      </c>
      <c r="I47" s="99">
        <v>226</v>
      </c>
      <c r="J47" s="99">
        <v>1000</v>
      </c>
      <c r="K47" s="99">
        <v>389</v>
      </c>
      <c r="L47" s="99">
        <v>2537</v>
      </c>
      <c r="M47" s="99">
        <v>535</v>
      </c>
      <c r="N47" s="99">
        <v>233</v>
      </c>
      <c r="O47" s="99">
        <v>187</v>
      </c>
      <c r="P47" s="159">
        <v>187</v>
      </c>
      <c r="Q47" s="99">
        <v>42</v>
      </c>
      <c r="R47" s="99">
        <v>84</v>
      </c>
      <c r="S47" s="99">
        <v>31</v>
      </c>
      <c r="T47" s="99">
        <v>23</v>
      </c>
      <c r="U47" s="99">
        <v>12</v>
      </c>
      <c r="V47" s="99">
        <v>44</v>
      </c>
      <c r="W47" s="99">
        <v>51</v>
      </c>
      <c r="X47" s="99">
        <v>37</v>
      </c>
      <c r="Y47" s="99">
        <v>106</v>
      </c>
      <c r="Z47" s="99">
        <v>87</v>
      </c>
      <c r="AA47" s="99" t="s">
        <v>726</v>
      </c>
      <c r="AB47" s="99" t="s">
        <v>726</v>
      </c>
      <c r="AC47" s="99" t="s">
        <v>726</v>
      </c>
      <c r="AD47" s="98" t="s">
        <v>411</v>
      </c>
      <c r="AE47" s="100">
        <v>0.1392751479289941</v>
      </c>
      <c r="AF47" s="100">
        <v>0.15</v>
      </c>
      <c r="AG47" s="98">
        <v>266.2721893491124</v>
      </c>
      <c r="AH47" s="98">
        <v>436.3905325443787</v>
      </c>
      <c r="AI47" s="100">
        <v>0.017</v>
      </c>
      <c r="AJ47" s="100">
        <v>0.710227</v>
      </c>
      <c r="AK47" s="100">
        <v>0.715074</v>
      </c>
      <c r="AL47" s="100">
        <v>0.733025</v>
      </c>
      <c r="AM47" s="100">
        <v>0.439606</v>
      </c>
      <c r="AN47" s="100">
        <v>0.466934</v>
      </c>
      <c r="AO47" s="98">
        <v>1383.1360946745563</v>
      </c>
      <c r="AP47" s="158">
        <v>0.8131193541999999</v>
      </c>
      <c r="AQ47" s="100">
        <v>0.22459893048128343</v>
      </c>
      <c r="AR47" s="100">
        <v>0.5</v>
      </c>
      <c r="AS47" s="98">
        <v>229.28994082840237</v>
      </c>
      <c r="AT47" s="98">
        <v>170.11834319526628</v>
      </c>
      <c r="AU47" s="98">
        <v>88.75739644970415</v>
      </c>
      <c r="AV47" s="98">
        <v>325.4437869822485</v>
      </c>
      <c r="AW47" s="98">
        <v>377.2189349112426</v>
      </c>
      <c r="AX47" s="98">
        <v>273.6686390532544</v>
      </c>
      <c r="AY47" s="98">
        <v>784.0236686390532</v>
      </c>
      <c r="AZ47" s="98">
        <v>643.491124260355</v>
      </c>
      <c r="BA47" s="100" t="s">
        <v>726</v>
      </c>
      <c r="BB47" s="100" t="s">
        <v>726</v>
      </c>
      <c r="BC47" s="100" t="s">
        <v>726</v>
      </c>
      <c r="BD47" s="158">
        <v>0.7007490540000001</v>
      </c>
      <c r="BE47" s="158">
        <v>0.9383829498</v>
      </c>
      <c r="BF47" s="162">
        <v>1408</v>
      </c>
      <c r="BG47" s="162">
        <v>544</v>
      </c>
      <c r="BH47" s="162">
        <v>3461</v>
      </c>
      <c r="BI47" s="162">
        <v>1217</v>
      </c>
      <c r="BJ47" s="162">
        <v>499</v>
      </c>
      <c r="BK47" s="97"/>
      <c r="BL47" s="97"/>
      <c r="BM47" s="97"/>
      <c r="BN47" s="97"/>
    </row>
    <row r="48" spans="1:66" ht="12.75">
      <c r="A48" s="79" t="s">
        <v>613</v>
      </c>
      <c r="B48" s="79" t="s">
        <v>301</v>
      </c>
      <c r="C48" s="79" t="s">
        <v>580</v>
      </c>
      <c r="D48" s="99">
        <v>14515</v>
      </c>
      <c r="E48" s="99">
        <v>2183</v>
      </c>
      <c r="F48" s="99" t="s">
        <v>433</v>
      </c>
      <c r="G48" s="99">
        <v>53</v>
      </c>
      <c r="H48" s="99">
        <v>29</v>
      </c>
      <c r="I48" s="99">
        <v>237</v>
      </c>
      <c r="J48" s="99">
        <v>1085</v>
      </c>
      <c r="K48" s="99">
        <v>1053</v>
      </c>
      <c r="L48" s="99">
        <v>2870</v>
      </c>
      <c r="M48" s="99">
        <v>673</v>
      </c>
      <c r="N48" s="99">
        <v>270</v>
      </c>
      <c r="O48" s="99">
        <v>171</v>
      </c>
      <c r="P48" s="159">
        <v>171</v>
      </c>
      <c r="Q48" s="99">
        <v>17</v>
      </c>
      <c r="R48" s="99">
        <v>49</v>
      </c>
      <c r="S48" s="99">
        <v>47</v>
      </c>
      <c r="T48" s="99">
        <v>19</v>
      </c>
      <c r="U48" s="99">
        <v>7</v>
      </c>
      <c r="V48" s="99">
        <v>10</v>
      </c>
      <c r="W48" s="99">
        <v>65</v>
      </c>
      <c r="X48" s="99">
        <v>74</v>
      </c>
      <c r="Y48" s="99">
        <v>154</v>
      </c>
      <c r="Z48" s="99">
        <v>64</v>
      </c>
      <c r="AA48" s="99" t="s">
        <v>726</v>
      </c>
      <c r="AB48" s="99" t="s">
        <v>726</v>
      </c>
      <c r="AC48" s="99" t="s">
        <v>726</v>
      </c>
      <c r="AD48" s="98" t="s">
        <v>411</v>
      </c>
      <c r="AE48" s="100">
        <v>0.1503961419221495</v>
      </c>
      <c r="AF48" s="100">
        <v>0.13</v>
      </c>
      <c r="AG48" s="98">
        <v>365.139510850844</v>
      </c>
      <c r="AH48" s="98">
        <v>199.79331725800895</v>
      </c>
      <c r="AI48" s="100">
        <v>0.016</v>
      </c>
      <c r="AJ48" s="100">
        <v>0.72093</v>
      </c>
      <c r="AK48" s="100">
        <v>0.730743</v>
      </c>
      <c r="AL48" s="100">
        <v>0.76656</v>
      </c>
      <c r="AM48" s="100">
        <v>0.506777</v>
      </c>
      <c r="AN48" s="100">
        <v>0.536779</v>
      </c>
      <c r="AO48" s="98">
        <v>1178.0916293489493</v>
      </c>
      <c r="AP48" s="158">
        <v>0.6639857483</v>
      </c>
      <c r="AQ48" s="100">
        <v>0.09941520467836257</v>
      </c>
      <c r="AR48" s="100">
        <v>0.3469387755102041</v>
      </c>
      <c r="AS48" s="98">
        <v>323.8029624526352</v>
      </c>
      <c r="AT48" s="98">
        <v>130.89906992766103</v>
      </c>
      <c r="AU48" s="98">
        <v>48.22597313124354</v>
      </c>
      <c r="AV48" s="98">
        <v>68.89424733034791</v>
      </c>
      <c r="AW48" s="98">
        <v>447.8126076472615</v>
      </c>
      <c r="AX48" s="98">
        <v>509.81743024457455</v>
      </c>
      <c r="AY48" s="98">
        <v>1060.971408887358</v>
      </c>
      <c r="AZ48" s="98">
        <v>440.9231829142267</v>
      </c>
      <c r="BA48" s="101" t="s">
        <v>726</v>
      </c>
      <c r="BB48" s="101" t="s">
        <v>726</v>
      </c>
      <c r="BC48" s="101" t="s">
        <v>726</v>
      </c>
      <c r="BD48" s="158">
        <v>0.5681932831000001</v>
      </c>
      <c r="BE48" s="158">
        <v>0.771304245</v>
      </c>
      <c r="BF48" s="162">
        <v>1505</v>
      </c>
      <c r="BG48" s="162">
        <v>1441</v>
      </c>
      <c r="BH48" s="162">
        <v>3744</v>
      </c>
      <c r="BI48" s="162">
        <v>1328</v>
      </c>
      <c r="BJ48" s="162">
        <v>503</v>
      </c>
      <c r="BK48" s="97"/>
      <c r="BL48" s="97"/>
      <c r="BM48" s="97"/>
      <c r="BN48" s="97"/>
    </row>
    <row r="49" spans="1:66" ht="12.75">
      <c r="A49" s="79" t="s">
        <v>649</v>
      </c>
      <c r="B49" s="79" t="s">
        <v>339</v>
      </c>
      <c r="C49" s="79" t="s">
        <v>580</v>
      </c>
      <c r="D49" s="99">
        <v>11532</v>
      </c>
      <c r="E49" s="99">
        <v>1916</v>
      </c>
      <c r="F49" s="99" t="s">
        <v>434</v>
      </c>
      <c r="G49" s="99">
        <v>38</v>
      </c>
      <c r="H49" s="99">
        <v>21</v>
      </c>
      <c r="I49" s="99">
        <v>123</v>
      </c>
      <c r="J49" s="99">
        <v>1116</v>
      </c>
      <c r="K49" s="99">
        <v>739</v>
      </c>
      <c r="L49" s="99">
        <v>2284</v>
      </c>
      <c r="M49" s="99">
        <v>728</v>
      </c>
      <c r="N49" s="99">
        <v>299</v>
      </c>
      <c r="O49" s="99">
        <v>198</v>
      </c>
      <c r="P49" s="159">
        <v>198</v>
      </c>
      <c r="Q49" s="99">
        <v>20</v>
      </c>
      <c r="R49" s="99">
        <v>41</v>
      </c>
      <c r="S49" s="99">
        <v>34</v>
      </c>
      <c r="T49" s="99">
        <v>31</v>
      </c>
      <c r="U49" s="99">
        <v>10</v>
      </c>
      <c r="V49" s="99">
        <v>48</v>
      </c>
      <c r="W49" s="99">
        <v>63</v>
      </c>
      <c r="X49" s="99">
        <v>39</v>
      </c>
      <c r="Y49" s="99">
        <v>109</v>
      </c>
      <c r="Z49" s="99">
        <v>50</v>
      </c>
      <c r="AA49" s="99" t="s">
        <v>726</v>
      </c>
      <c r="AB49" s="99" t="s">
        <v>726</v>
      </c>
      <c r="AC49" s="99" t="s">
        <v>726</v>
      </c>
      <c r="AD49" s="98" t="s">
        <v>411</v>
      </c>
      <c r="AE49" s="100">
        <v>0.1661463753035033</v>
      </c>
      <c r="AF49" s="100">
        <v>0.06</v>
      </c>
      <c r="AG49" s="98">
        <v>329.51786333680195</v>
      </c>
      <c r="AH49" s="98">
        <v>182.10197710718003</v>
      </c>
      <c r="AI49" s="100">
        <v>0.011000000000000001</v>
      </c>
      <c r="AJ49" s="100">
        <v>0.75661</v>
      </c>
      <c r="AK49" s="100">
        <v>0.733863</v>
      </c>
      <c r="AL49" s="100">
        <v>0.757294</v>
      </c>
      <c r="AM49" s="100">
        <v>0.55615</v>
      </c>
      <c r="AN49" s="100">
        <v>0.605263</v>
      </c>
      <c r="AO49" s="98">
        <v>1716.961498439126</v>
      </c>
      <c r="AP49" s="158">
        <v>0.8934709167</v>
      </c>
      <c r="AQ49" s="100">
        <v>0.10101010101010101</v>
      </c>
      <c r="AR49" s="100">
        <v>0.4878048780487805</v>
      </c>
      <c r="AS49" s="98">
        <v>294.83177245924384</v>
      </c>
      <c r="AT49" s="98">
        <v>268.81720430107526</v>
      </c>
      <c r="AU49" s="98">
        <v>86.71522719389525</v>
      </c>
      <c r="AV49" s="98">
        <v>416.2330905306972</v>
      </c>
      <c r="AW49" s="98">
        <v>546.30593132154</v>
      </c>
      <c r="AX49" s="98">
        <v>338.1893860561915</v>
      </c>
      <c r="AY49" s="98">
        <v>945.1959764134582</v>
      </c>
      <c r="AZ49" s="98">
        <v>433.57613596947624</v>
      </c>
      <c r="BA49" s="100" t="s">
        <v>726</v>
      </c>
      <c r="BB49" s="100" t="s">
        <v>726</v>
      </c>
      <c r="BC49" s="100" t="s">
        <v>726</v>
      </c>
      <c r="BD49" s="158">
        <v>0.7733481598</v>
      </c>
      <c r="BE49" s="158">
        <v>1.026965027</v>
      </c>
      <c r="BF49" s="162">
        <v>1475</v>
      </c>
      <c r="BG49" s="162">
        <v>1007</v>
      </c>
      <c r="BH49" s="162">
        <v>3016</v>
      </c>
      <c r="BI49" s="162">
        <v>1309</v>
      </c>
      <c r="BJ49" s="162">
        <v>494</v>
      </c>
      <c r="BK49" s="97"/>
      <c r="BL49" s="97"/>
      <c r="BM49" s="97"/>
      <c r="BN49" s="97"/>
    </row>
    <row r="50" spans="1:66" ht="12.75">
      <c r="A50" s="79" t="s">
        <v>608</v>
      </c>
      <c r="B50" s="79" t="s">
        <v>296</v>
      </c>
      <c r="C50" s="79" t="s">
        <v>580</v>
      </c>
      <c r="D50" s="99">
        <v>9188</v>
      </c>
      <c r="E50" s="99">
        <v>1213</v>
      </c>
      <c r="F50" s="99" t="s">
        <v>432</v>
      </c>
      <c r="G50" s="99">
        <v>37</v>
      </c>
      <c r="H50" s="99">
        <v>12</v>
      </c>
      <c r="I50" s="99">
        <v>150</v>
      </c>
      <c r="J50" s="99">
        <v>641</v>
      </c>
      <c r="K50" s="99">
        <v>13</v>
      </c>
      <c r="L50" s="99">
        <v>1806</v>
      </c>
      <c r="M50" s="99">
        <v>389</v>
      </c>
      <c r="N50" s="99">
        <v>155</v>
      </c>
      <c r="O50" s="99">
        <v>140</v>
      </c>
      <c r="P50" s="159">
        <v>140</v>
      </c>
      <c r="Q50" s="99">
        <v>9</v>
      </c>
      <c r="R50" s="99">
        <v>19</v>
      </c>
      <c r="S50" s="99">
        <v>27</v>
      </c>
      <c r="T50" s="99">
        <v>26</v>
      </c>
      <c r="U50" s="99">
        <v>8</v>
      </c>
      <c r="V50" s="99">
        <v>14</v>
      </c>
      <c r="W50" s="99">
        <v>40</v>
      </c>
      <c r="X50" s="99">
        <v>43</v>
      </c>
      <c r="Y50" s="99">
        <v>70</v>
      </c>
      <c r="Z50" s="99">
        <v>40</v>
      </c>
      <c r="AA50" s="99" t="s">
        <v>726</v>
      </c>
      <c r="AB50" s="99" t="s">
        <v>726</v>
      </c>
      <c r="AC50" s="99" t="s">
        <v>726</v>
      </c>
      <c r="AD50" s="98" t="s">
        <v>411</v>
      </c>
      <c r="AE50" s="100">
        <v>0.13202002612102742</v>
      </c>
      <c r="AF50" s="100">
        <v>0.1</v>
      </c>
      <c r="AG50" s="98">
        <v>402.6991728341315</v>
      </c>
      <c r="AH50" s="98">
        <v>130.605137135394</v>
      </c>
      <c r="AI50" s="100">
        <v>0.016</v>
      </c>
      <c r="AJ50" s="100">
        <v>0.706725</v>
      </c>
      <c r="AK50" s="100">
        <v>0.565217</v>
      </c>
      <c r="AL50" s="100">
        <v>0.74505</v>
      </c>
      <c r="AM50" s="100">
        <v>0.511842</v>
      </c>
      <c r="AN50" s="100">
        <v>0.518395</v>
      </c>
      <c r="AO50" s="98">
        <v>1523.72659991293</v>
      </c>
      <c r="AP50" s="158">
        <v>0.9118040465999999</v>
      </c>
      <c r="AQ50" s="100">
        <v>0.06428571428571428</v>
      </c>
      <c r="AR50" s="100">
        <v>0.47368421052631576</v>
      </c>
      <c r="AS50" s="98">
        <v>293.8615585546365</v>
      </c>
      <c r="AT50" s="98">
        <v>282.977797126687</v>
      </c>
      <c r="AU50" s="98">
        <v>87.070091423596</v>
      </c>
      <c r="AV50" s="98">
        <v>152.37265999129298</v>
      </c>
      <c r="AW50" s="98">
        <v>435.35045711798</v>
      </c>
      <c r="AX50" s="98">
        <v>468.0017414018285</v>
      </c>
      <c r="AY50" s="98">
        <v>761.863299956465</v>
      </c>
      <c r="AZ50" s="98">
        <v>435.35045711798</v>
      </c>
      <c r="BA50" s="100" t="s">
        <v>726</v>
      </c>
      <c r="BB50" s="100" t="s">
        <v>726</v>
      </c>
      <c r="BC50" s="100" t="s">
        <v>726</v>
      </c>
      <c r="BD50" s="158">
        <v>0.7670262909000001</v>
      </c>
      <c r="BE50" s="158">
        <v>1.075964508</v>
      </c>
      <c r="BF50" s="162">
        <v>907</v>
      </c>
      <c r="BG50" s="162">
        <v>23</v>
      </c>
      <c r="BH50" s="162">
        <v>2424</v>
      </c>
      <c r="BI50" s="162">
        <v>760</v>
      </c>
      <c r="BJ50" s="162">
        <v>299</v>
      </c>
      <c r="BK50" s="97"/>
      <c r="BL50" s="97"/>
      <c r="BM50" s="97"/>
      <c r="BN50" s="97"/>
    </row>
    <row r="51" spans="1:66" ht="12.75">
      <c r="A51" s="79" t="s">
        <v>709</v>
      </c>
      <c r="B51" s="79" t="s">
        <v>400</v>
      </c>
      <c r="C51" s="79" t="s">
        <v>580</v>
      </c>
      <c r="D51" s="99">
        <v>2333</v>
      </c>
      <c r="E51" s="99">
        <v>410</v>
      </c>
      <c r="F51" s="99" t="s">
        <v>434</v>
      </c>
      <c r="G51" s="99">
        <v>11</v>
      </c>
      <c r="H51" s="99" t="s">
        <v>726</v>
      </c>
      <c r="I51" s="99">
        <v>44</v>
      </c>
      <c r="J51" s="99">
        <v>212</v>
      </c>
      <c r="K51" s="99">
        <v>196</v>
      </c>
      <c r="L51" s="99">
        <v>450</v>
      </c>
      <c r="M51" s="99">
        <v>172</v>
      </c>
      <c r="N51" s="99">
        <v>68</v>
      </c>
      <c r="O51" s="99">
        <v>43</v>
      </c>
      <c r="P51" s="159">
        <v>43</v>
      </c>
      <c r="Q51" s="99" t="s">
        <v>726</v>
      </c>
      <c r="R51" s="99">
        <v>6</v>
      </c>
      <c r="S51" s="99">
        <v>7</v>
      </c>
      <c r="T51" s="99">
        <v>11</v>
      </c>
      <c r="U51" s="99" t="s">
        <v>726</v>
      </c>
      <c r="V51" s="99" t="s">
        <v>726</v>
      </c>
      <c r="W51" s="99">
        <v>9</v>
      </c>
      <c r="X51" s="99">
        <v>14</v>
      </c>
      <c r="Y51" s="99">
        <v>17</v>
      </c>
      <c r="Z51" s="99">
        <v>12</v>
      </c>
      <c r="AA51" s="99" t="s">
        <v>726</v>
      </c>
      <c r="AB51" s="99" t="s">
        <v>726</v>
      </c>
      <c r="AC51" s="99" t="s">
        <v>726</v>
      </c>
      <c r="AD51" s="98" t="s">
        <v>411</v>
      </c>
      <c r="AE51" s="100">
        <v>0.17573939134162023</v>
      </c>
      <c r="AF51" s="100">
        <v>0.07</v>
      </c>
      <c r="AG51" s="98">
        <v>471.4959279897128</v>
      </c>
      <c r="AH51" s="98" t="s">
        <v>726</v>
      </c>
      <c r="AI51" s="100">
        <v>0.019</v>
      </c>
      <c r="AJ51" s="100">
        <v>0.768116</v>
      </c>
      <c r="AK51" s="100">
        <v>0.762646</v>
      </c>
      <c r="AL51" s="100">
        <v>0.773196</v>
      </c>
      <c r="AM51" s="100">
        <v>0.522796</v>
      </c>
      <c r="AN51" s="100">
        <v>0.53125</v>
      </c>
      <c r="AO51" s="98">
        <v>1843.1204457779684</v>
      </c>
      <c r="AP51" s="158">
        <v>0.9241142273</v>
      </c>
      <c r="AQ51" s="100" t="s">
        <v>726</v>
      </c>
      <c r="AR51" s="100" t="s">
        <v>726</v>
      </c>
      <c r="AS51" s="98">
        <v>300.04286326618086</v>
      </c>
      <c r="AT51" s="98">
        <v>471.4959279897128</v>
      </c>
      <c r="AU51" s="98" t="s">
        <v>726</v>
      </c>
      <c r="AV51" s="98" t="s">
        <v>726</v>
      </c>
      <c r="AW51" s="98">
        <v>385.76939562794684</v>
      </c>
      <c r="AX51" s="98">
        <v>600.0857265323617</v>
      </c>
      <c r="AY51" s="98">
        <v>728.6755250750107</v>
      </c>
      <c r="AZ51" s="98">
        <v>514.3591941705959</v>
      </c>
      <c r="BA51" s="100" t="s">
        <v>726</v>
      </c>
      <c r="BB51" s="100" t="s">
        <v>726</v>
      </c>
      <c r="BC51" s="100" t="s">
        <v>726</v>
      </c>
      <c r="BD51" s="158">
        <v>0.668786087</v>
      </c>
      <c r="BE51" s="158">
        <v>1.244775848</v>
      </c>
      <c r="BF51" s="162">
        <v>276</v>
      </c>
      <c r="BG51" s="162">
        <v>257</v>
      </c>
      <c r="BH51" s="162">
        <v>582</v>
      </c>
      <c r="BI51" s="162">
        <v>329</v>
      </c>
      <c r="BJ51" s="162">
        <v>128</v>
      </c>
      <c r="BK51" s="97"/>
      <c r="BL51" s="97"/>
      <c r="BM51" s="97"/>
      <c r="BN51" s="97"/>
    </row>
    <row r="52" spans="1:66" ht="12.75">
      <c r="A52" s="79" t="s">
        <v>641</v>
      </c>
      <c r="B52" s="79" t="s">
        <v>331</v>
      </c>
      <c r="C52" s="79" t="s">
        <v>580</v>
      </c>
      <c r="D52" s="99">
        <v>9401</v>
      </c>
      <c r="E52" s="99">
        <v>1604</v>
      </c>
      <c r="F52" s="99" t="s">
        <v>434</v>
      </c>
      <c r="G52" s="99">
        <v>42</v>
      </c>
      <c r="H52" s="99">
        <v>14</v>
      </c>
      <c r="I52" s="99">
        <v>148</v>
      </c>
      <c r="J52" s="99">
        <v>792</v>
      </c>
      <c r="K52" s="99" t="s">
        <v>726</v>
      </c>
      <c r="L52" s="99">
        <v>1997</v>
      </c>
      <c r="M52" s="99">
        <v>611</v>
      </c>
      <c r="N52" s="99">
        <v>248</v>
      </c>
      <c r="O52" s="99">
        <v>111</v>
      </c>
      <c r="P52" s="159">
        <v>111</v>
      </c>
      <c r="Q52" s="99">
        <v>18</v>
      </c>
      <c r="R52" s="99">
        <v>32</v>
      </c>
      <c r="S52" s="99">
        <v>35</v>
      </c>
      <c r="T52" s="99">
        <v>14</v>
      </c>
      <c r="U52" s="99" t="s">
        <v>726</v>
      </c>
      <c r="V52" s="99">
        <v>15</v>
      </c>
      <c r="W52" s="99">
        <v>48</v>
      </c>
      <c r="X52" s="99">
        <v>33</v>
      </c>
      <c r="Y52" s="99">
        <v>69</v>
      </c>
      <c r="Z52" s="99">
        <v>41</v>
      </c>
      <c r="AA52" s="99" t="s">
        <v>726</v>
      </c>
      <c r="AB52" s="99" t="s">
        <v>726</v>
      </c>
      <c r="AC52" s="99" t="s">
        <v>726</v>
      </c>
      <c r="AD52" s="98" t="s">
        <v>411</v>
      </c>
      <c r="AE52" s="100">
        <v>0.17062014679289436</v>
      </c>
      <c r="AF52" s="100">
        <v>0.08</v>
      </c>
      <c r="AG52" s="98">
        <v>446.7609828741623</v>
      </c>
      <c r="AH52" s="98">
        <v>148.92032762472078</v>
      </c>
      <c r="AI52" s="100">
        <v>0.016</v>
      </c>
      <c r="AJ52" s="100">
        <v>0.760077</v>
      </c>
      <c r="AK52" s="100" t="s">
        <v>726</v>
      </c>
      <c r="AL52" s="100">
        <v>0.801364</v>
      </c>
      <c r="AM52" s="100">
        <v>0.594358</v>
      </c>
      <c r="AN52" s="100">
        <v>0.623116</v>
      </c>
      <c r="AO52" s="98">
        <v>1180.7254547388575</v>
      </c>
      <c r="AP52" s="158">
        <v>0.6241828537</v>
      </c>
      <c r="AQ52" s="100">
        <v>0.16216216216216217</v>
      </c>
      <c r="AR52" s="100">
        <v>0.5625</v>
      </c>
      <c r="AS52" s="98">
        <v>372.3008190618019</v>
      </c>
      <c r="AT52" s="98">
        <v>148.92032762472078</v>
      </c>
      <c r="AU52" s="98" t="s">
        <v>726</v>
      </c>
      <c r="AV52" s="98">
        <v>159.5574938836294</v>
      </c>
      <c r="AW52" s="98">
        <v>510.5839804276141</v>
      </c>
      <c r="AX52" s="98">
        <v>351.0264865439847</v>
      </c>
      <c r="AY52" s="98">
        <v>733.9644718646953</v>
      </c>
      <c r="AZ52" s="98">
        <v>436.1238166152537</v>
      </c>
      <c r="BA52" s="101" t="s">
        <v>726</v>
      </c>
      <c r="BB52" s="101" t="s">
        <v>726</v>
      </c>
      <c r="BC52" s="101" t="s">
        <v>726</v>
      </c>
      <c r="BD52" s="158">
        <v>0.5134794235</v>
      </c>
      <c r="BE52" s="158">
        <v>0.7516771698</v>
      </c>
      <c r="BF52" s="162">
        <v>1042</v>
      </c>
      <c r="BG52" s="162" t="s">
        <v>726</v>
      </c>
      <c r="BH52" s="162">
        <v>2492</v>
      </c>
      <c r="BI52" s="162">
        <v>1028</v>
      </c>
      <c r="BJ52" s="162">
        <v>398</v>
      </c>
      <c r="BK52" s="97"/>
      <c r="BL52" s="97"/>
      <c r="BM52" s="97"/>
      <c r="BN52" s="97"/>
    </row>
    <row r="53" spans="1:66" ht="12.75">
      <c r="A53" s="79" t="s">
        <v>633</v>
      </c>
      <c r="B53" s="79" t="s">
        <v>323</v>
      </c>
      <c r="C53" s="79" t="s">
        <v>580</v>
      </c>
      <c r="D53" s="99">
        <v>4168</v>
      </c>
      <c r="E53" s="99">
        <v>444</v>
      </c>
      <c r="F53" s="99" t="s">
        <v>433</v>
      </c>
      <c r="G53" s="99">
        <v>13</v>
      </c>
      <c r="H53" s="99">
        <v>9</v>
      </c>
      <c r="I53" s="99">
        <v>58</v>
      </c>
      <c r="J53" s="99">
        <v>390</v>
      </c>
      <c r="K53" s="99">
        <v>387</v>
      </c>
      <c r="L53" s="99">
        <v>863</v>
      </c>
      <c r="M53" s="99">
        <v>226</v>
      </c>
      <c r="N53" s="99">
        <v>97</v>
      </c>
      <c r="O53" s="99">
        <v>40</v>
      </c>
      <c r="P53" s="159">
        <v>40</v>
      </c>
      <c r="Q53" s="99">
        <v>6</v>
      </c>
      <c r="R53" s="99">
        <v>14</v>
      </c>
      <c r="S53" s="99">
        <v>22</v>
      </c>
      <c r="T53" s="99" t="s">
        <v>726</v>
      </c>
      <c r="U53" s="99" t="s">
        <v>726</v>
      </c>
      <c r="V53" s="99">
        <v>7</v>
      </c>
      <c r="W53" s="99">
        <v>22</v>
      </c>
      <c r="X53" s="99">
        <v>23</v>
      </c>
      <c r="Y53" s="99">
        <v>37</v>
      </c>
      <c r="Z53" s="99">
        <v>26</v>
      </c>
      <c r="AA53" s="99" t="s">
        <v>726</v>
      </c>
      <c r="AB53" s="99" t="s">
        <v>726</v>
      </c>
      <c r="AC53" s="99" t="s">
        <v>726</v>
      </c>
      <c r="AD53" s="98" t="s">
        <v>411</v>
      </c>
      <c r="AE53" s="100">
        <v>0.10652591170825336</v>
      </c>
      <c r="AF53" s="100">
        <v>0.15</v>
      </c>
      <c r="AG53" s="98">
        <v>311.90019193857967</v>
      </c>
      <c r="AH53" s="98">
        <v>215.93090211132437</v>
      </c>
      <c r="AI53" s="100">
        <v>0.013999999999999999</v>
      </c>
      <c r="AJ53" s="100">
        <v>0.695187</v>
      </c>
      <c r="AK53" s="100">
        <v>0.703636</v>
      </c>
      <c r="AL53" s="100">
        <v>0.781703</v>
      </c>
      <c r="AM53" s="100">
        <v>0.534279</v>
      </c>
      <c r="AN53" s="100">
        <v>0.587879</v>
      </c>
      <c r="AO53" s="98">
        <v>959.6928982725528</v>
      </c>
      <c r="AP53" s="158">
        <v>0.5753396225</v>
      </c>
      <c r="AQ53" s="100">
        <v>0.15</v>
      </c>
      <c r="AR53" s="100">
        <v>0.42857142857142855</v>
      </c>
      <c r="AS53" s="98">
        <v>527.831094049904</v>
      </c>
      <c r="AT53" s="98" t="s">
        <v>726</v>
      </c>
      <c r="AU53" s="98" t="s">
        <v>726</v>
      </c>
      <c r="AV53" s="98">
        <v>167.94625719769672</v>
      </c>
      <c r="AW53" s="98">
        <v>527.831094049904</v>
      </c>
      <c r="AX53" s="98">
        <v>551.8234165067179</v>
      </c>
      <c r="AY53" s="98">
        <v>887.7159309021113</v>
      </c>
      <c r="AZ53" s="98">
        <v>623.8003838771593</v>
      </c>
      <c r="BA53" s="100" t="s">
        <v>726</v>
      </c>
      <c r="BB53" s="100" t="s">
        <v>726</v>
      </c>
      <c r="BC53" s="100" t="s">
        <v>726</v>
      </c>
      <c r="BD53" s="158">
        <v>0.41103107450000004</v>
      </c>
      <c r="BE53" s="158">
        <v>0.7834492493</v>
      </c>
      <c r="BF53" s="162">
        <v>561</v>
      </c>
      <c r="BG53" s="162">
        <v>550</v>
      </c>
      <c r="BH53" s="162">
        <v>1104</v>
      </c>
      <c r="BI53" s="162">
        <v>423</v>
      </c>
      <c r="BJ53" s="162">
        <v>165</v>
      </c>
      <c r="BK53" s="97"/>
      <c r="BL53" s="97"/>
      <c r="BM53" s="97"/>
      <c r="BN53" s="97"/>
    </row>
    <row r="54" spans="1:66" ht="12.75">
      <c r="A54" s="79" t="s">
        <v>668</v>
      </c>
      <c r="B54" s="79" t="s">
        <v>358</v>
      </c>
      <c r="C54" s="79" t="s">
        <v>580</v>
      </c>
      <c r="D54" s="99">
        <v>8885</v>
      </c>
      <c r="E54" s="99">
        <v>1433</v>
      </c>
      <c r="F54" s="99" t="s">
        <v>432</v>
      </c>
      <c r="G54" s="99">
        <v>34</v>
      </c>
      <c r="H54" s="99">
        <v>18</v>
      </c>
      <c r="I54" s="99">
        <v>122</v>
      </c>
      <c r="J54" s="99">
        <v>872</v>
      </c>
      <c r="K54" s="99">
        <v>672</v>
      </c>
      <c r="L54" s="99">
        <v>1803</v>
      </c>
      <c r="M54" s="99">
        <v>664</v>
      </c>
      <c r="N54" s="99">
        <v>274</v>
      </c>
      <c r="O54" s="99">
        <v>188</v>
      </c>
      <c r="P54" s="159">
        <v>188</v>
      </c>
      <c r="Q54" s="99">
        <v>11</v>
      </c>
      <c r="R54" s="99">
        <v>32</v>
      </c>
      <c r="S54" s="99">
        <v>49</v>
      </c>
      <c r="T54" s="99">
        <v>22</v>
      </c>
      <c r="U54" s="99">
        <v>14</v>
      </c>
      <c r="V54" s="99">
        <v>35</v>
      </c>
      <c r="W54" s="99">
        <v>44</v>
      </c>
      <c r="X54" s="99">
        <v>35</v>
      </c>
      <c r="Y54" s="99">
        <v>80</v>
      </c>
      <c r="Z54" s="99">
        <v>38</v>
      </c>
      <c r="AA54" s="99" t="s">
        <v>726</v>
      </c>
      <c r="AB54" s="99" t="s">
        <v>726</v>
      </c>
      <c r="AC54" s="99" t="s">
        <v>726</v>
      </c>
      <c r="AD54" s="98" t="s">
        <v>411</v>
      </c>
      <c r="AE54" s="100">
        <v>0.16128306133933595</v>
      </c>
      <c r="AF54" s="100">
        <v>0.09</v>
      </c>
      <c r="AG54" s="98">
        <v>382.6674169949353</v>
      </c>
      <c r="AH54" s="98">
        <v>202.58863252673044</v>
      </c>
      <c r="AI54" s="100">
        <v>0.013999999999999999</v>
      </c>
      <c r="AJ54" s="100">
        <v>0.764242</v>
      </c>
      <c r="AK54" s="100">
        <v>0.789659</v>
      </c>
      <c r="AL54" s="100">
        <v>0.809609</v>
      </c>
      <c r="AM54" s="100">
        <v>0.592328</v>
      </c>
      <c r="AN54" s="100">
        <v>0.647754</v>
      </c>
      <c r="AO54" s="98">
        <v>2115.925717501407</v>
      </c>
      <c r="AP54" s="158">
        <v>1.1641880039999999</v>
      </c>
      <c r="AQ54" s="100">
        <v>0.05851063829787234</v>
      </c>
      <c r="AR54" s="100">
        <v>0.34375</v>
      </c>
      <c r="AS54" s="98">
        <v>551.4912774338774</v>
      </c>
      <c r="AT54" s="98">
        <v>247.60832864378165</v>
      </c>
      <c r="AU54" s="98">
        <v>157.56893640967922</v>
      </c>
      <c r="AV54" s="98">
        <v>393.9223410241981</v>
      </c>
      <c r="AW54" s="98">
        <v>495.2166572875633</v>
      </c>
      <c r="AX54" s="98">
        <v>393.9223410241981</v>
      </c>
      <c r="AY54" s="98">
        <v>900.3939223410242</v>
      </c>
      <c r="AZ54" s="98">
        <v>427.6871131119865</v>
      </c>
      <c r="BA54" s="100" t="s">
        <v>726</v>
      </c>
      <c r="BB54" s="100" t="s">
        <v>726</v>
      </c>
      <c r="BC54" s="100" t="s">
        <v>726</v>
      </c>
      <c r="BD54" s="158">
        <v>1.003713608</v>
      </c>
      <c r="BE54" s="158">
        <v>1.3430230710000002</v>
      </c>
      <c r="BF54" s="162">
        <v>1141</v>
      </c>
      <c r="BG54" s="162">
        <v>851</v>
      </c>
      <c r="BH54" s="162">
        <v>2227</v>
      </c>
      <c r="BI54" s="162">
        <v>1121</v>
      </c>
      <c r="BJ54" s="162">
        <v>423</v>
      </c>
      <c r="BK54" s="97"/>
      <c r="BL54" s="97"/>
      <c r="BM54" s="97"/>
      <c r="BN54" s="97"/>
    </row>
    <row r="55" spans="1:66" ht="12.75">
      <c r="A55" s="79" t="s">
        <v>644</v>
      </c>
      <c r="B55" s="79" t="s">
        <v>334</v>
      </c>
      <c r="C55" s="79" t="s">
        <v>580</v>
      </c>
      <c r="D55" s="99">
        <v>16134</v>
      </c>
      <c r="E55" s="99">
        <v>2651</v>
      </c>
      <c r="F55" s="99" t="s">
        <v>432</v>
      </c>
      <c r="G55" s="99">
        <v>99</v>
      </c>
      <c r="H55" s="99">
        <v>45</v>
      </c>
      <c r="I55" s="99">
        <v>338</v>
      </c>
      <c r="J55" s="99">
        <v>1242</v>
      </c>
      <c r="K55" s="99">
        <v>9</v>
      </c>
      <c r="L55" s="99">
        <v>3149</v>
      </c>
      <c r="M55" s="99">
        <v>876</v>
      </c>
      <c r="N55" s="99">
        <v>347</v>
      </c>
      <c r="O55" s="99">
        <v>226</v>
      </c>
      <c r="P55" s="159">
        <v>226</v>
      </c>
      <c r="Q55" s="99">
        <v>20</v>
      </c>
      <c r="R55" s="99">
        <v>54</v>
      </c>
      <c r="S55" s="99">
        <v>50</v>
      </c>
      <c r="T55" s="99">
        <v>26</v>
      </c>
      <c r="U55" s="99">
        <v>16</v>
      </c>
      <c r="V55" s="99">
        <v>30</v>
      </c>
      <c r="W55" s="99">
        <v>109</v>
      </c>
      <c r="X55" s="99">
        <v>65</v>
      </c>
      <c r="Y55" s="99">
        <v>125</v>
      </c>
      <c r="Z55" s="99">
        <v>113</v>
      </c>
      <c r="AA55" s="99" t="s">
        <v>726</v>
      </c>
      <c r="AB55" s="99" t="s">
        <v>726</v>
      </c>
      <c r="AC55" s="99" t="s">
        <v>726</v>
      </c>
      <c r="AD55" s="98" t="s">
        <v>411</v>
      </c>
      <c r="AE55" s="100">
        <v>0.1643113920912359</v>
      </c>
      <c r="AF55" s="100">
        <v>0.11</v>
      </c>
      <c r="AG55" s="98">
        <v>613.6110078095946</v>
      </c>
      <c r="AH55" s="98">
        <v>278.9140944589067</v>
      </c>
      <c r="AI55" s="100">
        <v>0.021</v>
      </c>
      <c r="AJ55" s="100">
        <v>0.66099</v>
      </c>
      <c r="AK55" s="100">
        <v>0.529412</v>
      </c>
      <c r="AL55" s="100">
        <v>0.771625</v>
      </c>
      <c r="AM55" s="100">
        <v>0.548185</v>
      </c>
      <c r="AN55" s="100">
        <v>0.588136</v>
      </c>
      <c r="AO55" s="98">
        <v>1400.768563282509</v>
      </c>
      <c r="AP55" s="158">
        <v>0.7502283477999999</v>
      </c>
      <c r="AQ55" s="100">
        <v>0.08849557522123894</v>
      </c>
      <c r="AR55" s="100">
        <v>0.37037037037037035</v>
      </c>
      <c r="AS55" s="98">
        <v>309.90454939878515</v>
      </c>
      <c r="AT55" s="98">
        <v>161.1503656873683</v>
      </c>
      <c r="AU55" s="98">
        <v>99.16945580761126</v>
      </c>
      <c r="AV55" s="98">
        <v>185.9427296392711</v>
      </c>
      <c r="AW55" s="98">
        <v>675.5919176893517</v>
      </c>
      <c r="AX55" s="98">
        <v>402.87591421842075</v>
      </c>
      <c r="AY55" s="98">
        <v>774.761373496963</v>
      </c>
      <c r="AZ55" s="98">
        <v>700.3842816412545</v>
      </c>
      <c r="BA55" s="100" t="s">
        <v>726</v>
      </c>
      <c r="BB55" s="100" t="s">
        <v>726</v>
      </c>
      <c r="BC55" s="100" t="s">
        <v>726</v>
      </c>
      <c r="BD55" s="158">
        <v>0.655598526</v>
      </c>
      <c r="BE55" s="158">
        <v>0.8546803284000001</v>
      </c>
      <c r="BF55" s="162">
        <v>1879</v>
      </c>
      <c r="BG55" s="162">
        <v>17</v>
      </c>
      <c r="BH55" s="162">
        <v>4081</v>
      </c>
      <c r="BI55" s="162">
        <v>1598</v>
      </c>
      <c r="BJ55" s="162">
        <v>590</v>
      </c>
      <c r="BK55" s="97"/>
      <c r="BL55" s="97"/>
      <c r="BM55" s="97"/>
      <c r="BN55" s="97"/>
    </row>
    <row r="56" spans="1:66" ht="12.75">
      <c r="A56" s="79" t="s">
        <v>600</v>
      </c>
      <c r="B56" s="79" t="s">
        <v>288</v>
      </c>
      <c r="C56" s="79" t="s">
        <v>580</v>
      </c>
      <c r="D56" s="99">
        <v>9546</v>
      </c>
      <c r="E56" s="99">
        <v>1400</v>
      </c>
      <c r="F56" s="99" t="s">
        <v>434</v>
      </c>
      <c r="G56" s="99">
        <v>55</v>
      </c>
      <c r="H56" s="99">
        <v>14</v>
      </c>
      <c r="I56" s="99">
        <v>157</v>
      </c>
      <c r="J56" s="99">
        <v>831</v>
      </c>
      <c r="K56" s="99">
        <v>12</v>
      </c>
      <c r="L56" s="99">
        <v>2118</v>
      </c>
      <c r="M56" s="99">
        <v>534</v>
      </c>
      <c r="N56" s="99">
        <v>219</v>
      </c>
      <c r="O56" s="99">
        <v>147</v>
      </c>
      <c r="P56" s="159">
        <v>147</v>
      </c>
      <c r="Q56" s="99">
        <v>8</v>
      </c>
      <c r="R56" s="99">
        <v>29</v>
      </c>
      <c r="S56" s="99">
        <v>44</v>
      </c>
      <c r="T56" s="99">
        <v>13</v>
      </c>
      <c r="U56" s="99" t="s">
        <v>726</v>
      </c>
      <c r="V56" s="99">
        <v>24</v>
      </c>
      <c r="W56" s="99">
        <v>69</v>
      </c>
      <c r="X56" s="99">
        <v>34</v>
      </c>
      <c r="Y56" s="99">
        <v>88</v>
      </c>
      <c r="Z56" s="99">
        <v>38</v>
      </c>
      <c r="AA56" s="99" t="s">
        <v>726</v>
      </c>
      <c r="AB56" s="99" t="s">
        <v>726</v>
      </c>
      <c r="AC56" s="99" t="s">
        <v>726</v>
      </c>
      <c r="AD56" s="98" t="s">
        <v>411</v>
      </c>
      <c r="AE56" s="100">
        <v>0.14665828619316992</v>
      </c>
      <c r="AF56" s="100">
        <v>0.07</v>
      </c>
      <c r="AG56" s="98">
        <v>576.157552901739</v>
      </c>
      <c r="AH56" s="98">
        <v>146.65828619316991</v>
      </c>
      <c r="AI56" s="100">
        <v>0.016</v>
      </c>
      <c r="AJ56" s="100">
        <v>0.70844</v>
      </c>
      <c r="AK56" s="100">
        <v>0.666667</v>
      </c>
      <c r="AL56" s="100">
        <v>0.809015</v>
      </c>
      <c r="AM56" s="100">
        <v>0.572961</v>
      </c>
      <c r="AN56" s="100">
        <v>0.62931</v>
      </c>
      <c r="AO56" s="98">
        <v>1539.912005028284</v>
      </c>
      <c r="AP56" s="158">
        <v>0.8394863129</v>
      </c>
      <c r="AQ56" s="100">
        <v>0.05442176870748299</v>
      </c>
      <c r="AR56" s="100">
        <v>0.27586206896551724</v>
      </c>
      <c r="AS56" s="98">
        <v>460.92604232139115</v>
      </c>
      <c r="AT56" s="98">
        <v>136.1826943222292</v>
      </c>
      <c r="AU56" s="98" t="s">
        <v>726</v>
      </c>
      <c r="AV56" s="98">
        <v>251.41420490257698</v>
      </c>
      <c r="AW56" s="98">
        <v>722.8158390949088</v>
      </c>
      <c r="AX56" s="98">
        <v>356.1701236119841</v>
      </c>
      <c r="AY56" s="98">
        <v>921.8520846427823</v>
      </c>
      <c r="AZ56" s="98">
        <v>398.0724910957469</v>
      </c>
      <c r="BA56" s="100" t="s">
        <v>726</v>
      </c>
      <c r="BB56" s="100" t="s">
        <v>726</v>
      </c>
      <c r="BC56" s="100" t="s">
        <v>726</v>
      </c>
      <c r="BD56" s="158">
        <v>0.7092662811</v>
      </c>
      <c r="BE56" s="158">
        <v>0.9866909026999999</v>
      </c>
      <c r="BF56" s="162">
        <v>1173</v>
      </c>
      <c r="BG56" s="162">
        <v>18</v>
      </c>
      <c r="BH56" s="162">
        <v>2618</v>
      </c>
      <c r="BI56" s="162">
        <v>932</v>
      </c>
      <c r="BJ56" s="162">
        <v>348</v>
      </c>
      <c r="BK56" s="97"/>
      <c r="BL56" s="97"/>
      <c r="BM56" s="97"/>
      <c r="BN56" s="97"/>
    </row>
    <row r="57" spans="1:66" ht="12.75">
      <c r="A57" s="79" t="s">
        <v>665</v>
      </c>
      <c r="B57" s="79" t="s">
        <v>355</v>
      </c>
      <c r="C57" s="79" t="s">
        <v>580</v>
      </c>
      <c r="D57" s="99">
        <v>12396</v>
      </c>
      <c r="E57" s="99">
        <v>1800</v>
      </c>
      <c r="F57" s="99" t="s">
        <v>434</v>
      </c>
      <c r="G57" s="99">
        <v>48</v>
      </c>
      <c r="H57" s="99">
        <v>19</v>
      </c>
      <c r="I57" s="99">
        <v>192</v>
      </c>
      <c r="J57" s="99">
        <v>928</v>
      </c>
      <c r="K57" s="99">
        <v>6</v>
      </c>
      <c r="L57" s="99">
        <v>2520</v>
      </c>
      <c r="M57" s="99">
        <v>649</v>
      </c>
      <c r="N57" s="99">
        <v>250</v>
      </c>
      <c r="O57" s="99">
        <v>155</v>
      </c>
      <c r="P57" s="159">
        <v>155</v>
      </c>
      <c r="Q57" s="99">
        <v>12</v>
      </c>
      <c r="R57" s="99">
        <v>28</v>
      </c>
      <c r="S57" s="99">
        <v>36</v>
      </c>
      <c r="T57" s="99">
        <v>29</v>
      </c>
      <c r="U57" s="99" t="s">
        <v>726</v>
      </c>
      <c r="V57" s="99">
        <v>26</v>
      </c>
      <c r="W57" s="99">
        <v>55</v>
      </c>
      <c r="X57" s="99">
        <v>33</v>
      </c>
      <c r="Y57" s="99">
        <v>93</v>
      </c>
      <c r="Z57" s="99">
        <v>36</v>
      </c>
      <c r="AA57" s="99" t="s">
        <v>726</v>
      </c>
      <c r="AB57" s="99" t="s">
        <v>726</v>
      </c>
      <c r="AC57" s="99" t="s">
        <v>726</v>
      </c>
      <c r="AD57" s="98" t="s">
        <v>411</v>
      </c>
      <c r="AE57" s="100">
        <v>0.1452081316553727</v>
      </c>
      <c r="AF57" s="100">
        <v>0.07</v>
      </c>
      <c r="AG57" s="98">
        <v>387.2216844143272</v>
      </c>
      <c r="AH57" s="98">
        <v>153.27525008067119</v>
      </c>
      <c r="AI57" s="100">
        <v>0.015</v>
      </c>
      <c r="AJ57" s="100">
        <v>0.699849</v>
      </c>
      <c r="AK57" s="100">
        <v>0.5</v>
      </c>
      <c r="AL57" s="100">
        <v>0.745342</v>
      </c>
      <c r="AM57" s="100">
        <v>0.589464</v>
      </c>
      <c r="AN57" s="100">
        <v>0.608273</v>
      </c>
      <c r="AO57" s="98">
        <v>1250.4033559212648</v>
      </c>
      <c r="AP57" s="158">
        <v>0.7025572968</v>
      </c>
      <c r="AQ57" s="100">
        <v>0.07741935483870968</v>
      </c>
      <c r="AR57" s="100">
        <v>0.42857142857142855</v>
      </c>
      <c r="AS57" s="98">
        <v>290.4162633107454</v>
      </c>
      <c r="AT57" s="98">
        <v>233.94643433365601</v>
      </c>
      <c r="AU57" s="98" t="s">
        <v>726</v>
      </c>
      <c r="AV57" s="98">
        <v>209.74507905776056</v>
      </c>
      <c r="AW57" s="98">
        <v>443.6915133914166</v>
      </c>
      <c r="AX57" s="98">
        <v>266.21490803484994</v>
      </c>
      <c r="AY57" s="98">
        <v>750.242013552759</v>
      </c>
      <c r="AZ57" s="98">
        <v>290.4162633107454</v>
      </c>
      <c r="BA57" s="100" t="s">
        <v>726</v>
      </c>
      <c r="BB57" s="100" t="s">
        <v>726</v>
      </c>
      <c r="BC57" s="100" t="s">
        <v>726</v>
      </c>
      <c r="BD57" s="158">
        <v>0.5963087082</v>
      </c>
      <c r="BE57" s="158">
        <v>0.8222772217000001</v>
      </c>
      <c r="BF57" s="162">
        <v>1326</v>
      </c>
      <c r="BG57" s="162">
        <v>12</v>
      </c>
      <c r="BH57" s="162">
        <v>3381</v>
      </c>
      <c r="BI57" s="162">
        <v>1101</v>
      </c>
      <c r="BJ57" s="162">
        <v>411</v>
      </c>
      <c r="BK57" s="97"/>
      <c r="BL57" s="97"/>
      <c r="BM57" s="97"/>
      <c r="BN57" s="97"/>
    </row>
    <row r="58" spans="1:66" ht="12.75">
      <c r="A58" s="79" t="s">
        <v>598</v>
      </c>
      <c r="B58" s="79" t="s">
        <v>285</v>
      </c>
      <c r="C58" s="79" t="s">
        <v>580</v>
      </c>
      <c r="D58" s="99">
        <v>3854</v>
      </c>
      <c r="E58" s="99">
        <v>381</v>
      </c>
      <c r="F58" s="99" t="s">
        <v>432</v>
      </c>
      <c r="G58" s="99" t="s">
        <v>726</v>
      </c>
      <c r="H58" s="99" t="s">
        <v>726</v>
      </c>
      <c r="I58" s="99">
        <v>30</v>
      </c>
      <c r="J58" s="99">
        <v>205</v>
      </c>
      <c r="K58" s="99" t="s">
        <v>726</v>
      </c>
      <c r="L58" s="99">
        <v>709</v>
      </c>
      <c r="M58" s="99">
        <v>126</v>
      </c>
      <c r="N58" s="99">
        <v>55</v>
      </c>
      <c r="O58" s="99">
        <v>12</v>
      </c>
      <c r="P58" s="159">
        <v>12</v>
      </c>
      <c r="Q58" s="99" t="s">
        <v>726</v>
      </c>
      <c r="R58" s="99">
        <v>11</v>
      </c>
      <c r="S58" s="99">
        <v>8</v>
      </c>
      <c r="T58" s="99" t="s">
        <v>726</v>
      </c>
      <c r="U58" s="99" t="s">
        <v>726</v>
      </c>
      <c r="V58" s="99" t="s">
        <v>726</v>
      </c>
      <c r="W58" s="99">
        <v>15</v>
      </c>
      <c r="X58" s="99">
        <v>10</v>
      </c>
      <c r="Y58" s="99">
        <v>31</v>
      </c>
      <c r="Z58" s="99">
        <v>14</v>
      </c>
      <c r="AA58" s="99" t="s">
        <v>726</v>
      </c>
      <c r="AB58" s="99" t="s">
        <v>726</v>
      </c>
      <c r="AC58" s="99" t="s">
        <v>726</v>
      </c>
      <c r="AD58" s="98" t="s">
        <v>411</v>
      </c>
      <c r="AE58" s="100">
        <v>0.09885832900882201</v>
      </c>
      <c r="AF58" s="100">
        <v>0.1</v>
      </c>
      <c r="AG58" s="98" t="s">
        <v>726</v>
      </c>
      <c r="AH58" s="98" t="s">
        <v>726</v>
      </c>
      <c r="AI58" s="100">
        <v>0.008</v>
      </c>
      <c r="AJ58" s="100">
        <v>0.66343</v>
      </c>
      <c r="AK58" s="100" t="s">
        <v>726</v>
      </c>
      <c r="AL58" s="100">
        <v>0.766486</v>
      </c>
      <c r="AM58" s="100">
        <v>0.459854</v>
      </c>
      <c r="AN58" s="100">
        <v>0.474138</v>
      </c>
      <c r="AO58" s="98">
        <v>311.3648157758173</v>
      </c>
      <c r="AP58" s="158">
        <v>0.22439201350000001</v>
      </c>
      <c r="AQ58" s="100" t="s">
        <v>726</v>
      </c>
      <c r="AR58" s="100" t="s">
        <v>726</v>
      </c>
      <c r="AS58" s="98">
        <v>207.57654385054488</v>
      </c>
      <c r="AT58" s="98" t="s">
        <v>726</v>
      </c>
      <c r="AU58" s="98" t="s">
        <v>726</v>
      </c>
      <c r="AV58" s="98" t="s">
        <v>726</v>
      </c>
      <c r="AW58" s="98">
        <v>389.2060197197717</v>
      </c>
      <c r="AX58" s="98">
        <v>259.4706798131811</v>
      </c>
      <c r="AY58" s="98">
        <v>804.3591074208614</v>
      </c>
      <c r="AZ58" s="98">
        <v>363.25895173845356</v>
      </c>
      <c r="BA58" s="100" t="s">
        <v>726</v>
      </c>
      <c r="BB58" s="100" t="s">
        <v>726</v>
      </c>
      <c r="BC58" s="100" t="s">
        <v>726</v>
      </c>
      <c r="BD58" s="158">
        <v>0.1159466267</v>
      </c>
      <c r="BE58" s="158">
        <v>0.39196769709999996</v>
      </c>
      <c r="BF58" s="162">
        <v>309</v>
      </c>
      <c r="BG58" s="162" t="s">
        <v>726</v>
      </c>
      <c r="BH58" s="162">
        <v>925</v>
      </c>
      <c r="BI58" s="162">
        <v>274</v>
      </c>
      <c r="BJ58" s="162">
        <v>116</v>
      </c>
      <c r="BK58" s="97"/>
      <c r="BL58" s="97"/>
      <c r="BM58" s="97"/>
      <c r="BN58" s="97"/>
    </row>
    <row r="59" spans="1:66" ht="12.75">
      <c r="A59" s="79" t="s">
        <v>647</v>
      </c>
      <c r="B59" s="79" t="s">
        <v>337</v>
      </c>
      <c r="C59" s="79" t="s">
        <v>580</v>
      </c>
      <c r="D59" s="99">
        <v>3360</v>
      </c>
      <c r="E59" s="99">
        <v>540</v>
      </c>
      <c r="F59" s="99" t="s">
        <v>434</v>
      </c>
      <c r="G59" s="99">
        <v>14</v>
      </c>
      <c r="H59" s="99">
        <v>7</v>
      </c>
      <c r="I59" s="99">
        <v>69</v>
      </c>
      <c r="J59" s="99">
        <v>263</v>
      </c>
      <c r="K59" s="99">
        <v>262</v>
      </c>
      <c r="L59" s="99">
        <v>697</v>
      </c>
      <c r="M59" s="99">
        <v>198</v>
      </c>
      <c r="N59" s="99">
        <v>92</v>
      </c>
      <c r="O59" s="99">
        <v>21</v>
      </c>
      <c r="P59" s="159">
        <v>21</v>
      </c>
      <c r="Q59" s="99" t="s">
        <v>726</v>
      </c>
      <c r="R59" s="99">
        <v>16</v>
      </c>
      <c r="S59" s="99">
        <v>9</v>
      </c>
      <c r="T59" s="99" t="s">
        <v>726</v>
      </c>
      <c r="U59" s="99" t="s">
        <v>726</v>
      </c>
      <c r="V59" s="99" t="s">
        <v>726</v>
      </c>
      <c r="W59" s="99">
        <v>9</v>
      </c>
      <c r="X59" s="99">
        <v>7</v>
      </c>
      <c r="Y59" s="99">
        <v>18</v>
      </c>
      <c r="Z59" s="99">
        <v>25</v>
      </c>
      <c r="AA59" s="99" t="s">
        <v>726</v>
      </c>
      <c r="AB59" s="99" t="s">
        <v>726</v>
      </c>
      <c r="AC59" s="99" t="s">
        <v>726</v>
      </c>
      <c r="AD59" s="98" t="s">
        <v>411</v>
      </c>
      <c r="AE59" s="100">
        <v>0.16071428571428573</v>
      </c>
      <c r="AF59" s="100">
        <v>0.07</v>
      </c>
      <c r="AG59" s="98">
        <v>416.6666666666667</v>
      </c>
      <c r="AH59" s="98">
        <v>208.33333333333334</v>
      </c>
      <c r="AI59" s="100">
        <v>0.021</v>
      </c>
      <c r="AJ59" s="100">
        <v>0.726519</v>
      </c>
      <c r="AK59" s="100">
        <v>0.738028</v>
      </c>
      <c r="AL59" s="100">
        <v>0.80485</v>
      </c>
      <c r="AM59" s="100">
        <v>0.582353</v>
      </c>
      <c r="AN59" s="100">
        <v>0.630137</v>
      </c>
      <c r="AO59" s="98">
        <v>625</v>
      </c>
      <c r="AP59" s="158">
        <v>0.34104747770000005</v>
      </c>
      <c r="AQ59" s="100" t="s">
        <v>726</v>
      </c>
      <c r="AR59" s="100" t="s">
        <v>726</v>
      </c>
      <c r="AS59" s="98">
        <v>267.85714285714283</v>
      </c>
      <c r="AT59" s="98" t="s">
        <v>726</v>
      </c>
      <c r="AU59" s="98" t="s">
        <v>726</v>
      </c>
      <c r="AV59" s="98" t="s">
        <v>726</v>
      </c>
      <c r="AW59" s="98">
        <v>267.85714285714283</v>
      </c>
      <c r="AX59" s="98">
        <v>208.33333333333334</v>
      </c>
      <c r="AY59" s="98">
        <v>535.7142857142857</v>
      </c>
      <c r="AZ59" s="98">
        <v>744.047619047619</v>
      </c>
      <c r="BA59" s="100" t="s">
        <v>726</v>
      </c>
      <c r="BB59" s="100" t="s">
        <v>726</v>
      </c>
      <c r="BC59" s="100" t="s">
        <v>726</v>
      </c>
      <c r="BD59" s="158">
        <v>0.2111137581</v>
      </c>
      <c r="BE59" s="158">
        <v>0.5213272858</v>
      </c>
      <c r="BF59" s="162">
        <v>362</v>
      </c>
      <c r="BG59" s="162">
        <v>355</v>
      </c>
      <c r="BH59" s="162">
        <v>866</v>
      </c>
      <c r="BI59" s="162">
        <v>340</v>
      </c>
      <c r="BJ59" s="162">
        <v>146</v>
      </c>
      <c r="BK59" s="97"/>
      <c r="BL59" s="97"/>
      <c r="BM59" s="97"/>
      <c r="BN59" s="97"/>
    </row>
    <row r="60" spans="1:66" ht="12.75">
      <c r="A60" s="79" t="s">
        <v>697</v>
      </c>
      <c r="B60" s="79" t="s">
        <v>388</v>
      </c>
      <c r="C60" s="79" t="s">
        <v>580</v>
      </c>
      <c r="D60" s="99">
        <v>6069</v>
      </c>
      <c r="E60" s="99">
        <v>1187</v>
      </c>
      <c r="F60" s="99" t="s">
        <v>433</v>
      </c>
      <c r="G60" s="99">
        <v>27</v>
      </c>
      <c r="H60" s="99">
        <v>13</v>
      </c>
      <c r="I60" s="99">
        <v>116</v>
      </c>
      <c r="J60" s="99" t="s">
        <v>726</v>
      </c>
      <c r="K60" s="99" t="s">
        <v>726</v>
      </c>
      <c r="L60" s="99" t="s">
        <v>726</v>
      </c>
      <c r="M60" s="99">
        <v>312</v>
      </c>
      <c r="N60" s="99">
        <v>128</v>
      </c>
      <c r="O60" s="99">
        <v>68</v>
      </c>
      <c r="P60" s="159">
        <v>68</v>
      </c>
      <c r="Q60" s="99">
        <v>12</v>
      </c>
      <c r="R60" s="99">
        <v>29</v>
      </c>
      <c r="S60" s="99">
        <v>17</v>
      </c>
      <c r="T60" s="99">
        <v>12</v>
      </c>
      <c r="U60" s="99" t="s">
        <v>726</v>
      </c>
      <c r="V60" s="99">
        <v>13</v>
      </c>
      <c r="W60" s="99">
        <v>45</v>
      </c>
      <c r="X60" s="99">
        <v>38</v>
      </c>
      <c r="Y60" s="99">
        <v>73</v>
      </c>
      <c r="Z60" s="99">
        <v>25</v>
      </c>
      <c r="AA60" s="99" t="s">
        <v>726</v>
      </c>
      <c r="AB60" s="99" t="s">
        <v>726</v>
      </c>
      <c r="AC60" s="99" t="s">
        <v>726</v>
      </c>
      <c r="AD60" s="98" t="s">
        <v>411</v>
      </c>
      <c r="AE60" s="100">
        <v>0.19558411599934092</v>
      </c>
      <c r="AF60" s="100">
        <v>0.14</v>
      </c>
      <c r="AG60" s="98">
        <v>444.8838358872961</v>
      </c>
      <c r="AH60" s="98">
        <v>214.2033283901796</v>
      </c>
      <c r="AI60" s="100">
        <v>0.019</v>
      </c>
      <c r="AJ60" s="100" t="s">
        <v>726</v>
      </c>
      <c r="AK60" s="100" t="s">
        <v>726</v>
      </c>
      <c r="AL60" s="100" t="s">
        <v>726</v>
      </c>
      <c r="AM60" s="100">
        <v>0.48</v>
      </c>
      <c r="AN60" s="100">
        <v>0.561404</v>
      </c>
      <c r="AO60" s="98">
        <v>1120.4481792717088</v>
      </c>
      <c r="AP60" s="158">
        <v>0.5701886368</v>
      </c>
      <c r="AQ60" s="100">
        <v>0.17647058823529413</v>
      </c>
      <c r="AR60" s="100">
        <v>0.41379310344827586</v>
      </c>
      <c r="AS60" s="98">
        <v>280.1120448179272</v>
      </c>
      <c r="AT60" s="98">
        <v>197.7261492832427</v>
      </c>
      <c r="AU60" s="98" t="s">
        <v>726</v>
      </c>
      <c r="AV60" s="98">
        <v>214.2033283901796</v>
      </c>
      <c r="AW60" s="98">
        <v>741.4730598121602</v>
      </c>
      <c r="AX60" s="98">
        <v>626.132806063602</v>
      </c>
      <c r="AY60" s="98">
        <v>1202.8340748063931</v>
      </c>
      <c r="AZ60" s="98">
        <v>411.9294776734223</v>
      </c>
      <c r="BA60" s="100" t="s">
        <v>726</v>
      </c>
      <c r="BB60" s="100" t="s">
        <v>726</v>
      </c>
      <c r="BC60" s="100" t="s">
        <v>726</v>
      </c>
      <c r="BD60" s="158">
        <v>0.44277378079999996</v>
      </c>
      <c r="BE60" s="158">
        <v>0.7228499603</v>
      </c>
      <c r="BF60" s="162" t="s">
        <v>726</v>
      </c>
      <c r="BG60" s="162" t="s">
        <v>726</v>
      </c>
      <c r="BH60" s="162" t="s">
        <v>726</v>
      </c>
      <c r="BI60" s="162">
        <v>650</v>
      </c>
      <c r="BJ60" s="162">
        <v>228</v>
      </c>
      <c r="BK60" s="97"/>
      <c r="BL60" s="97"/>
      <c r="BM60" s="97"/>
      <c r="BN60" s="97"/>
    </row>
    <row r="61" spans="1:66" ht="12.75">
      <c r="A61" s="79" t="s">
        <v>705</v>
      </c>
      <c r="B61" s="79" t="s">
        <v>396</v>
      </c>
      <c r="C61" s="79" t="s">
        <v>580</v>
      </c>
      <c r="D61" s="99">
        <v>4649</v>
      </c>
      <c r="E61" s="99">
        <v>503</v>
      </c>
      <c r="F61" s="99" t="s">
        <v>433</v>
      </c>
      <c r="G61" s="99">
        <v>9</v>
      </c>
      <c r="H61" s="99">
        <v>7</v>
      </c>
      <c r="I61" s="99">
        <v>54</v>
      </c>
      <c r="J61" s="99">
        <v>297</v>
      </c>
      <c r="K61" s="99">
        <v>294</v>
      </c>
      <c r="L61" s="99">
        <v>879</v>
      </c>
      <c r="M61" s="99">
        <v>142</v>
      </c>
      <c r="N61" s="99">
        <v>61</v>
      </c>
      <c r="O61" s="99">
        <v>59</v>
      </c>
      <c r="P61" s="159">
        <v>59</v>
      </c>
      <c r="Q61" s="99" t="s">
        <v>726</v>
      </c>
      <c r="R61" s="99">
        <v>17</v>
      </c>
      <c r="S61" s="99">
        <v>17</v>
      </c>
      <c r="T61" s="99">
        <v>7</v>
      </c>
      <c r="U61" s="99" t="s">
        <v>726</v>
      </c>
      <c r="V61" s="99">
        <v>8</v>
      </c>
      <c r="W61" s="99">
        <v>21</v>
      </c>
      <c r="X61" s="99">
        <v>19</v>
      </c>
      <c r="Y61" s="99">
        <v>43</v>
      </c>
      <c r="Z61" s="99">
        <v>12</v>
      </c>
      <c r="AA61" s="99" t="s">
        <v>726</v>
      </c>
      <c r="AB61" s="99" t="s">
        <v>726</v>
      </c>
      <c r="AC61" s="99" t="s">
        <v>726</v>
      </c>
      <c r="AD61" s="98" t="s">
        <v>411</v>
      </c>
      <c r="AE61" s="100">
        <v>0.10819531081953108</v>
      </c>
      <c r="AF61" s="100">
        <v>0.16</v>
      </c>
      <c r="AG61" s="98">
        <v>193.59001935900193</v>
      </c>
      <c r="AH61" s="98">
        <v>150.5700150570015</v>
      </c>
      <c r="AI61" s="100">
        <v>0.012</v>
      </c>
      <c r="AJ61" s="100">
        <v>0.675</v>
      </c>
      <c r="AK61" s="100">
        <v>0.686916</v>
      </c>
      <c r="AL61" s="100">
        <v>0.772408</v>
      </c>
      <c r="AM61" s="100">
        <v>0.449367</v>
      </c>
      <c r="AN61" s="100">
        <v>0.508333</v>
      </c>
      <c r="AO61" s="98">
        <v>1269.0901269090127</v>
      </c>
      <c r="AP61" s="158">
        <v>0.8302305603000001</v>
      </c>
      <c r="AQ61" s="100" t="s">
        <v>726</v>
      </c>
      <c r="AR61" s="100" t="s">
        <v>726</v>
      </c>
      <c r="AS61" s="98">
        <v>365.67003656700365</v>
      </c>
      <c r="AT61" s="98">
        <v>150.5700150570015</v>
      </c>
      <c r="AU61" s="98" t="s">
        <v>726</v>
      </c>
      <c r="AV61" s="98">
        <v>172.08001720800172</v>
      </c>
      <c r="AW61" s="98">
        <v>451.71004517100454</v>
      </c>
      <c r="AX61" s="98">
        <v>408.69004086900406</v>
      </c>
      <c r="AY61" s="98">
        <v>924.9300924930093</v>
      </c>
      <c r="AZ61" s="98">
        <v>258.1200258120026</v>
      </c>
      <c r="BA61" s="100" t="s">
        <v>726</v>
      </c>
      <c r="BB61" s="100" t="s">
        <v>726</v>
      </c>
      <c r="BC61" s="100" t="s">
        <v>726</v>
      </c>
      <c r="BD61" s="158">
        <v>0.632009964</v>
      </c>
      <c r="BE61" s="158">
        <v>1.07093689</v>
      </c>
      <c r="BF61" s="162">
        <v>440</v>
      </c>
      <c r="BG61" s="162">
        <v>428</v>
      </c>
      <c r="BH61" s="162">
        <v>1138</v>
      </c>
      <c r="BI61" s="162">
        <v>316</v>
      </c>
      <c r="BJ61" s="162">
        <v>120</v>
      </c>
      <c r="BK61" s="97"/>
      <c r="BL61" s="97"/>
      <c r="BM61" s="97"/>
      <c r="BN61" s="97"/>
    </row>
    <row r="62" spans="1:66" ht="12.75">
      <c r="A62" s="79" t="s">
        <v>659</v>
      </c>
      <c r="B62" s="79" t="s">
        <v>349</v>
      </c>
      <c r="C62" s="79" t="s">
        <v>580</v>
      </c>
      <c r="D62" s="99">
        <v>8322</v>
      </c>
      <c r="E62" s="99">
        <v>1348</v>
      </c>
      <c r="F62" s="99" t="s">
        <v>432</v>
      </c>
      <c r="G62" s="99">
        <v>25</v>
      </c>
      <c r="H62" s="99">
        <v>13</v>
      </c>
      <c r="I62" s="99">
        <v>137</v>
      </c>
      <c r="J62" s="99">
        <v>659</v>
      </c>
      <c r="K62" s="99">
        <v>306</v>
      </c>
      <c r="L62" s="99">
        <v>1508</v>
      </c>
      <c r="M62" s="99">
        <v>465</v>
      </c>
      <c r="N62" s="99">
        <v>209</v>
      </c>
      <c r="O62" s="99">
        <v>133</v>
      </c>
      <c r="P62" s="159">
        <v>133</v>
      </c>
      <c r="Q62" s="99">
        <v>21</v>
      </c>
      <c r="R62" s="99">
        <v>42</v>
      </c>
      <c r="S62" s="99">
        <v>40</v>
      </c>
      <c r="T62" s="99">
        <v>16</v>
      </c>
      <c r="U62" s="99" t="s">
        <v>726</v>
      </c>
      <c r="V62" s="99">
        <v>29</v>
      </c>
      <c r="W62" s="99">
        <v>44</v>
      </c>
      <c r="X62" s="99">
        <v>25</v>
      </c>
      <c r="Y62" s="99">
        <v>67</v>
      </c>
      <c r="Z62" s="99">
        <v>38</v>
      </c>
      <c r="AA62" s="99" t="s">
        <v>726</v>
      </c>
      <c r="AB62" s="99" t="s">
        <v>726</v>
      </c>
      <c r="AC62" s="99" t="s">
        <v>726</v>
      </c>
      <c r="AD62" s="98" t="s">
        <v>411</v>
      </c>
      <c r="AE62" s="100">
        <v>0.1619802931987503</v>
      </c>
      <c r="AF62" s="100">
        <v>0.1</v>
      </c>
      <c r="AG62" s="98">
        <v>300.4085556356645</v>
      </c>
      <c r="AH62" s="98">
        <v>156.21244893054555</v>
      </c>
      <c r="AI62" s="100">
        <v>0.016</v>
      </c>
      <c r="AJ62" s="100">
        <v>0.646712</v>
      </c>
      <c r="AK62" s="100">
        <v>0.770781</v>
      </c>
      <c r="AL62" s="100">
        <v>0.769388</v>
      </c>
      <c r="AM62" s="100">
        <v>0.530217</v>
      </c>
      <c r="AN62" s="100">
        <v>0.597143</v>
      </c>
      <c r="AO62" s="98">
        <v>1598.1735159817351</v>
      </c>
      <c r="AP62" s="158">
        <v>0.8445748901000001</v>
      </c>
      <c r="AQ62" s="100">
        <v>0.15789473684210525</v>
      </c>
      <c r="AR62" s="100">
        <v>0.5</v>
      </c>
      <c r="AS62" s="98">
        <v>480.6536890170632</v>
      </c>
      <c r="AT62" s="98">
        <v>192.2614756068253</v>
      </c>
      <c r="AU62" s="98" t="s">
        <v>726</v>
      </c>
      <c r="AV62" s="98">
        <v>348.4739245373708</v>
      </c>
      <c r="AW62" s="98">
        <v>528.7190579187695</v>
      </c>
      <c r="AX62" s="98">
        <v>300.4085556356645</v>
      </c>
      <c r="AY62" s="98">
        <v>805.0949291035809</v>
      </c>
      <c r="AZ62" s="98">
        <v>456.62100456621005</v>
      </c>
      <c r="BA62" s="100" t="s">
        <v>726</v>
      </c>
      <c r="BB62" s="100" t="s">
        <v>726</v>
      </c>
      <c r="BC62" s="100" t="s">
        <v>726</v>
      </c>
      <c r="BD62" s="158">
        <v>0.7071448517000001</v>
      </c>
      <c r="BE62" s="158">
        <v>1.000916672</v>
      </c>
      <c r="BF62" s="162">
        <v>1019</v>
      </c>
      <c r="BG62" s="162">
        <v>397</v>
      </c>
      <c r="BH62" s="162">
        <v>1960</v>
      </c>
      <c r="BI62" s="162">
        <v>877</v>
      </c>
      <c r="BJ62" s="162">
        <v>350</v>
      </c>
      <c r="BK62" s="97"/>
      <c r="BL62" s="97"/>
      <c r="BM62" s="97"/>
      <c r="BN62" s="97"/>
    </row>
    <row r="63" spans="1:66" ht="12.75">
      <c r="A63" s="79" t="s">
        <v>715</v>
      </c>
      <c r="B63" s="79" t="s">
        <v>406</v>
      </c>
      <c r="C63" s="79" t="s">
        <v>580</v>
      </c>
      <c r="D63" s="99">
        <v>3410</v>
      </c>
      <c r="E63" s="99">
        <v>246</v>
      </c>
      <c r="F63" s="99" t="s">
        <v>433</v>
      </c>
      <c r="G63" s="99">
        <v>6</v>
      </c>
      <c r="H63" s="99">
        <v>44</v>
      </c>
      <c r="I63" s="99">
        <v>33</v>
      </c>
      <c r="J63" s="99">
        <v>83</v>
      </c>
      <c r="K63" s="99" t="s">
        <v>726</v>
      </c>
      <c r="L63" s="99">
        <v>732</v>
      </c>
      <c r="M63" s="99">
        <v>37</v>
      </c>
      <c r="N63" s="99">
        <v>9</v>
      </c>
      <c r="O63" s="99">
        <v>25</v>
      </c>
      <c r="P63" s="159">
        <v>25</v>
      </c>
      <c r="Q63" s="99">
        <v>6</v>
      </c>
      <c r="R63" s="99">
        <v>17</v>
      </c>
      <c r="S63" s="99">
        <v>6</v>
      </c>
      <c r="T63" s="99" t="s">
        <v>726</v>
      </c>
      <c r="U63" s="99" t="s">
        <v>726</v>
      </c>
      <c r="V63" s="99" t="s">
        <v>726</v>
      </c>
      <c r="W63" s="99">
        <v>13</v>
      </c>
      <c r="X63" s="99" t="s">
        <v>726</v>
      </c>
      <c r="Y63" s="99">
        <v>20</v>
      </c>
      <c r="Z63" s="99" t="s">
        <v>726</v>
      </c>
      <c r="AA63" s="99" t="s">
        <v>726</v>
      </c>
      <c r="AB63" s="99" t="s">
        <v>726</v>
      </c>
      <c r="AC63" s="99" t="s">
        <v>726</v>
      </c>
      <c r="AD63" s="98" t="s">
        <v>411</v>
      </c>
      <c r="AE63" s="100">
        <v>0.07214076246334311</v>
      </c>
      <c r="AF63" s="100">
        <v>0.17</v>
      </c>
      <c r="AG63" s="98">
        <v>175.95307917888562</v>
      </c>
      <c r="AH63" s="98">
        <v>1290.3225806451612</v>
      </c>
      <c r="AI63" s="100">
        <v>0.01</v>
      </c>
      <c r="AJ63" s="100">
        <v>0.542484</v>
      </c>
      <c r="AK63" s="100" t="s">
        <v>726</v>
      </c>
      <c r="AL63" s="100">
        <v>0.744659</v>
      </c>
      <c r="AM63" s="100">
        <v>0.298387</v>
      </c>
      <c r="AN63" s="100">
        <v>0.243243</v>
      </c>
      <c r="AO63" s="98">
        <v>733.1378299120234</v>
      </c>
      <c r="AP63" s="158">
        <v>0.6009389114</v>
      </c>
      <c r="AQ63" s="100">
        <v>0.24</v>
      </c>
      <c r="AR63" s="100">
        <v>0.35294117647058826</v>
      </c>
      <c r="AS63" s="98">
        <v>175.95307917888562</v>
      </c>
      <c r="AT63" s="98" t="s">
        <v>726</v>
      </c>
      <c r="AU63" s="98" t="s">
        <v>726</v>
      </c>
      <c r="AV63" s="98" t="s">
        <v>726</v>
      </c>
      <c r="AW63" s="98">
        <v>381.2316715542522</v>
      </c>
      <c r="AX63" s="98" t="s">
        <v>726</v>
      </c>
      <c r="AY63" s="98">
        <v>586.5102639296188</v>
      </c>
      <c r="AZ63" s="98" t="s">
        <v>726</v>
      </c>
      <c r="BA63" s="100" t="s">
        <v>726</v>
      </c>
      <c r="BB63" s="100" t="s">
        <v>726</v>
      </c>
      <c r="BC63" s="100" t="s">
        <v>726</v>
      </c>
      <c r="BD63" s="158">
        <v>0.3888959885</v>
      </c>
      <c r="BE63" s="158">
        <v>0.8871043396</v>
      </c>
      <c r="BF63" s="162">
        <v>153</v>
      </c>
      <c r="BG63" s="162" t="s">
        <v>726</v>
      </c>
      <c r="BH63" s="162">
        <v>983</v>
      </c>
      <c r="BI63" s="162">
        <v>124</v>
      </c>
      <c r="BJ63" s="162">
        <v>37</v>
      </c>
      <c r="BK63" s="97"/>
      <c r="BL63" s="97"/>
      <c r="BM63" s="97"/>
      <c r="BN63" s="97"/>
    </row>
    <row r="64" spans="1:66" ht="12.75">
      <c r="A64" s="79" t="s">
        <v>667</v>
      </c>
      <c r="B64" s="79" t="s">
        <v>357</v>
      </c>
      <c r="C64" s="79" t="s">
        <v>580</v>
      </c>
      <c r="D64" s="99">
        <v>14614</v>
      </c>
      <c r="E64" s="99">
        <v>2035</v>
      </c>
      <c r="F64" s="99" t="s">
        <v>433</v>
      </c>
      <c r="G64" s="99">
        <v>55</v>
      </c>
      <c r="H64" s="99">
        <v>33</v>
      </c>
      <c r="I64" s="99">
        <v>195</v>
      </c>
      <c r="J64" s="99">
        <v>1117</v>
      </c>
      <c r="K64" s="99">
        <v>12</v>
      </c>
      <c r="L64" s="99">
        <v>3024</v>
      </c>
      <c r="M64" s="99">
        <v>761</v>
      </c>
      <c r="N64" s="99">
        <v>286</v>
      </c>
      <c r="O64" s="99">
        <v>169</v>
      </c>
      <c r="P64" s="159">
        <v>169</v>
      </c>
      <c r="Q64" s="99">
        <v>30</v>
      </c>
      <c r="R64" s="99">
        <v>67</v>
      </c>
      <c r="S64" s="99">
        <v>24</v>
      </c>
      <c r="T64" s="99">
        <v>41</v>
      </c>
      <c r="U64" s="99">
        <v>11</v>
      </c>
      <c r="V64" s="99">
        <v>18</v>
      </c>
      <c r="W64" s="99">
        <v>77</v>
      </c>
      <c r="X64" s="99">
        <v>45</v>
      </c>
      <c r="Y64" s="99">
        <v>91</v>
      </c>
      <c r="Z64" s="99">
        <v>83</v>
      </c>
      <c r="AA64" s="99" t="s">
        <v>726</v>
      </c>
      <c r="AB64" s="99" t="s">
        <v>726</v>
      </c>
      <c r="AC64" s="99" t="s">
        <v>726</v>
      </c>
      <c r="AD64" s="98" t="s">
        <v>411</v>
      </c>
      <c r="AE64" s="100">
        <v>0.1392500342137676</v>
      </c>
      <c r="AF64" s="100">
        <v>0.12</v>
      </c>
      <c r="AG64" s="98">
        <v>376.35144382099355</v>
      </c>
      <c r="AH64" s="98">
        <v>225.81086629259613</v>
      </c>
      <c r="AI64" s="100">
        <v>0.013000000000000001</v>
      </c>
      <c r="AJ64" s="100">
        <v>0.734868</v>
      </c>
      <c r="AK64" s="100">
        <v>0.631579</v>
      </c>
      <c r="AL64" s="100">
        <v>0.766734</v>
      </c>
      <c r="AM64" s="100">
        <v>0.569611</v>
      </c>
      <c r="AN64" s="100">
        <v>0.582485</v>
      </c>
      <c r="AO64" s="98">
        <v>1156.4253455590529</v>
      </c>
      <c r="AP64" s="158">
        <v>0.6724137878</v>
      </c>
      <c r="AQ64" s="100">
        <v>0.17751479289940827</v>
      </c>
      <c r="AR64" s="100">
        <v>0.44776119402985076</v>
      </c>
      <c r="AS64" s="98">
        <v>164.22608457643355</v>
      </c>
      <c r="AT64" s="98">
        <v>280.55289448474065</v>
      </c>
      <c r="AU64" s="98">
        <v>75.27028876419871</v>
      </c>
      <c r="AV64" s="98">
        <v>123.16956343232516</v>
      </c>
      <c r="AW64" s="98">
        <v>526.892021349391</v>
      </c>
      <c r="AX64" s="98">
        <v>307.9239085808129</v>
      </c>
      <c r="AY64" s="98">
        <v>622.6905706856439</v>
      </c>
      <c r="AZ64" s="98">
        <v>567.9485424934994</v>
      </c>
      <c r="BA64" s="101" t="s">
        <v>726</v>
      </c>
      <c r="BB64" s="101" t="s">
        <v>726</v>
      </c>
      <c r="BC64" s="101" t="s">
        <v>726</v>
      </c>
      <c r="BD64" s="158">
        <v>0.5748558044</v>
      </c>
      <c r="BE64" s="158">
        <v>0.7817839813</v>
      </c>
      <c r="BF64" s="162">
        <v>1520</v>
      </c>
      <c r="BG64" s="162">
        <v>19</v>
      </c>
      <c r="BH64" s="162">
        <v>3944</v>
      </c>
      <c r="BI64" s="162">
        <v>1336</v>
      </c>
      <c r="BJ64" s="162">
        <v>491</v>
      </c>
      <c r="BK64" s="97"/>
      <c r="BL64" s="97"/>
      <c r="BM64" s="97"/>
      <c r="BN64" s="97"/>
    </row>
    <row r="65" spans="1:66" ht="12.75">
      <c r="A65" s="79" t="s">
        <v>693</v>
      </c>
      <c r="B65" s="79" t="s">
        <v>384</v>
      </c>
      <c r="C65" s="79" t="s">
        <v>580</v>
      </c>
      <c r="D65" s="99">
        <v>12968</v>
      </c>
      <c r="E65" s="99">
        <v>1966</v>
      </c>
      <c r="F65" s="99" t="s">
        <v>434</v>
      </c>
      <c r="G65" s="99">
        <v>58</v>
      </c>
      <c r="H65" s="99">
        <v>31</v>
      </c>
      <c r="I65" s="99">
        <v>95</v>
      </c>
      <c r="J65" s="99">
        <v>1243</v>
      </c>
      <c r="K65" s="99">
        <v>1192</v>
      </c>
      <c r="L65" s="99">
        <v>2819</v>
      </c>
      <c r="M65" s="99">
        <v>896</v>
      </c>
      <c r="N65" s="99">
        <v>365</v>
      </c>
      <c r="O65" s="99">
        <v>161</v>
      </c>
      <c r="P65" s="159">
        <v>161</v>
      </c>
      <c r="Q65" s="99">
        <v>20</v>
      </c>
      <c r="R65" s="99">
        <v>61</v>
      </c>
      <c r="S65" s="99">
        <v>68</v>
      </c>
      <c r="T65" s="99">
        <v>16</v>
      </c>
      <c r="U65" s="99">
        <v>8</v>
      </c>
      <c r="V65" s="99">
        <v>12</v>
      </c>
      <c r="W65" s="99">
        <v>48</v>
      </c>
      <c r="X65" s="99">
        <v>30</v>
      </c>
      <c r="Y65" s="99">
        <v>120</v>
      </c>
      <c r="Z65" s="99">
        <v>60</v>
      </c>
      <c r="AA65" s="99" t="s">
        <v>726</v>
      </c>
      <c r="AB65" s="99" t="s">
        <v>726</v>
      </c>
      <c r="AC65" s="99" t="s">
        <v>726</v>
      </c>
      <c r="AD65" s="98" t="s">
        <v>411</v>
      </c>
      <c r="AE65" s="100">
        <v>0.15160394818013573</v>
      </c>
      <c r="AF65" s="100">
        <v>0.06</v>
      </c>
      <c r="AG65" s="98">
        <v>447.2547809993831</v>
      </c>
      <c r="AH65" s="98">
        <v>239.0499691548427</v>
      </c>
      <c r="AI65" s="100">
        <v>0.006999999999999999</v>
      </c>
      <c r="AJ65" s="100">
        <v>0.754248</v>
      </c>
      <c r="AK65" s="100">
        <v>0.756345</v>
      </c>
      <c r="AL65" s="100">
        <v>0.834765</v>
      </c>
      <c r="AM65" s="100">
        <v>0.607458</v>
      </c>
      <c r="AN65" s="100">
        <v>0.638112</v>
      </c>
      <c r="AO65" s="98">
        <v>1241.5175817396669</v>
      </c>
      <c r="AP65" s="158">
        <v>0.6682502747</v>
      </c>
      <c r="AQ65" s="100">
        <v>0.12422360248447205</v>
      </c>
      <c r="AR65" s="100">
        <v>0.32786885245901637</v>
      </c>
      <c r="AS65" s="98">
        <v>524.3676742751388</v>
      </c>
      <c r="AT65" s="98">
        <v>123.38062924120914</v>
      </c>
      <c r="AU65" s="98">
        <v>61.69031462060457</v>
      </c>
      <c r="AV65" s="98">
        <v>92.53547193090685</v>
      </c>
      <c r="AW65" s="98">
        <v>370.1418877236274</v>
      </c>
      <c r="AX65" s="98">
        <v>231.33867982726713</v>
      </c>
      <c r="AY65" s="98">
        <v>925.3547193090685</v>
      </c>
      <c r="AZ65" s="98">
        <v>462.67735965453426</v>
      </c>
      <c r="BA65" s="100" t="s">
        <v>726</v>
      </c>
      <c r="BB65" s="100" t="s">
        <v>726</v>
      </c>
      <c r="BC65" s="100" t="s">
        <v>726</v>
      </c>
      <c r="BD65" s="158">
        <v>0.5690134811</v>
      </c>
      <c r="BE65" s="158">
        <v>0.7798169708</v>
      </c>
      <c r="BF65" s="162">
        <v>1648</v>
      </c>
      <c r="BG65" s="162">
        <v>1576</v>
      </c>
      <c r="BH65" s="162">
        <v>3377</v>
      </c>
      <c r="BI65" s="162">
        <v>1475</v>
      </c>
      <c r="BJ65" s="162">
        <v>572</v>
      </c>
      <c r="BK65" s="97"/>
      <c r="BL65" s="97"/>
      <c r="BM65" s="97"/>
      <c r="BN65" s="97"/>
    </row>
    <row r="66" spans="1:66" ht="12.75">
      <c r="A66" s="79" t="s">
        <v>731</v>
      </c>
      <c r="B66" s="79" t="s">
        <v>310</v>
      </c>
      <c r="C66" s="79" t="s">
        <v>580</v>
      </c>
      <c r="D66" s="99">
        <v>11926</v>
      </c>
      <c r="E66" s="99">
        <v>2168</v>
      </c>
      <c r="F66" s="99" t="s">
        <v>432</v>
      </c>
      <c r="G66" s="99">
        <v>71</v>
      </c>
      <c r="H66" s="99">
        <v>38</v>
      </c>
      <c r="I66" s="99">
        <v>200</v>
      </c>
      <c r="J66" s="99">
        <v>1105</v>
      </c>
      <c r="K66" s="99">
        <v>12</v>
      </c>
      <c r="L66" s="99">
        <v>2360</v>
      </c>
      <c r="M66" s="99">
        <v>756</v>
      </c>
      <c r="N66" s="99">
        <v>306</v>
      </c>
      <c r="O66" s="99">
        <v>239</v>
      </c>
      <c r="P66" s="159">
        <v>239</v>
      </c>
      <c r="Q66" s="99">
        <v>25</v>
      </c>
      <c r="R66" s="99">
        <v>53</v>
      </c>
      <c r="S66" s="99">
        <v>43</v>
      </c>
      <c r="T66" s="99">
        <v>54</v>
      </c>
      <c r="U66" s="99">
        <v>11</v>
      </c>
      <c r="V66" s="99">
        <v>42</v>
      </c>
      <c r="W66" s="99">
        <v>87</v>
      </c>
      <c r="X66" s="99">
        <v>53</v>
      </c>
      <c r="Y66" s="99">
        <v>122</v>
      </c>
      <c r="Z66" s="99">
        <v>56</v>
      </c>
      <c r="AA66" s="99" t="s">
        <v>726</v>
      </c>
      <c r="AB66" s="99" t="s">
        <v>726</v>
      </c>
      <c r="AC66" s="99" t="s">
        <v>726</v>
      </c>
      <c r="AD66" s="98" t="s">
        <v>411</v>
      </c>
      <c r="AE66" s="100">
        <v>0.18178769075968473</v>
      </c>
      <c r="AF66" s="100">
        <v>0.1</v>
      </c>
      <c r="AG66" s="98">
        <v>595.3379171557941</v>
      </c>
      <c r="AH66" s="98">
        <v>318.63156129465034</v>
      </c>
      <c r="AI66" s="100">
        <v>0.017</v>
      </c>
      <c r="AJ66" s="100">
        <v>0.735196</v>
      </c>
      <c r="AK66" s="100">
        <v>0.666667</v>
      </c>
      <c r="AL66" s="100">
        <v>0.78877</v>
      </c>
      <c r="AM66" s="100">
        <v>0.562082</v>
      </c>
      <c r="AN66" s="100">
        <v>0.640167</v>
      </c>
      <c r="AO66" s="98">
        <v>2004.0248197216167</v>
      </c>
      <c r="AP66" s="158">
        <v>1.013027878</v>
      </c>
      <c r="AQ66" s="100">
        <v>0.10460251046025104</v>
      </c>
      <c r="AR66" s="100">
        <v>0.4716981132075472</v>
      </c>
      <c r="AS66" s="98">
        <v>360.55676672815696</v>
      </c>
      <c r="AT66" s="98">
        <v>452.79221868187153</v>
      </c>
      <c r="AU66" s="98">
        <v>92.23545195371457</v>
      </c>
      <c r="AV66" s="98">
        <v>352.1717256414556</v>
      </c>
      <c r="AW66" s="98">
        <v>729.4985745430153</v>
      </c>
      <c r="AX66" s="98">
        <v>444.4071775951702</v>
      </c>
      <c r="AY66" s="98">
        <v>1022.9750125775616</v>
      </c>
      <c r="AZ66" s="98">
        <v>469.5623008552742</v>
      </c>
      <c r="BA66" s="100" t="s">
        <v>726</v>
      </c>
      <c r="BB66" s="100" t="s">
        <v>726</v>
      </c>
      <c r="BC66" s="100" t="s">
        <v>726</v>
      </c>
      <c r="BD66" s="158">
        <v>0.8886572266</v>
      </c>
      <c r="BE66" s="158">
        <v>1.14993248</v>
      </c>
      <c r="BF66" s="162">
        <v>1503</v>
      </c>
      <c r="BG66" s="162">
        <v>18</v>
      </c>
      <c r="BH66" s="162">
        <v>2992</v>
      </c>
      <c r="BI66" s="162">
        <v>1345</v>
      </c>
      <c r="BJ66" s="162">
        <v>478</v>
      </c>
      <c r="BK66" s="97"/>
      <c r="BL66" s="97"/>
      <c r="BM66" s="97"/>
      <c r="BN66" s="97"/>
    </row>
    <row r="67" spans="1:66" ht="12.75">
      <c r="A67" s="79" t="s">
        <v>683</v>
      </c>
      <c r="B67" s="79" t="s">
        <v>374</v>
      </c>
      <c r="C67" s="79" t="s">
        <v>580</v>
      </c>
      <c r="D67" s="99">
        <v>8434</v>
      </c>
      <c r="E67" s="99">
        <v>1175</v>
      </c>
      <c r="F67" s="99" t="s">
        <v>432</v>
      </c>
      <c r="G67" s="99">
        <v>41</v>
      </c>
      <c r="H67" s="99">
        <v>22</v>
      </c>
      <c r="I67" s="99">
        <v>110</v>
      </c>
      <c r="J67" s="99">
        <v>609</v>
      </c>
      <c r="K67" s="99" t="s">
        <v>726</v>
      </c>
      <c r="L67" s="99">
        <v>1664</v>
      </c>
      <c r="M67" s="99">
        <v>398</v>
      </c>
      <c r="N67" s="99">
        <v>164</v>
      </c>
      <c r="O67" s="99">
        <v>128</v>
      </c>
      <c r="P67" s="159">
        <v>128</v>
      </c>
      <c r="Q67" s="99">
        <v>7</v>
      </c>
      <c r="R67" s="99">
        <v>23</v>
      </c>
      <c r="S67" s="99">
        <v>29</v>
      </c>
      <c r="T67" s="99">
        <v>19</v>
      </c>
      <c r="U67" s="99" t="s">
        <v>726</v>
      </c>
      <c r="V67" s="99">
        <v>22</v>
      </c>
      <c r="W67" s="99">
        <v>28</v>
      </c>
      <c r="X67" s="99">
        <v>35</v>
      </c>
      <c r="Y67" s="99">
        <v>79</v>
      </c>
      <c r="Z67" s="99">
        <v>49</v>
      </c>
      <c r="AA67" s="99" t="s">
        <v>726</v>
      </c>
      <c r="AB67" s="99" t="s">
        <v>726</v>
      </c>
      <c r="AC67" s="99" t="s">
        <v>726</v>
      </c>
      <c r="AD67" s="98" t="s">
        <v>411</v>
      </c>
      <c r="AE67" s="100">
        <v>0.13931705003557032</v>
      </c>
      <c r="AF67" s="100">
        <v>0.1</v>
      </c>
      <c r="AG67" s="98">
        <v>486.12757884752193</v>
      </c>
      <c r="AH67" s="98">
        <v>260.8489447474508</v>
      </c>
      <c r="AI67" s="100">
        <v>0.013000000000000001</v>
      </c>
      <c r="AJ67" s="100">
        <v>0.688914</v>
      </c>
      <c r="AK67" s="100" t="s">
        <v>726</v>
      </c>
      <c r="AL67" s="100">
        <v>0.759124</v>
      </c>
      <c r="AM67" s="100">
        <v>0.495025</v>
      </c>
      <c r="AN67" s="100">
        <v>0.510903</v>
      </c>
      <c r="AO67" s="98">
        <v>1517.6665876215318</v>
      </c>
      <c r="AP67" s="158">
        <v>0.8834695435000001</v>
      </c>
      <c r="AQ67" s="100">
        <v>0.0546875</v>
      </c>
      <c r="AR67" s="100">
        <v>0.30434782608695654</v>
      </c>
      <c r="AS67" s="98">
        <v>343.8463362580033</v>
      </c>
      <c r="AT67" s="98">
        <v>225.27863410007114</v>
      </c>
      <c r="AU67" s="98" t="s">
        <v>726</v>
      </c>
      <c r="AV67" s="98">
        <v>260.8489447474508</v>
      </c>
      <c r="AW67" s="98">
        <v>331.98956604221013</v>
      </c>
      <c r="AX67" s="98">
        <v>414.98695755276265</v>
      </c>
      <c r="AY67" s="98">
        <v>936.6848470476642</v>
      </c>
      <c r="AZ67" s="98">
        <v>580.9817405738677</v>
      </c>
      <c r="BA67" s="100" t="s">
        <v>726</v>
      </c>
      <c r="BB67" s="100" t="s">
        <v>726</v>
      </c>
      <c r="BC67" s="100" t="s">
        <v>726</v>
      </c>
      <c r="BD67" s="158">
        <v>0.7370574951000001</v>
      </c>
      <c r="BE67" s="158">
        <v>1.0504481509999999</v>
      </c>
      <c r="BF67" s="162">
        <v>884</v>
      </c>
      <c r="BG67" s="162" t="s">
        <v>726</v>
      </c>
      <c r="BH67" s="162">
        <v>2192</v>
      </c>
      <c r="BI67" s="162">
        <v>804</v>
      </c>
      <c r="BJ67" s="162">
        <v>321</v>
      </c>
      <c r="BK67" s="97"/>
      <c r="BL67" s="97"/>
      <c r="BM67" s="97"/>
      <c r="BN67" s="97"/>
    </row>
    <row r="68" spans="1:66" ht="12.75">
      <c r="A68" s="79" t="s">
        <v>602</v>
      </c>
      <c r="B68" s="79" t="s">
        <v>290</v>
      </c>
      <c r="C68" s="79" t="s">
        <v>580</v>
      </c>
      <c r="D68" s="99">
        <v>9923</v>
      </c>
      <c r="E68" s="99">
        <v>1963</v>
      </c>
      <c r="F68" s="99" t="s">
        <v>432</v>
      </c>
      <c r="G68" s="99">
        <v>43</v>
      </c>
      <c r="H68" s="99">
        <v>22</v>
      </c>
      <c r="I68" s="99">
        <v>199</v>
      </c>
      <c r="J68" s="99">
        <v>1048</v>
      </c>
      <c r="K68" s="99">
        <v>1042</v>
      </c>
      <c r="L68" s="99">
        <v>1857</v>
      </c>
      <c r="M68" s="99">
        <v>687</v>
      </c>
      <c r="N68" s="99">
        <v>270</v>
      </c>
      <c r="O68" s="99">
        <v>162</v>
      </c>
      <c r="P68" s="159">
        <v>162</v>
      </c>
      <c r="Q68" s="99">
        <v>15</v>
      </c>
      <c r="R68" s="99">
        <v>37</v>
      </c>
      <c r="S68" s="99">
        <v>33</v>
      </c>
      <c r="T68" s="99">
        <v>34</v>
      </c>
      <c r="U68" s="99">
        <v>12</v>
      </c>
      <c r="V68" s="99">
        <v>12</v>
      </c>
      <c r="W68" s="99">
        <v>57</v>
      </c>
      <c r="X68" s="99">
        <v>58</v>
      </c>
      <c r="Y68" s="99">
        <v>125</v>
      </c>
      <c r="Z68" s="99">
        <v>41</v>
      </c>
      <c r="AA68" s="99" t="s">
        <v>726</v>
      </c>
      <c r="AB68" s="99" t="s">
        <v>726</v>
      </c>
      <c r="AC68" s="99" t="s">
        <v>726</v>
      </c>
      <c r="AD68" s="98" t="s">
        <v>411</v>
      </c>
      <c r="AE68" s="100">
        <v>0.19782323893983675</v>
      </c>
      <c r="AF68" s="100">
        <v>0.11</v>
      </c>
      <c r="AG68" s="98">
        <v>433.33669253250025</v>
      </c>
      <c r="AH68" s="98">
        <v>221.70714501662803</v>
      </c>
      <c r="AI68" s="100">
        <v>0.02</v>
      </c>
      <c r="AJ68" s="100">
        <v>0.78209</v>
      </c>
      <c r="AK68" s="100">
        <v>0.796028</v>
      </c>
      <c r="AL68" s="100">
        <v>0.746983</v>
      </c>
      <c r="AM68" s="100">
        <v>0.613941</v>
      </c>
      <c r="AN68" s="100">
        <v>0.650602</v>
      </c>
      <c r="AO68" s="98">
        <v>1632.5707951224429</v>
      </c>
      <c r="AP68" s="158">
        <v>0.7929299927</v>
      </c>
      <c r="AQ68" s="100">
        <v>0.09259259259259259</v>
      </c>
      <c r="AR68" s="100">
        <v>0.40540540540540543</v>
      </c>
      <c r="AS68" s="98">
        <v>332.56071752494205</v>
      </c>
      <c r="AT68" s="98">
        <v>342.63831502569786</v>
      </c>
      <c r="AU68" s="98">
        <v>120.93117000906983</v>
      </c>
      <c r="AV68" s="98">
        <v>120.93117000906983</v>
      </c>
      <c r="AW68" s="98">
        <v>574.4230575430818</v>
      </c>
      <c r="AX68" s="98">
        <v>584.5006550438376</v>
      </c>
      <c r="AY68" s="98">
        <v>1259.6996875944774</v>
      </c>
      <c r="AZ68" s="98">
        <v>413.1814975309886</v>
      </c>
      <c r="BA68" s="100" t="s">
        <v>726</v>
      </c>
      <c r="BB68" s="100" t="s">
        <v>726</v>
      </c>
      <c r="BC68" s="100" t="s">
        <v>726</v>
      </c>
      <c r="BD68" s="158">
        <v>0.6755271912</v>
      </c>
      <c r="BE68" s="158">
        <v>0.9248716736</v>
      </c>
      <c r="BF68" s="162">
        <v>1340</v>
      </c>
      <c r="BG68" s="162">
        <v>1309</v>
      </c>
      <c r="BH68" s="162">
        <v>2486</v>
      </c>
      <c r="BI68" s="162">
        <v>1119</v>
      </c>
      <c r="BJ68" s="162">
        <v>415</v>
      </c>
      <c r="BK68" s="97"/>
      <c r="BL68" s="97"/>
      <c r="BM68" s="97"/>
      <c r="BN68" s="97"/>
    </row>
    <row r="69" spans="1:66" ht="12.75">
      <c r="A69" s="79" t="s">
        <v>609</v>
      </c>
      <c r="B69" s="79" t="s">
        <v>297</v>
      </c>
      <c r="C69" s="79" t="s">
        <v>580</v>
      </c>
      <c r="D69" s="99">
        <v>12040</v>
      </c>
      <c r="E69" s="99">
        <v>1944</v>
      </c>
      <c r="F69" s="99" t="s">
        <v>432</v>
      </c>
      <c r="G69" s="99">
        <v>53</v>
      </c>
      <c r="H69" s="99">
        <v>31</v>
      </c>
      <c r="I69" s="99">
        <v>163</v>
      </c>
      <c r="J69" s="99">
        <v>911</v>
      </c>
      <c r="K69" s="99" t="s">
        <v>726</v>
      </c>
      <c r="L69" s="99">
        <v>2549</v>
      </c>
      <c r="M69" s="99">
        <v>595</v>
      </c>
      <c r="N69" s="99">
        <v>224</v>
      </c>
      <c r="O69" s="99">
        <v>233</v>
      </c>
      <c r="P69" s="159">
        <v>233</v>
      </c>
      <c r="Q69" s="99">
        <v>29</v>
      </c>
      <c r="R69" s="99">
        <v>48</v>
      </c>
      <c r="S69" s="99">
        <v>46</v>
      </c>
      <c r="T69" s="99">
        <v>36</v>
      </c>
      <c r="U69" s="99">
        <v>9</v>
      </c>
      <c r="V69" s="99">
        <v>34</v>
      </c>
      <c r="W69" s="99">
        <v>67</v>
      </c>
      <c r="X69" s="99">
        <v>69</v>
      </c>
      <c r="Y69" s="99">
        <v>112</v>
      </c>
      <c r="Z69" s="99">
        <v>37</v>
      </c>
      <c r="AA69" s="99" t="s">
        <v>726</v>
      </c>
      <c r="AB69" s="99" t="s">
        <v>726</v>
      </c>
      <c r="AC69" s="99" t="s">
        <v>726</v>
      </c>
      <c r="AD69" s="98" t="s">
        <v>411</v>
      </c>
      <c r="AE69" s="100">
        <v>0.16146179401993355</v>
      </c>
      <c r="AF69" s="100">
        <v>0.1</v>
      </c>
      <c r="AG69" s="98">
        <v>440.19933554817277</v>
      </c>
      <c r="AH69" s="98">
        <v>257.4750830564784</v>
      </c>
      <c r="AI69" s="100">
        <v>0.013999999999999999</v>
      </c>
      <c r="AJ69" s="100">
        <v>0.71395</v>
      </c>
      <c r="AK69" s="100" t="s">
        <v>726</v>
      </c>
      <c r="AL69" s="100">
        <v>0.775008</v>
      </c>
      <c r="AM69" s="100">
        <v>0.527482</v>
      </c>
      <c r="AN69" s="100">
        <v>0.538462</v>
      </c>
      <c r="AO69" s="98">
        <v>1935.2159468438538</v>
      </c>
      <c r="AP69" s="158">
        <v>1.073352737</v>
      </c>
      <c r="AQ69" s="100">
        <v>0.12446351931330472</v>
      </c>
      <c r="AR69" s="100">
        <v>0.6041666666666666</v>
      </c>
      <c r="AS69" s="98">
        <v>382.0598006644518</v>
      </c>
      <c r="AT69" s="98">
        <v>299.0033222591362</v>
      </c>
      <c r="AU69" s="98">
        <v>74.75083056478405</v>
      </c>
      <c r="AV69" s="98">
        <v>282.3920265780731</v>
      </c>
      <c r="AW69" s="98">
        <v>556.4784053156146</v>
      </c>
      <c r="AX69" s="98">
        <v>573.0897009966777</v>
      </c>
      <c r="AY69" s="98">
        <v>930.2325581395348</v>
      </c>
      <c r="AZ69" s="98">
        <v>307.30897009966776</v>
      </c>
      <c r="BA69" s="100" t="s">
        <v>726</v>
      </c>
      <c r="BB69" s="100" t="s">
        <v>726</v>
      </c>
      <c r="BC69" s="100" t="s">
        <v>726</v>
      </c>
      <c r="BD69" s="158">
        <v>0.9399463654</v>
      </c>
      <c r="BE69" s="158">
        <v>1.2203851319999999</v>
      </c>
      <c r="BF69" s="162">
        <v>1276</v>
      </c>
      <c r="BG69" s="162" t="s">
        <v>726</v>
      </c>
      <c r="BH69" s="162">
        <v>3289</v>
      </c>
      <c r="BI69" s="162">
        <v>1128</v>
      </c>
      <c r="BJ69" s="162">
        <v>416</v>
      </c>
      <c r="BK69" s="97"/>
      <c r="BL69" s="97"/>
      <c r="BM69" s="97"/>
      <c r="BN69" s="97"/>
    </row>
    <row r="70" spans="1:66" ht="12.75">
      <c r="A70" s="79" t="s">
        <v>714</v>
      </c>
      <c r="B70" s="79" t="s">
        <v>405</v>
      </c>
      <c r="C70" s="79" t="s">
        <v>580</v>
      </c>
      <c r="D70" s="99">
        <v>5775</v>
      </c>
      <c r="E70" s="99">
        <v>1097</v>
      </c>
      <c r="F70" s="99" t="s">
        <v>434</v>
      </c>
      <c r="G70" s="99">
        <v>18</v>
      </c>
      <c r="H70" s="99">
        <v>16</v>
      </c>
      <c r="I70" s="99">
        <v>152</v>
      </c>
      <c r="J70" s="99">
        <v>487</v>
      </c>
      <c r="K70" s="99">
        <v>427</v>
      </c>
      <c r="L70" s="99">
        <v>1112</v>
      </c>
      <c r="M70" s="99">
        <v>289</v>
      </c>
      <c r="N70" s="99">
        <v>118</v>
      </c>
      <c r="O70" s="99">
        <v>66</v>
      </c>
      <c r="P70" s="159">
        <v>66</v>
      </c>
      <c r="Q70" s="99" t="s">
        <v>726</v>
      </c>
      <c r="R70" s="99">
        <v>12</v>
      </c>
      <c r="S70" s="99">
        <v>31</v>
      </c>
      <c r="T70" s="99">
        <v>11</v>
      </c>
      <c r="U70" s="99" t="s">
        <v>726</v>
      </c>
      <c r="V70" s="99">
        <v>8</v>
      </c>
      <c r="W70" s="99">
        <v>26</v>
      </c>
      <c r="X70" s="99">
        <v>23</v>
      </c>
      <c r="Y70" s="99">
        <v>51</v>
      </c>
      <c r="Z70" s="99">
        <v>26</v>
      </c>
      <c r="AA70" s="99" t="s">
        <v>726</v>
      </c>
      <c r="AB70" s="99" t="s">
        <v>726</v>
      </c>
      <c r="AC70" s="99" t="s">
        <v>726</v>
      </c>
      <c r="AD70" s="98" t="s">
        <v>411</v>
      </c>
      <c r="AE70" s="100">
        <v>0.18995670995670996</v>
      </c>
      <c r="AF70" s="100">
        <v>0.07</v>
      </c>
      <c r="AG70" s="98">
        <v>311.68831168831167</v>
      </c>
      <c r="AH70" s="98">
        <v>277.05627705627705</v>
      </c>
      <c r="AI70" s="100">
        <v>0.026000000000000002</v>
      </c>
      <c r="AJ70" s="100">
        <v>0.691761</v>
      </c>
      <c r="AK70" s="100">
        <v>0.636364</v>
      </c>
      <c r="AL70" s="100">
        <v>0.721141</v>
      </c>
      <c r="AM70" s="100">
        <v>0.470684</v>
      </c>
      <c r="AN70" s="100">
        <v>0.508621</v>
      </c>
      <c r="AO70" s="98">
        <v>1142.857142857143</v>
      </c>
      <c r="AP70" s="158">
        <v>0.582296524</v>
      </c>
      <c r="AQ70" s="100" t="s">
        <v>726</v>
      </c>
      <c r="AR70" s="100" t="s">
        <v>726</v>
      </c>
      <c r="AS70" s="98">
        <v>536.7965367965368</v>
      </c>
      <c r="AT70" s="98">
        <v>190.47619047619048</v>
      </c>
      <c r="AU70" s="98" t="s">
        <v>726</v>
      </c>
      <c r="AV70" s="98">
        <v>138.52813852813853</v>
      </c>
      <c r="AW70" s="98">
        <v>450.2164502164502</v>
      </c>
      <c r="AX70" s="98">
        <v>398.26839826839824</v>
      </c>
      <c r="AY70" s="98">
        <v>883.1168831168832</v>
      </c>
      <c r="AZ70" s="98">
        <v>450.2164502164502</v>
      </c>
      <c r="BA70" s="100" t="s">
        <v>726</v>
      </c>
      <c r="BB70" s="100" t="s">
        <v>726</v>
      </c>
      <c r="BC70" s="100" t="s">
        <v>726</v>
      </c>
      <c r="BD70" s="158">
        <v>0.45034809109999996</v>
      </c>
      <c r="BE70" s="158">
        <v>0.7408239745999999</v>
      </c>
      <c r="BF70" s="162">
        <v>704</v>
      </c>
      <c r="BG70" s="162">
        <v>671</v>
      </c>
      <c r="BH70" s="162">
        <v>1542</v>
      </c>
      <c r="BI70" s="162">
        <v>614</v>
      </c>
      <c r="BJ70" s="162">
        <v>232</v>
      </c>
      <c r="BK70" s="97"/>
      <c r="BL70" s="97"/>
      <c r="BM70" s="97"/>
      <c r="BN70" s="97"/>
    </row>
    <row r="71" spans="1:66" ht="12.75">
      <c r="A71" s="79" t="s">
        <v>606</v>
      </c>
      <c r="B71" s="79" t="s">
        <v>294</v>
      </c>
      <c r="C71" s="79" t="s">
        <v>580</v>
      </c>
      <c r="D71" s="99">
        <v>11158</v>
      </c>
      <c r="E71" s="99">
        <v>1443</v>
      </c>
      <c r="F71" s="99" t="s">
        <v>432</v>
      </c>
      <c r="G71" s="99">
        <v>53</v>
      </c>
      <c r="H71" s="99">
        <v>15</v>
      </c>
      <c r="I71" s="99">
        <v>179</v>
      </c>
      <c r="J71" s="99">
        <v>806</v>
      </c>
      <c r="K71" s="99">
        <v>7</v>
      </c>
      <c r="L71" s="99">
        <v>2367</v>
      </c>
      <c r="M71" s="99">
        <v>512</v>
      </c>
      <c r="N71" s="99">
        <v>218</v>
      </c>
      <c r="O71" s="99">
        <v>183</v>
      </c>
      <c r="P71" s="159">
        <v>183</v>
      </c>
      <c r="Q71" s="99">
        <v>18</v>
      </c>
      <c r="R71" s="99">
        <v>34</v>
      </c>
      <c r="S71" s="99">
        <v>45</v>
      </c>
      <c r="T71" s="99">
        <v>21</v>
      </c>
      <c r="U71" s="99">
        <v>7</v>
      </c>
      <c r="V71" s="99">
        <v>31</v>
      </c>
      <c r="W71" s="99">
        <v>44</v>
      </c>
      <c r="X71" s="99">
        <v>33</v>
      </c>
      <c r="Y71" s="99">
        <v>70</v>
      </c>
      <c r="Z71" s="99">
        <v>39</v>
      </c>
      <c r="AA71" s="99" t="s">
        <v>726</v>
      </c>
      <c r="AB71" s="99" t="s">
        <v>726</v>
      </c>
      <c r="AC71" s="99" t="s">
        <v>726</v>
      </c>
      <c r="AD71" s="98" t="s">
        <v>411</v>
      </c>
      <c r="AE71" s="100">
        <v>0.12932425165800324</v>
      </c>
      <c r="AF71" s="100">
        <v>0.09</v>
      </c>
      <c r="AG71" s="98">
        <v>474.99551891019894</v>
      </c>
      <c r="AH71" s="98">
        <v>134.4326940311884</v>
      </c>
      <c r="AI71" s="100">
        <v>0.016</v>
      </c>
      <c r="AJ71" s="100">
        <v>0.709507</v>
      </c>
      <c r="AK71" s="100">
        <v>0.4375</v>
      </c>
      <c r="AL71" s="100">
        <v>0.795096</v>
      </c>
      <c r="AM71" s="100">
        <v>0.552916</v>
      </c>
      <c r="AN71" s="100">
        <v>0.614085</v>
      </c>
      <c r="AO71" s="98">
        <v>1640.0788671804983</v>
      </c>
      <c r="AP71" s="158">
        <v>0.9679833220999999</v>
      </c>
      <c r="AQ71" s="100">
        <v>0.09836065573770492</v>
      </c>
      <c r="AR71" s="100">
        <v>0.5294117647058824</v>
      </c>
      <c r="AS71" s="98">
        <v>403.29808209356514</v>
      </c>
      <c r="AT71" s="98">
        <v>188.20577164366375</v>
      </c>
      <c r="AU71" s="98">
        <v>62.73525721455458</v>
      </c>
      <c r="AV71" s="98">
        <v>277.827567664456</v>
      </c>
      <c r="AW71" s="98">
        <v>394.3359024914859</v>
      </c>
      <c r="AX71" s="98">
        <v>295.7519268686144</v>
      </c>
      <c r="AY71" s="98">
        <v>627.3525721455458</v>
      </c>
      <c r="AZ71" s="98">
        <v>349.5250044810898</v>
      </c>
      <c r="BA71" s="100" t="s">
        <v>726</v>
      </c>
      <c r="BB71" s="100" t="s">
        <v>726</v>
      </c>
      <c r="BC71" s="100" t="s">
        <v>726</v>
      </c>
      <c r="BD71" s="158">
        <v>0.8328125</v>
      </c>
      <c r="BE71" s="158">
        <v>1.118842545</v>
      </c>
      <c r="BF71" s="162">
        <v>1136</v>
      </c>
      <c r="BG71" s="162">
        <v>16</v>
      </c>
      <c r="BH71" s="162">
        <v>2977</v>
      </c>
      <c r="BI71" s="162">
        <v>926</v>
      </c>
      <c r="BJ71" s="162">
        <v>355</v>
      </c>
      <c r="BK71" s="97"/>
      <c r="BL71" s="97"/>
      <c r="BM71" s="97"/>
      <c r="BN71" s="97"/>
    </row>
    <row r="72" spans="1:66" ht="12.75">
      <c r="A72" s="79" t="s">
        <v>619</v>
      </c>
      <c r="B72" s="79" t="s">
        <v>307</v>
      </c>
      <c r="C72" s="79" t="s">
        <v>580</v>
      </c>
      <c r="D72" s="99">
        <v>17626</v>
      </c>
      <c r="E72" s="99">
        <v>2087</v>
      </c>
      <c r="F72" s="99" t="s">
        <v>434</v>
      </c>
      <c r="G72" s="99">
        <v>58</v>
      </c>
      <c r="H72" s="99">
        <v>33</v>
      </c>
      <c r="I72" s="99">
        <v>234</v>
      </c>
      <c r="J72" s="99">
        <v>984</v>
      </c>
      <c r="K72" s="99">
        <v>7</v>
      </c>
      <c r="L72" s="99">
        <v>3820</v>
      </c>
      <c r="M72" s="99">
        <v>560</v>
      </c>
      <c r="N72" s="99">
        <v>240</v>
      </c>
      <c r="O72" s="99">
        <v>236</v>
      </c>
      <c r="P72" s="159">
        <v>236</v>
      </c>
      <c r="Q72" s="99">
        <v>25</v>
      </c>
      <c r="R72" s="99">
        <v>50</v>
      </c>
      <c r="S72" s="99">
        <v>56</v>
      </c>
      <c r="T72" s="99">
        <v>31</v>
      </c>
      <c r="U72" s="99">
        <v>7</v>
      </c>
      <c r="V72" s="99">
        <v>43</v>
      </c>
      <c r="W72" s="99">
        <v>66</v>
      </c>
      <c r="X72" s="99">
        <v>76</v>
      </c>
      <c r="Y72" s="99">
        <v>124</v>
      </c>
      <c r="Z72" s="99">
        <v>56</v>
      </c>
      <c r="AA72" s="99" t="s">
        <v>726</v>
      </c>
      <c r="AB72" s="99" t="s">
        <v>726</v>
      </c>
      <c r="AC72" s="99" t="s">
        <v>726</v>
      </c>
      <c r="AD72" s="98" t="s">
        <v>411</v>
      </c>
      <c r="AE72" s="100">
        <v>0.11840462952456599</v>
      </c>
      <c r="AF72" s="100">
        <v>0.09</v>
      </c>
      <c r="AG72" s="98">
        <v>329.0593441506865</v>
      </c>
      <c r="AH72" s="98">
        <v>187.2234199478044</v>
      </c>
      <c r="AI72" s="100">
        <v>0.013000000000000001</v>
      </c>
      <c r="AJ72" s="100">
        <v>0.654691</v>
      </c>
      <c r="AK72" s="100">
        <v>0.538462</v>
      </c>
      <c r="AL72" s="100">
        <v>0.766453</v>
      </c>
      <c r="AM72" s="100">
        <v>0.50405</v>
      </c>
      <c r="AN72" s="100">
        <v>0.545455</v>
      </c>
      <c r="AO72" s="98">
        <v>1338.931124475207</v>
      </c>
      <c r="AP72" s="158">
        <v>0.826463089</v>
      </c>
      <c r="AQ72" s="100">
        <v>0.1059322033898305</v>
      </c>
      <c r="AR72" s="100">
        <v>0.5</v>
      </c>
      <c r="AS72" s="98">
        <v>317.7124702144559</v>
      </c>
      <c r="AT72" s="98">
        <v>175.87654601157382</v>
      </c>
      <c r="AU72" s="98">
        <v>39.714058776806986</v>
      </c>
      <c r="AV72" s="98">
        <v>243.95778962895722</v>
      </c>
      <c r="AW72" s="98">
        <v>374.4468398956088</v>
      </c>
      <c r="AX72" s="98">
        <v>431.1812095767616</v>
      </c>
      <c r="AY72" s="98">
        <v>703.5061840462953</v>
      </c>
      <c r="AZ72" s="98">
        <v>317.7124702144559</v>
      </c>
      <c r="BA72" s="100" t="s">
        <v>726</v>
      </c>
      <c r="BB72" s="100" t="s">
        <v>726</v>
      </c>
      <c r="BC72" s="100" t="s">
        <v>726</v>
      </c>
      <c r="BD72" s="158">
        <v>0.7243756866</v>
      </c>
      <c r="BE72" s="158">
        <v>0.9389074707</v>
      </c>
      <c r="BF72" s="162">
        <v>1503</v>
      </c>
      <c r="BG72" s="162">
        <v>13</v>
      </c>
      <c r="BH72" s="162">
        <v>4984</v>
      </c>
      <c r="BI72" s="162">
        <v>1111</v>
      </c>
      <c r="BJ72" s="162">
        <v>440</v>
      </c>
      <c r="BK72" s="97"/>
      <c r="BL72" s="97"/>
      <c r="BM72" s="97"/>
      <c r="BN72" s="97"/>
    </row>
    <row r="73" spans="1:66" ht="12.75">
      <c r="A73" s="79" t="s">
        <v>706</v>
      </c>
      <c r="B73" s="79" t="s">
        <v>397</v>
      </c>
      <c r="C73" s="79" t="s">
        <v>580</v>
      </c>
      <c r="D73" s="99">
        <v>4620</v>
      </c>
      <c r="E73" s="99">
        <v>320</v>
      </c>
      <c r="F73" s="99" t="s">
        <v>432</v>
      </c>
      <c r="G73" s="99">
        <v>16</v>
      </c>
      <c r="H73" s="99" t="s">
        <v>726</v>
      </c>
      <c r="I73" s="99">
        <v>41</v>
      </c>
      <c r="J73" s="99">
        <v>255</v>
      </c>
      <c r="K73" s="99" t="s">
        <v>726</v>
      </c>
      <c r="L73" s="99">
        <v>998</v>
      </c>
      <c r="M73" s="99">
        <v>162</v>
      </c>
      <c r="N73" s="99">
        <v>77</v>
      </c>
      <c r="O73" s="99">
        <v>35</v>
      </c>
      <c r="P73" s="159">
        <v>35</v>
      </c>
      <c r="Q73" s="99" t="s">
        <v>726</v>
      </c>
      <c r="R73" s="99">
        <v>9</v>
      </c>
      <c r="S73" s="99">
        <v>6</v>
      </c>
      <c r="T73" s="99" t="s">
        <v>726</v>
      </c>
      <c r="U73" s="99" t="s">
        <v>726</v>
      </c>
      <c r="V73" s="99">
        <v>10</v>
      </c>
      <c r="W73" s="99">
        <v>18</v>
      </c>
      <c r="X73" s="99">
        <v>14</v>
      </c>
      <c r="Y73" s="99">
        <v>31</v>
      </c>
      <c r="Z73" s="99">
        <v>7</v>
      </c>
      <c r="AA73" s="99" t="s">
        <v>726</v>
      </c>
      <c r="AB73" s="99" t="s">
        <v>726</v>
      </c>
      <c r="AC73" s="99" t="s">
        <v>726</v>
      </c>
      <c r="AD73" s="98" t="s">
        <v>411</v>
      </c>
      <c r="AE73" s="100">
        <v>0.06926406926406926</v>
      </c>
      <c r="AF73" s="100">
        <v>0.09</v>
      </c>
      <c r="AG73" s="98">
        <v>346.32034632034635</v>
      </c>
      <c r="AH73" s="98" t="s">
        <v>726</v>
      </c>
      <c r="AI73" s="100">
        <v>0.009000000000000001</v>
      </c>
      <c r="AJ73" s="100">
        <v>0.634328</v>
      </c>
      <c r="AK73" s="100" t="s">
        <v>726</v>
      </c>
      <c r="AL73" s="100">
        <v>0.777864</v>
      </c>
      <c r="AM73" s="100">
        <v>0.534653</v>
      </c>
      <c r="AN73" s="100">
        <v>0.636364</v>
      </c>
      <c r="AO73" s="98">
        <v>757.5757575757576</v>
      </c>
      <c r="AP73" s="158">
        <v>0.5295151901</v>
      </c>
      <c r="AQ73" s="100" t="s">
        <v>726</v>
      </c>
      <c r="AR73" s="100" t="s">
        <v>726</v>
      </c>
      <c r="AS73" s="98">
        <v>129.87012987012986</v>
      </c>
      <c r="AT73" s="98" t="s">
        <v>726</v>
      </c>
      <c r="AU73" s="98" t="s">
        <v>726</v>
      </c>
      <c r="AV73" s="98">
        <v>216.45021645021646</v>
      </c>
      <c r="AW73" s="98">
        <v>389.61038961038963</v>
      </c>
      <c r="AX73" s="98">
        <v>303.030303030303</v>
      </c>
      <c r="AY73" s="98">
        <v>670.995670995671</v>
      </c>
      <c r="AZ73" s="98">
        <v>151.5151515151515</v>
      </c>
      <c r="BA73" s="100" t="s">
        <v>726</v>
      </c>
      <c r="BB73" s="100" t="s">
        <v>726</v>
      </c>
      <c r="BC73" s="100" t="s">
        <v>726</v>
      </c>
      <c r="BD73" s="158">
        <v>0.3688267136</v>
      </c>
      <c r="BE73" s="158">
        <v>0.7364274597000001</v>
      </c>
      <c r="BF73" s="162">
        <v>402</v>
      </c>
      <c r="BG73" s="162" t="s">
        <v>726</v>
      </c>
      <c r="BH73" s="162">
        <v>1283</v>
      </c>
      <c r="BI73" s="162">
        <v>303</v>
      </c>
      <c r="BJ73" s="162">
        <v>121</v>
      </c>
      <c r="BK73" s="97"/>
      <c r="BL73" s="97"/>
      <c r="BM73" s="97"/>
      <c r="BN73" s="97"/>
    </row>
    <row r="74" spans="1:66" ht="12.75">
      <c r="A74" s="79" t="s">
        <v>654</v>
      </c>
      <c r="B74" s="79" t="s">
        <v>344</v>
      </c>
      <c r="C74" s="79" t="s">
        <v>580</v>
      </c>
      <c r="D74" s="99">
        <v>11613</v>
      </c>
      <c r="E74" s="99">
        <v>1794</v>
      </c>
      <c r="F74" s="99" t="s">
        <v>434</v>
      </c>
      <c r="G74" s="99">
        <v>38</v>
      </c>
      <c r="H74" s="99">
        <v>23</v>
      </c>
      <c r="I74" s="99">
        <v>183</v>
      </c>
      <c r="J74" s="99">
        <v>1043</v>
      </c>
      <c r="K74" s="99">
        <v>990</v>
      </c>
      <c r="L74" s="99">
        <v>2326</v>
      </c>
      <c r="M74" s="99">
        <v>678</v>
      </c>
      <c r="N74" s="99">
        <v>268</v>
      </c>
      <c r="O74" s="99">
        <v>203</v>
      </c>
      <c r="P74" s="159">
        <v>203</v>
      </c>
      <c r="Q74" s="99">
        <v>19</v>
      </c>
      <c r="R74" s="99">
        <v>52</v>
      </c>
      <c r="S74" s="99">
        <v>51</v>
      </c>
      <c r="T74" s="99">
        <v>29</v>
      </c>
      <c r="U74" s="99">
        <v>10</v>
      </c>
      <c r="V74" s="99">
        <v>26</v>
      </c>
      <c r="W74" s="99">
        <v>64</v>
      </c>
      <c r="X74" s="99">
        <v>49</v>
      </c>
      <c r="Y74" s="99">
        <v>135</v>
      </c>
      <c r="Z74" s="99">
        <v>51</v>
      </c>
      <c r="AA74" s="99" t="s">
        <v>726</v>
      </c>
      <c r="AB74" s="99" t="s">
        <v>726</v>
      </c>
      <c r="AC74" s="99" t="s">
        <v>726</v>
      </c>
      <c r="AD74" s="98" t="s">
        <v>411</v>
      </c>
      <c r="AE74" s="100">
        <v>0.15448204598295015</v>
      </c>
      <c r="AF74" s="100">
        <v>0.08</v>
      </c>
      <c r="AG74" s="98">
        <v>327.21949539309395</v>
      </c>
      <c r="AH74" s="98">
        <v>198.05390510634635</v>
      </c>
      <c r="AI74" s="100">
        <v>0.016</v>
      </c>
      <c r="AJ74" s="100">
        <v>0.730392</v>
      </c>
      <c r="AK74" s="100">
        <v>0.717912</v>
      </c>
      <c r="AL74" s="100">
        <v>0.766897</v>
      </c>
      <c r="AM74" s="100">
        <v>0.542834</v>
      </c>
      <c r="AN74" s="100">
        <v>0.538153</v>
      </c>
      <c r="AO74" s="98">
        <v>1748.0409885473177</v>
      </c>
      <c r="AP74" s="158">
        <v>0.9515871429</v>
      </c>
      <c r="AQ74" s="100">
        <v>0.09359605911330049</v>
      </c>
      <c r="AR74" s="100">
        <v>0.36538461538461536</v>
      </c>
      <c r="AS74" s="98">
        <v>439.1630069749419</v>
      </c>
      <c r="AT74" s="98">
        <v>249.72014122104537</v>
      </c>
      <c r="AU74" s="98">
        <v>86.1103935244984</v>
      </c>
      <c r="AV74" s="98">
        <v>223.88702316369586</v>
      </c>
      <c r="AW74" s="98">
        <v>551.1065185567898</v>
      </c>
      <c r="AX74" s="98">
        <v>421.9409282700422</v>
      </c>
      <c r="AY74" s="98">
        <v>1162.4903125807284</v>
      </c>
      <c r="AZ74" s="98">
        <v>439.1630069749419</v>
      </c>
      <c r="BA74" s="100" t="s">
        <v>726</v>
      </c>
      <c r="BB74" s="100" t="s">
        <v>726</v>
      </c>
      <c r="BC74" s="100" t="s">
        <v>726</v>
      </c>
      <c r="BD74" s="158">
        <v>0.8251792908</v>
      </c>
      <c r="BE74" s="158">
        <v>1.091881485</v>
      </c>
      <c r="BF74" s="162">
        <v>1428</v>
      </c>
      <c r="BG74" s="162">
        <v>1379</v>
      </c>
      <c r="BH74" s="162">
        <v>3033</v>
      </c>
      <c r="BI74" s="162">
        <v>1249</v>
      </c>
      <c r="BJ74" s="162">
        <v>498</v>
      </c>
      <c r="BK74" s="97"/>
      <c r="BL74" s="97"/>
      <c r="BM74" s="97"/>
      <c r="BN74" s="97"/>
    </row>
    <row r="75" spans="1:66" ht="12.75">
      <c r="A75" s="79" t="s">
        <v>637</v>
      </c>
      <c r="B75" s="79" t="s">
        <v>327</v>
      </c>
      <c r="C75" s="79" t="s">
        <v>580</v>
      </c>
      <c r="D75" s="99">
        <v>11428</v>
      </c>
      <c r="E75" s="99">
        <v>2196</v>
      </c>
      <c r="F75" s="99" t="s">
        <v>434</v>
      </c>
      <c r="G75" s="99">
        <v>57</v>
      </c>
      <c r="H75" s="99">
        <v>26</v>
      </c>
      <c r="I75" s="99">
        <v>285</v>
      </c>
      <c r="J75" s="99">
        <v>1159</v>
      </c>
      <c r="K75" s="99">
        <v>20</v>
      </c>
      <c r="L75" s="99">
        <v>2454</v>
      </c>
      <c r="M75" s="99">
        <v>916</v>
      </c>
      <c r="N75" s="99">
        <v>352</v>
      </c>
      <c r="O75" s="99">
        <v>205</v>
      </c>
      <c r="P75" s="159">
        <v>205</v>
      </c>
      <c r="Q75" s="99">
        <v>14</v>
      </c>
      <c r="R75" s="99">
        <v>32</v>
      </c>
      <c r="S75" s="99">
        <v>51</v>
      </c>
      <c r="T75" s="99">
        <v>36</v>
      </c>
      <c r="U75" s="99" t="s">
        <v>726</v>
      </c>
      <c r="V75" s="99">
        <v>32</v>
      </c>
      <c r="W75" s="99">
        <v>72</v>
      </c>
      <c r="X75" s="99">
        <v>60</v>
      </c>
      <c r="Y75" s="99">
        <v>111</v>
      </c>
      <c r="Z75" s="99">
        <v>52</v>
      </c>
      <c r="AA75" s="99" t="s">
        <v>726</v>
      </c>
      <c r="AB75" s="99" t="s">
        <v>726</v>
      </c>
      <c r="AC75" s="99" t="s">
        <v>726</v>
      </c>
      <c r="AD75" s="98" t="s">
        <v>411</v>
      </c>
      <c r="AE75" s="100">
        <v>0.19215960798039902</v>
      </c>
      <c r="AF75" s="100">
        <v>0.06</v>
      </c>
      <c r="AG75" s="98">
        <v>498.7749387469373</v>
      </c>
      <c r="AH75" s="98">
        <v>227.51137556877845</v>
      </c>
      <c r="AI75" s="100">
        <v>0.025</v>
      </c>
      <c r="AJ75" s="100">
        <v>0.763002</v>
      </c>
      <c r="AK75" s="100">
        <v>0.645161</v>
      </c>
      <c r="AL75" s="100">
        <v>0.852083</v>
      </c>
      <c r="AM75" s="100">
        <v>0.630854</v>
      </c>
      <c r="AN75" s="100">
        <v>0.656716</v>
      </c>
      <c r="AO75" s="98">
        <v>1793.8396919845993</v>
      </c>
      <c r="AP75" s="158">
        <v>0.8910187531</v>
      </c>
      <c r="AQ75" s="100">
        <v>0.06829268292682927</v>
      </c>
      <c r="AR75" s="100">
        <v>0.4375</v>
      </c>
      <c r="AS75" s="98">
        <v>446.2723136156808</v>
      </c>
      <c r="AT75" s="98">
        <v>315.0157507875394</v>
      </c>
      <c r="AU75" s="98" t="s">
        <v>726</v>
      </c>
      <c r="AV75" s="98">
        <v>280.014000700035</v>
      </c>
      <c r="AW75" s="98">
        <v>630.0315015750788</v>
      </c>
      <c r="AX75" s="98">
        <v>525.0262513125656</v>
      </c>
      <c r="AY75" s="98">
        <v>971.2985649282464</v>
      </c>
      <c r="AZ75" s="98">
        <v>455.0227511375569</v>
      </c>
      <c r="BA75" s="100" t="s">
        <v>726</v>
      </c>
      <c r="BB75" s="100" t="s">
        <v>726</v>
      </c>
      <c r="BC75" s="100" t="s">
        <v>726</v>
      </c>
      <c r="BD75" s="158">
        <v>0.773214798</v>
      </c>
      <c r="BE75" s="158">
        <v>1.021697006</v>
      </c>
      <c r="BF75" s="162">
        <v>1519</v>
      </c>
      <c r="BG75" s="162">
        <v>31</v>
      </c>
      <c r="BH75" s="162">
        <v>2880</v>
      </c>
      <c r="BI75" s="162">
        <v>1452</v>
      </c>
      <c r="BJ75" s="162">
        <v>536</v>
      </c>
      <c r="BK75" s="97"/>
      <c r="BL75" s="97"/>
      <c r="BM75" s="97"/>
      <c r="BN75" s="97"/>
    </row>
    <row r="76" spans="1:66" ht="12.75">
      <c r="A76" s="79" t="s">
        <v>618</v>
      </c>
      <c r="B76" s="79" t="s">
        <v>306</v>
      </c>
      <c r="C76" s="79" t="s">
        <v>580</v>
      </c>
      <c r="D76" s="99">
        <v>8710</v>
      </c>
      <c r="E76" s="99">
        <v>1522</v>
      </c>
      <c r="F76" s="99" t="s">
        <v>434</v>
      </c>
      <c r="G76" s="99">
        <v>28</v>
      </c>
      <c r="H76" s="99">
        <v>28</v>
      </c>
      <c r="I76" s="99">
        <v>174</v>
      </c>
      <c r="J76" s="99">
        <v>905</v>
      </c>
      <c r="K76" s="99" t="s">
        <v>726</v>
      </c>
      <c r="L76" s="99">
        <v>1888</v>
      </c>
      <c r="M76" s="99">
        <v>701</v>
      </c>
      <c r="N76" s="99">
        <v>272</v>
      </c>
      <c r="O76" s="99">
        <v>148</v>
      </c>
      <c r="P76" s="159">
        <v>148</v>
      </c>
      <c r="Q76" s="99">
        <v>6</v>
      </c>
      <c r="R76" s="99">
        <v>15</v>
      </c>
      <c r="S76" s="99">
        <v>44</v>
      </c>
      <c r="T76" s="99">
        <v>18</v>
      </c>
      <c r="U76" s="99" t="s">
        <v>726</v>
      </c>
      <c r="V76" s="99">
        <v>43</v>
      </c>
      <c r="W76" s="99">
        <v>44</v>
      </c>
      <c r="X76" s="99">
        <v>39</v>
      </c>
      <c r="Y76" s="99">
        <v>52</v>
      </c>
      <c r="Z76" s="99">
        <v>29</v>
      </c>
      <c r="AA76" s="99" t="s">
        <v>726</v>
      </c>
      <c r="AB76" s="99" t="s">
        <v>726</v>
      </c>
      <c r="AC76" s="99" t="s">
        <v>726</v>
      </c>
      <c r="AD76" s="98" t="s">
        <v>411</v>
      </c>
      <c r="AE76" s="100">
        <v>0.17474167623421355</v>
      </c>
      <c r="AF76" s="100">
        <v>0.05</v>
      </c>
      <c r="AG76" s="98">
        <v>321.4695752009185</v>
      </c>
      <c r="AH76" s="98">
        <v>321.4695752009185</v>
      </c>
      <c r="AI76" s="100">
        <v>0.02</v>
      </c>
      <c r="AJ76" s="100">
        <v>0.710919</v>
      </c>
      <c r="AK76" s="100" t="s">
        <v>726</v>
      </c>
      <c r="AL76" s="100">
        <v>0.805117</v>
      </c>
      <c r="AM76" s="100">
        <v>0.649074</v>
      </c>
      <c r="AN76" s="100">
        <v>0.685139</v>
      </c>
      <c r="AO76" s="98">
        <v>1699.1963260619978</v>
      </c>
      <c r="AP76" s="158">
        <v>0.8448352814000001</v>
      </c>
      <c r="AQ76" s="100">
        <v>0.04054054054054054</v>
      </c>
      <c r="AR76" s="100">
        <v>0.4</v>
      </c>
      <c r="AS76" s="98">
        <v>505.16647531572903</v>
      </c>
      <c r="AT76" s="98">
        <v>206.65901262916188</v>
      </c>
      <c r="AU76" s="98" t="s">
        <v>726</v>
      </c>
      <c r="AV76" s="98">
        <v>493.6854190585534</v>
      </c>
      <c r="AW76" s="98">
        <v>505.16647531572903</v>
      </c>
      <c r="AX76" s="98">
        <v>447.76119402985074</v>
      </c>
      <c r="AY76" s="98">
        <v>597.0149253731344</v>
      </c>
      <c r="AZ76" s="98">
        <v>332.95063145809416</v>
      </c>
      <c r="BA76" s="100" t="s">
        <v>726</v>
      </c>
      <c r="BB76" s="100" t="s">
        <v>726</v>
      </c>
      <c r="BC76" s="100" t="s">
        <v>726</v>
      </c>
      <c r="BD76" s="158">
        <v>0.7142101288</v>
      </c>
      <c r="BE76" s="158">
        <v>0.992436142</v>
      </c>
      <c r="BF76" s="162">
        <v>1273</v>
      </c>
      <c r="BG76" s="162" t="s">
        <v>726</v>
      </c>
      <c r="BH76" s="162">
        <v>2345</v>
      </c>
      <c r="BI76" s="162">
        <v>1080</v>
      </c>
      <c r="BJ76" s="162">
        <v>397</v>
      </c>
      <c r="BK76" s="97"/>
      <c r="BL76" s="97"/>
      <c r="BM76" s="97"/>
      <c r="BN76" s="97"/>
    </row>
    <row r="77" spans="1:66" ht="12.75">
      <c r="A77" s="79" t="s">
        <v>612</v>
      </c>
      <c r="B77" s="79" t="s">
        <v>300</v>
      </c>
      <c r="C77" s="79" t="s">
        <v>580</v>
      </c>
      <c r="D77" s="99">
        <v>6349</v>
      </c>
      <c r="E77" s="99">
        <v>1103</v>
      </c>
      <c r="F77" s="99" t="s">
        <v>434</v>
      </c>
      <c r="G77" s="99">
        <v>36</v>
      </c>
      <c r="H77" s="99">
        <v>18</v>
      </c>
      <c r="I77" s="99">
        <v>152</v>
      </c>
      <c r="J77" s="99">
        <v>617</v>
      </c>
      <c r="K77" s="99">
        <v>14</v>
      </c>
      <c r="L77" s="99">
        <v>1364</v>
      </c>
      <c r="M77" s="99">
        <v>457</v>
      </c>
      <c r="N77" s="99">
        <v>170</v>
      </c>
      <c r="O77" s="99">
        <v>73</v>
      </c>
      <c r="P77" s="159">
        <v>73</v>
      </c>
      <c r="Q77" s="99">
        <v>7</v>
      </c>
      <c r="R77" s="99">
        <v>20</v>
      </c>
      <c r="S77" s="99">
        <v>11</v>
      </c>
      <c r="T77" s="99">
        <v>20</v>
      </c>
      <c r="U77" s="99">
        <v>6</v>
      </c>
      <c r="V77" s="99">
        <v>15</v>
      </c>
      <c r="W77" s="99">
        <v>43</v>
      </c>
      <c r="X77" s="99">
        <v>31</v>
      </c>
      <c r="Y77" s="99">
        <v>57</v>
      </c>
      <c r="Z77" s="99">
        <v>31</v>
      </c>
      <c r="AA77" s="99" t="s">
        <v>726</v>
      </c>
      <c r="AB77" s="99" t="s">
        <v>726</v>
      </c>
      <c r="AC77" s="99" t="s">
        <v>726</v>
      </c>
      <c r="AD77" s="98" t="s">
        <v>411</v>
      </c>
      <c r="AE77" s="100">
        <v>0.17372814616475035</v>
      </c>
      <c r="AF77" s="100">
        <v>0.06</v>
      </c>
      <c r="AG77" s="98">
        <v>567.0184280989132</v>
      </c>
      <c r="AH77" s="98">
        <v>283.5092140494566</v>
      </c>
      <c r="AI77" s="100">
        <v>0.024</v>
      </c>
      <c r="AJ77" s="100">
        <v>0.701136</v>
      </c>
      <c r="AK77" s="100">
        <v>0.7</v>
      </c>
      <c r="AL77" s="100">
        <v>0.856784</v>
      </c>
      <c r="AM77" s="100">
        <v>0.585897</v>
      </c>
      <c r="AN77" s="100">
        <v>0.588235</v>
      </c>
      <c r="AO77" s="98">
        <v>1149.787368089463</v>
      </c>
      <c r="AP77" s="158">
        <v>0.5751726913</v>
      </c>
      <c r="AQ77" s="100">
        <v>0.0958904109589041</v>
      </c>
      <c r="AR77" s="100">
        <v>0.35</v>
      </c>
      <c r="AS77" s="98">
        <v>173.25563080800126</v>
      </c>
      <c r="AT77" s="98">
        <v>315.01023783272956</v>
      </c>
      <c r="AU77" s="98">
        <v>94.50307134981887</v>
      </c>
      <c r="AV77" s="98">
        <v>236.25767837454717</v>
      </c>
      <c r="AW77" s="98">
        <v>677.2720113403685</v>
      </c>
      <c r="AX77" s="98">
        <v>488.26586864073084</v>
      </c>
      <c r="AY77" s="98">
        <v>897.7791778232793</v>
      </c>
      <c r="AZ77" s="98">
        <v>488.26586864073084</v>
      </c>
      <c r="BA77" s="100" t="s">
        <v>726</v>
      </c>
      <c r="BB77" s="100" t="s">
        <v>726</v>
      </c>
      <c r="BC77" s="100" t="s">
        <v>726</v>
      </c>
      <c r="BD77" s="158">
        <v>0.45084354400000004</v>
      </c>
      <c r="BE77" s="158">
        <v>0.7231932831000001</v>
      </c>
      <c r="BF77" s="162">
        <v>880</v>
      </c>
      <c r="BG77" s="162">
        <v>20</v>
      </c>
      <c r="BH77" s="162">
        <v>1592</v>
      </c>
      <c r="BI77" s="162">
        <v>780</v>
      </c>
      <c r="BJ77" s="162">
        <v>289</v>
      </c>
      <c r="BK77" s="97"/>
      <c r="BL77" s="97"/>
      <c r="BM77" s="97"/>
      <c r="BN77" s="97"/>
    </row>
    <row r="78" spans="1:66" ht="12.75">
      <c r="A78" s="79" t="s">
        <v>682</v>
      </c>
      <c r="B78" s="79" t="s">
        <v>373</v>
      </c>
      <c r="C78" s="79" t="s">
        <v>580</v>
      </c>
      <c r="D78" s="99">
        <v>9231</v>
      </c>
      <c r="E78" s="99">
        <v>1700</v>
      </c>
      <c r="F78" s="99" t="s">
        <v>434</v>
      </c>
      <c r="G78" s="99">
        <v>50</v>
      </c>
      <c r="H78" s="99">
        <v>20</v>
      </c>
      <c r="I78" s="99">
        <v>213</v>
      </c>
      <c r="J78" s="99">
        <v>858</v>
      </c>
      <c r="K78" s="99">
        <v>11</v>
      </c>
      <c r="L78" s="99">
        <v>1813</v>
      </c>
      <c r="M78" s="99">
        <v>566</v>
      </c>
      <c r="N78" s="99">
        <v>249</v>
      </c>
      <c r="O78" s="99">
        <v>176</v>
      </c>
      <c r="P78" s="159">
        <v>176</v>
      </c>
      <c r="Q78" s="99">
        <v>18</v>
      </c>
      <c r="R78" s="99">
        <v>37</v>
      </c>
      <c r="S78" s="99">
        <v>42</v>
      </c>
      <c r="T78" s="99">
        <v>29</v>
      </c>
      <c r="U78" s="99">
        <v>7</v>
      </c>
      <c r="V78" s="99">
        <v>25</v>
      </c>
      <c r="W78" s="99">
        <v>41</v>
      </c>
      <c r="X78" s="99">
        <v>44</v>
      </c>
      <c r="Y78" s="99">
        <v>82</v>
      </c>
      <c r="Z78" s="99">
        <v>57</v>
      </c>
      <c r="AA78" s="99" t="s">
        <v>726</v>
      </c>
      <c r="AB78" s="99" t="s">
        <v>726</v>
      </c>
      <c r="AC78" s="99" t="s">
        <v>726</v>
      </c>
      <c r="AD78" s="98" t="s">
        <v>411</v>
      </c>
      <c r="AE78" s="100">
        <v>0.1841620626151013</v>
      </c>
      <c r="AF78" s="100">
        <v>0.05</v>
      </c>
      <c r="AG78" s="98">
        <v>541.6531253385332</v>
      </c>
      <c r="AH78" s="98">
        <v>216.66125013541327</v>
      </c>
      <c r="AI78" s="100">
        <v>0.023</v>
      </c>
      <c r="AJ78" s="100">
        <v>0.75</v>
      </c>
      <c r="AK78" s="100">
        <v>0.611111</v>
      </c>
      <c r="AL78" s="100">
        <v>0.787234</v>
      </c>
      <c r="AM78" s="100">
        <v>0.585315</v>
      </c>
      <c r="AN78" s="100">
        <v>0.62406</v>
      </c>
      <c r="AO78" s="98">
        <v>1906.619001191637</v>
      </c>
      <c r="AP78" s="158">
        <v>0.9547162628</v>
      </c>
      <c r="AQ78" s="100">
        <v>0.10227272727272728</v>
      </c>
      <c r="AR78" s="100">
        <v>0.4864864864864865</v>
      </c>
      <c r="AS78" s="98">
        <v>454.9886252843679</v>
      </c>
      <c r="AT78" s="98">
        <v>314.15881269634923</v>
      </c>
      <c r="AU78" s="98">
        <v>75.83143754739464</v>
      </c>
      <c r="AV78" s="98">
        <v>270.8265626692666</v>
      </c>
      <c r="AW78" s="98">
        <v>444.15556277759725</v>
      </c>
      <c r="AX78" s="98">
        <v>476.65475029790923</v>
      </c>
      <c r="AY78" s="98">
        <v>888.3111255551945</v>
      </c>
      <c r="AZ78" s="98">
        <v>617.4845628859279</v>
      </c>
      <c r="BA78" s="100" t="s">
        <v>726</v>
      </c>
      <c r="BB78" s="100" t="s">
        <v>726</v>
      </c>
      <c r="BC78" s="100" t="s">
        <v>726</v>
      </c>
      <c r="BD78" s="158">
        <v>0.818874588</v>
      </c>
      <c r="BE78" s="158">
        <v>1.106654434</v>
      </c>
      <c r="BF78" s="162">
        <v>1144</v>
      </c>
      <c r="BG78" s="162">
        <v>18</v>
      </c>
      <c r="BH78" s="162">
        <v>2303</v>
      </c>
      <c r="BI78" s="162">
        <v>967</v>
      </c>
      <c r="BJ78" s="162">
        <v>399</v>
      </c>
      <c r="BK78" s="97"/>
      <c r="BL78" s="97"/>
      <c r="BM78" s="97"/>
      <c r="BN78" s="97"/>
    </row>
    <row r="79" spans="1:66" ht="12.75">
      <c r="A79" s="79" t="s">
        <v>692</v>
      </c>
      <c r="B79" s="79" t="s">
        <v>383</v>
      </c>
      <c r="C79" s="79" t="s">
        <v>580</v>
      </c>
      <c r="D79" s="99">
        <v>2628</v>
      </c>
      <c r="E79" s="99">
        <v>448</v>
      </c>
      <c r="F79" s="99" t="s">
        <v>434</v>
      </c>
      <c r="G79" s="99">
        <v>10</v>
      </c>
      <c r="H79" s="99">
        <v>8</v>
      </c>
      <c r="I79" s="99">
        <v>47</v>
      </c>
      <c r="J79" s="99">
        <v>290</v>
      </c>
      <c r="K79" s="99">
        <v>287</v>
      </c>
      <c r="L79" s="99">
        <v>544</v>
      </c>
      <c r="M79" s="99">
        <v>213</v>
      </c>
      <c r="N79" s="99">
        <v>77</v>
      </c>
      <c r="O79" s="99">
        <v>43</v>
      </c>
      <c r="P79" s="159">
        <v>43</v>
      </c>
      <c r="Q79" s="99" t="s">
        <v>726</v>
      </c>
      <c r="R79" s="99">
        <v>8</v>
      </c>
      <c r="S79" s="99">
        <v>19</v>
      </c>
      <c r="T79" s="99" t="s">
        <v>726</v>
      </c>
      <c r="U79" s="99" t="s">
        <v>726</v>
      </c>
      <c r="V79" s="99">
        <v>10</v>
      </c>
      <c r="W79" s="99">
        <v>6</v>
      </c>
      <c r="X79" s="99">
        <v>6</v>
      </c>
      <c r="Y79" s="99">
        <v>15</v>
      </c>
      <c r="Z79" s="99">
        <v>13</v>
      </c>
      <c r="AA79" s="99" t="s">
        <v>726</v>
      </c>
      <c r="AB79" s="99" t="s">
        <v>726</v>
      </c>
      <c r="AC79" s="99" t="s">
        <v>726</v>
      </c>
      <c r="AD79" s="98" t="s">
        <v>411</v>
      </c>
      <c r="AE79" s="100">
        <v>0.1704718417047184</v>
      </c>
      <c r="AF79" s="100">
        <v>0.06</v>
      </c>
      <c r="AG79" s="98">
        <v>380.517503805175</v>
      </c>
      <c r="AH79" s="98">
        <v>304.41400304414003</v>
      </c>
      <c r="AI79" s="100">
        <v>0.018000000000000002</v>
      </c>
      <c r="AJ79" s="100">
        <v>0.77748</v>
      </c>
      <c r="AK79" s="100">
        <v>0.801676</v>
      </c>
      <c r="AL79" s="100">
        <v>0.839506</v>
      </c>
      <c r="AM79" s="100">
        <v>0.594972</v>
      </c>
      <c r="AN79" s="100">
        <v>0.611111</v>
      </c>
      <c r="AO79" s="98">
        <v>1636.2252663622526</v>
      </c>
      <c r="AP79" s="158">
        <v>0.8368495178</v>
      </c>
      <c r="AQ79" s="100" t="s">
        <v>726</v>
      </c>
      <c r="AR79" s="100" t="s">
        <v>726</v>
      </c>
      <c r="AS79" s="98">
        <v>722.9832572298326</v>
      </c>
      <c r="AT79" s="98" t="s">
        <v>726</v>
      </c>
      <c r="AU79" s="98" t="s">
        <v>726</v>
      </c>
      <c r="AV79" s="98">
        <v>380.517503805175</v>
      </c>
      <c r="AW79" s="98">
        <v>228.31050228310502</v>
      </c>
      <c r="AX79" s="98">
        <v>228.31050228310502</v>
      </c>
      <c r="AY79" s="98">
        <v>570.7762557077625</v>
      </c>
      <c r="AZ79" s="98">
        <v>494.67275494672754</v>
      </c>
      <c r="BA79" s="100" t="s">
        <v>726</v>
      </c>
      <c r="BB79" s="100" t="s">
        <v>726</v>
      </c>
      <c r="BC79" s="100" t="s">
        <v>726</v>
      </c>
      <c r="BD79" s="158">
        <v>0.6056321335</v>
      </c>
      <c r="BE79" s="158">
        <v>1.127230759</v>
      </c>
      <c r="BF79" s="162">
        <v>373</v>
      </c>
      <c r="BG79" s="162">
        <v>358</v>
      </c>
      <c r="BH79" s="162">
        <v>648</v>
      </c>
      <c r="BI79" s="162">
        <v>358</v>
      </c>
      <c r="BJ79" s="162">
        <v>126</v>
      </c>
      <c r="BK79" s="97"/>
      <c r="BL79" s="97"/>
      <c r="BM79" s="97"/>
      <c r="BN79" s="97"/>
    </row>
    <row r="80" spans="1:66" ht="12.75">
      <c r="A80" s="79" t="s">
        <v>661</v>
      </c>
      <c r="B80" s="79" t="s">
        <v>351</v>
      </c>
      <c r="C80" s="79" t="s">
        <v>580</v>
      </c>
      <c r="D80" s="99">
        <v>8562</v>
      </c>
      <c r="E80" s="99">
        <v>1628</v>
      </c>
      <c r="F80" s="99" t="s">
        <v>432</v>
      </c>
      <c r="G80" s="99">
        <v>36</v>
      </c>
      <c r="H80" s="99">
        <v>25</v>
      </c>
      <c r="I80" s="99">
        <v>102</v>
      </c>
      <c r="J80" s="99">
        <v>735</v>
      </c>
      <c r="K80" s="99">
        <v>709</v>
      </c>
      <c r="L80" s="99">
        <v>1698</v>
      </c>
      <c r="M80" s="99">
        <v>456</v>
      </c>
      <c r="N80" s="99">
        <v>162</v>
      </c>
      <c r="O80" s="99">
        <v>103</v>
      </c>
      <c r="P80" s="159">
        <v>103</v>
      </c>
      <c r="Q80" s="99">
        <v>15</v>
      </c>
      <c r="R80" s="99">
        <v>41</v>
      </c>
      <c r="S80" s="99">
        <v>33</v>
      </c>
      <c r="T80" s="99">
        <v>22</v>
      </c>
      <c r="U80" s="99" t="s">
        <v>726</v>
      </c>
      <c r="V80" s="99">
        <v>13</v>
      </c>
      <c r="W80" s="99">
        <v>49</v>
      </c>
      <c r="X80" s="99">
        <v>25</v>
      </c>
      <c r="Y80" s="99">
        <v>79</v>
      </c>
      <c r="Z80" s="99">
        <v>51</v>
      </c>
      <c r="AA80" s="99" t="s">
        <v>726</v>
      </c>
      <c r="AB80" s="99" t="s">
        <v>726</v>
      </c>
      <c r="AC80" s="99" t="s">
        <v>726</v>
      </c>
      <c r="AD80" s="98" t="s">
        <v>411</v>
      </c>
      <c r="AE80" s="100">
        <v>0.190142490072413</v>
      </c>
      <c r="AF80" s="100">
        <v>0.1</v>
      </c>
      <c r="AG80" s="98">
        <v>420.4625087596356</v>
      </c>
      <c r="AH80" s="98">
        <v>291.9878533053025</v>
      </c>
      <c r="AI80" s="100">
        <v>0.012</v>
      </c>
      <c r="AJ80" s="100">
        <v>0.768025</v>
      </c>
      <c r="AK80" s="100">
        <v>0.773173</v>
      </c>
      <c r="AL80" s="100">
        <v>0.79124</v>
      </c>
      <c r="AM80" s="100">
        <v>0.548077</v>
      </c>
      <c r="AN80" s="100">
        <v>0.632813</v>
      </c>
      <c r="AO80" s="98">
        <v>1202.9899556178464</v>
      </c>
      <c r="AP80" s="158">
        <v>0.6078533554</v>
      </c>
      <c r="AQ80" s="100">
        <v>0.14563106796116504</v>
      </c>
      <c r="AR80" s="100">
        <v>0.36585365853658536</v>
      </c>
      <c r="AS80" s="98">
        <v>385.4239663629993</v>
      </c>
      <c r="AT80" s="98">
        <v>256.9493109086662</v>
      </c>
      <c r="AU80" s="98" t="s">
        <v>726</v>
      </c>
      <c r="AV80" s="98">
        <v>151.8336837187573</v>
      </c>
      <c r="AW80" s="98">
        <v>572.2961924783929</v>
      </c>
      <c r="AX80" s="98">
        <v>291.9878533053025</v>
      </c>
      <c r="AY80" s="98">
        <v>922.681616444756</v>
      </c>
      <c r="AZ80" s="98">
        <v>595.655220742817</v>
      </c>
      <c r="BA80" s="100" t="s">
        <v>726</v>
      </c>
      <c r="BB80" s="100" t="s">
        <v>726</v>
      </c>
      <c r="BC80" s="100" t="s">
        <v>726</v>
      </c>
      <c r="BD80" s="158">
        <v>0.4961495972</v>
      </c>
      <c r="BE80" s="158">
        <v>0.7371989441</v>
      </c>
      <c r="BF80" s="162">
        <v>957</v>
      </c>
      <c r="BG80" s="162">
        <v>917</v>
      </c>
      <c r="BH80" s="162">
        <v>2146</v>
      </c>
      <c r="BI80" s="162">
        <v>832</v>
      </c>
      <c r="BJ80" s="162">
        <v>256</v>
      </c>
      <c r="BK80" s="97"/>
      <c r="BL80" s="97"/>
      <c r="BM80" s="97"/>
      <c r="BN80" s="97"/>
    </row>
    <row r="81" spans="1:66" ht="12.75">
      <c r="A81" s="79" t="s">
        <v>616</v>
      </c>
      <c r="B81" s="79" t="s">
        <v>304</v>
      </c>
      <c r="C81" s="79" t="s">
        <v>580</v>
      </c>
      <c r="D81" s="99">
        <v>14739</v>
      </c>
      <c r="E81" s="99">
        <v>1745</v>
      </c>
      <c r="F81" s="99" t="s">
        <v>432</v>
      </c>
      <c r="G81" s="99">
        <v>58</v>
      </c>
      <c r="H81" s="99">
        <v>28</v>
      </c>
      <c r="I81" s="99">
        <v>149</v>
      </c>
      <c r="J81" s="99">
        <v>1009</v>
      </c>
      <c r="K81" s="99">
        <v>8</v>
      </c>
      <c r="L81" s="99">
        <v>2942</v>
      </c>
      <c r="M81" s="99">
        <v>614</v>
      </c>
      <c r="N81" s="99">
        <v>274</v>
      </c>
      <c r="O81" s="99">
        <v>184</v>
      </c>
      <c r="P81" s="159">
        <v>184</v>
      </c>
      <c r="Q81" s="99">
        <v>12</v>
      </c>
      <c r="R81" s="99">
        <v>24</v>
      </c>
      <c r="S81" s="99">
        <v>47</v>
      </c>
      <c r="T81" s="99">
        <v>30</v>
      </c>
      <c r="U81" s="99">
        <v>18</v>
      </c>
      <c r="V81" s="99">
        <v>23</v>
      </c>
      <c r="W81" s="99">
        <v>75</v>
      </c>
      <c r="X81" s="99">
        <v>51</v>
      </c>
      <c r="Y81" s="99">
        <v>125</v>
      </c>
      <c r="Z81" s="99">
        <v>69</v>
      </c>
      <c r="AA81" s="99" t="s">
        <v>726</v>
      </c>
      <c r="AB81" s="99" t="s">
        <v>726</v>
      </c>
      <c r="AC81" s="99" t="s">
        <v>726</v>
      </c>
      <c r="AD81" s="98" t="s">
        <v>411</v>
      </c>
      <c r="AE81" s="100">
        <v>0.11839337811249068</v>
      </c>
      <c r="AF81" s="100">
        <v>0.11</v>
      </c>
      <c r="AG81" s="98">
        <v>393.5138069068458</v>
      </c>
      <c r="AH81" s="98">
        <v>189.97218264468418</v>
      </c>
      <c r="AI81" s="100">
        <v>0.01</v>
      </c>
      <c r="AJ81" s="100">
        <v>0.657757</v>
      </c>
      <c r="AK81" s="100">
        <v>0.380952</v>
      </c>
      <c r="AL81" s="100">
        <v>0.765946</v>
      </c>
      <c r="AM81" s="100">
        <v>0.488854</v>
      </c>
      <c r="AN81" s="100">
        <v>0.535156</v>
      </c>
      <c r="AO81" s="98">
        <v>1248.3886288079245</v>
      </c>
      <c r="AP81" s="158">
        <v>0.7664608002</v>
      </c>
      <c r="AQ81" s="100">
        <v>0.06521739130434782</v>
      </c>
      <c r="AR81" s="100">
        <v>0.5</v>
      </c>
      <c r="AS81" s="98">
        <v>318.88187801071984</v>
      </c>
      <c r="AT81" s="98">
        <v>203.5416242621616</v>
      </c>
      <c r="AU81" s="98">
        <v>122.12497455729697</v>
      </c>
      <c r="AV81" s="98">
        <v>156.04857860099057</v>
      </c>
      <c r="AW81" s="98">
        <v>508.85406065540406</v>
      </c>
      <c r="AX81" s="98">
        <v>346.02076124567475</v>
      </c>
      <c r="AY81" s="98">
        <v>848.0901010923401</v>
      </c>
      <c r="AZ81" s="98">
        <v>468.1457358029717</v>
      </c>
      <c r="BA81" s="100" t="s">
        <v>726</v>
      </c>
      <c r="BB81" s="100" t="s">
        <v>726</v>
      </c>
      <c r="BC81" s="100" t="s">
        <v>726</v>
      </c>
      <c r="BD81" s="158">
        <v>0.6597111511</v>
      </c>
      <c r="BE81" s="158">
        <v>0.8855644226</v>
      </c>
      <c r="BF81" s="162">
        <v>1534</v>
      </c>
      <c r="BG81" s="162">
        <v>21</v>
      </c>
      <c r="BH81" s="162">
        <v>3841</v>
      </c>
      <c r="BI81" s="162">
        <v>1256</v>
      </c>
      <c r="BJ81" s="162">
        <v>512</v>
      </c>
      <c r="BK81" s="97"/>
      <c r="BL81" s="97"/>
      <c r="BM81" s="97"/>
      <c r="BN81" s="97"/>
    </row>
    <row r="82" spans="1:66" ht="12.75">
      <c r="A82" s="79" t="s">
        <v>670</v>
      </c>
      <c r="B82" s="79" t="s">
        <v>360</v>
      </c>
      <c r="C82" s="79" t="s">
        <v>580</v>
      </c>
      <c r="D82" s="99">
        <v>10957</v>
      </c>
      <c r="E82" s="99">
        <v>2126</v>
      </c>
      <c r="F82" s="99" t="s">
        <v>434</v>
      </c>
      <c r="G82" s="99">
        <v>56</v>
      </c>
      <c r="H82" s="99">
        <v>20</v>
      </c>
      <c r="I82" s="99">
        <v>182</v>
      </c>
      <c r="J82" s="99">
        <v>1117</v>
      </c>
      <c r="K82" s="99">
        <v>900</v>
      </c>
      <c r="L82" s="99">
        <v>2202</v>
      </c>
      <c r="M82" s="99">
        <v>799</v>
      </c>
      <c r="N82" s="99">
        <v>292</v>
      </c>
      <c r="O82" s="99">
        <v>144</v>
      </c>
      <c r="P82" s="159">
        <v>144</v>
      </c>
      <c r="Q82" s="99">
        <v>23</v>
      </c>
      <c r="R82" s="99">
        <v>42</v>
      </c>
      <c r="S82" s="99">
        <v>24</v>
      </c>
      <c r="T82" s="99">
        <v>31</v>
      </c>
      <c r="U82" s="99">
        <v>10</v>
      </c>
      <c r="V82" s="99">
        <v>32</v>
      </c>
      <c r="W82" s="99">
        <v>69</v>
      </c>
      <c r="X82" s="99">
        <v>42</v>
      </c>
      <c r="Y82" s="99">
        <v>120</v>
      </c>
      <c r="Z82" s="99">
        <v>37</v>
      </c>
      <c r="AA82" s="99" t="s">
        <v>726</v>
      </c>
      <c r="AB82" s="99" t="s">
        <v>726</v>
      </c>
      <c r="AC82" s="99" t="s">
        <v>726</v>
      </c>
      <c r="AD82" s="98" t="s">
        <v>411</v>
      </c>
      <c r="AE82" s="100">
        <v>0.1940312129232454</v>
      </c>
      <c r="AF82" s="100">
        <v>0.08</v>
      </c>
      <c r="AG82" s="98">
        <v>511.0888016792918</v>
      </c>
      <c r="AH82" s="98">
        <v>182.53171488546135</v>
      </c>
      <c r="AI82" s="100">
        <v>0.017</v>
      </c>
      <c r="AJ82" s="100">
        <v>0.751177</v>
      </c>
      <c r="AK82" s="100">
        <v>0.802855</v>
      </c>
      <c r="AL82" s="100">
        <v>0.831571</v>
      </c>
      <c r="AM82" s="100">
        <v>0.59317</v>
      </c>
      <c r="AN82" s="100">
        <v>0.614737</v>
      </c>
      <c r="AO82" s="98">
        <v>1314.2283471753217</v>
      </c>
      <c r="AP82" s="158">
        <v>0.6443108368</v>
      </c>
      <c r="AQ82" s="100">
        <v>0.1597222222222222</v>
      </c>
      <c r="AR82" s="100">
        <v>0.5476190476190477</v>
      </c>
      <c r="AS82" s="98">
        <v>219.03805786255361</v>
      </c>
      <c r="AT82" s="98">
        <v>282.9241580724651</v>
      </c>
      <c r="AU82" s="98">
        <v>91.26585744273068</v>
      </c>
      <c r="AV82" s="98">
        <v>292.05074381673813</v>
      </c>
      <c r="AW82" s="98">
        <v>629.7344163548416</v>
      </c>
      <c r="AX82" s="98">
        <v>383.3166012594688</v>
      </c>
      <c r="AY82" s="98">
        <v>1095.190289312768</v>
      </c>
      <c r="AZ82" s="98">
        <v>337.6836725381035</v>
      </c>
      <c r="BA82" s="100" t="s">
        <v>726</v>
      </c>
      <c r="BB82" s="100" t="s">
        <v>726</v>
      </c>
      <c r="BC82" s="100" t="s">
        <v>726</v>
      </c>
      <c r="BD82" s="158">
        <v>0.543375206</v>
      </c>
      <c r="BE82" s="158">
        <v>0.7585575104</v>
      </c>
      <c r="BF82" s="162">
        <v>1487</v>
      </c>
      <c r="BG82" s="162">
        <v>1121</v>
      </c>
      <c r="BH82" s="162">
        <v>2648</v>
      </c>
      <c r="BI82" s="162">
        <v>1347</v>
      </c>
      <c r="BJ82" s="162">
        <v>475</v>
      </c>
      <c r="BK82" s="97"/>
      <c r="BL82" s="97"/>
      <c r="BM82" s="97"/>
      <c r="BN82" s="97"/>
    </row>
    <row r="83" spans="1:66" ht="12.75">
      <c r="A83" s="79" t="s">
        <v>642</v>
      </c>
      <c r="B83" s="79" t="s">
        <v>332</v>
      </c>
      <c r="C83" s="79" t="s">
        <v>580</v>
      </c>
      <c r="D83" s="99">
        <v>17172</v>
      </c>
      <c r="E83" s="99">
        <v>2008</v>
      </c>
      <c r="F83" s="99" t="s">
        <v>434</v>
      </c>
      <c r="G83" s="99">
        <v>55</v>
      </c>
      <c r="H83" s="99">
        <v>31</v>
      </c>
      <c r="I83" s="99">
        <v>240</v>
      </c>
      <c r="J83" s="99">
        <v>1421</v>
      </c>
      <c r="K83" s="99">
        <v>13</v>
      </c>
      <c r="L83" s="99">
        <v>3710</v>
      </c>
      <c r="M83" s="99">
        <v>920</v>
      </c>
      <c r="N83" s="99">
        <v>366</v>
      </c>
      <c r="O83" s="99">
        <v>247</v>
      </c>
      <c r="P83" s="159">
        <v>247</v>
      </c>
      <c r="Q83" s="99">
        <v>19</v>
      </c>
      <c r="R83" s="99">
        <v>45</v>
      </c>
      <c r="S83" s="99">
        <v>76</v>
      </c>
      <c r="T83" s="99">
        <v>27</v>
      </c>
      <c r="U83" s="99">
        <v>13</v>
      </c>
      <c r="V83" s="99">
        <v>28</v>
      </c>
      <c r="W83" s="99">
        <v>82</v>
      </c>
      <c r="X83" s="99">
        <v>59</v>
      </c>
      <c r="Y83" s="99">
        <v>156</v>
      </c>
      <c r="Z83" s="99">
        <v>76</v>
      </c>
      <c r="AA83" s="99" t="s">
        <v>726</v>
      </c>
      <c r="AB83" s="99" t="s">
        <v>726</v>
      </c>
      <c r="AC83" s="99" t="s">
        <v>726</v>
      </c>
      <c r="AD83" s="98" t="s">
        <v>411</v>
      </c>
      <c r="AE83" s="100">
        <v>0.11693454460750058</v>
      </c>
      <c r="AF83" s="100">
        <v>0.07</v>
      </c>
      <c r="AG83" s="98">
        <v>320.2888423014209</v>
      </c>
      <c r="AH83" s="98">
        <v>180.52643838807361</v>
      </c>
      <c r="AI83" s="100">
        <v>0.013999999999999999</v>
      </c>
      <c r="AJ83" s="100">
        <v>0.695205</v>
      </c>
      <c r="AK83" s="100">
        <v>0.684211</v>
      </c>
      <c r="AL83" s="100">
        <v>0.757452</v>
      </c>
      <c r="AM83" s="100">
        <v>0.572852</v>
      </c>
      <c r="AN83" s="100">
        <v>0.595122</v>
      </c>
      <c r="AO83" s="98">
        <v>1438.3880736081994</v>
      </c>
      <c r="AP83" s="158">
        <v>0.8588103485</v>
      </c>
      <c r="AQ83" s="100">
        <v>0.07692307692307693</v>
      </c>
      <c r="AR83" s="100">
        <v>0.4222222222222222</v>
      </c>
      <c r="AS83" s="98">
        <v>442.5809457255998</v>
      </c>
      <c r="AT83" s="98">
        <v>157.23270440251574</v>
      </c>
      <c r="AU83" s="98">
        <v>75.70463545306312</v>
      </c>
      <c r="AV83" s="98">
        <v>163.0561378989052</v>
      </c>
      <c r="AW83" s="98">
        <v>477.5215467039366</v>
      </c>
      <c r="AX83" s="98">
        <v>343.5825762869788</v>
      </c>
      <c r="AY83" s="98">
        <v>908.4556254367575</v>
      </c>
      <c r="AZ83" s="98">
        <v>442.5809457255998</v>
      </c>
      <c r="BA83" s="100" t="s">
        <v>726</v>
      </c>
      <c r="BB83" s="100" t="s">
        <v>726</v>
      </c>
      <c r="BC83" s="100" t="s">
        <v>726</v>
      </c>
      <c r="BD83" s="158">
        <v>0.7550387573</v>
      </c>
      <c r="BE83" s="158">
        <v>0.9728600311</v>
      </c>
      <c r="BF83" s="162">
        <v>2044</v>
      </c>
      <c r="BG83" s="162">
        <v>19</v>
      </c>
      <c r="BH83" s="162">
        <v>4898</v>
      </c>
      <c r="BI83" s="162">
        <v>1606</v>
      </c>
      <c r="BJ83" s="162">
        <v>615</v>
      </c>
      <c r="BK83" s="97"/>
      <c r="BL83" s="97"/>
      <c r="BM83" s="97"/>
      <c r="BN83" s="97"/>
    </row>
    <row r="84" spans="1:66" ht="12.75">
      <c r="A84" s="79" t="s">
        <v>617</v>
      </c>
      <c r="B84" s="79" t="s">
        <v>305</v>
      </c>
      <c r="C84" s="79" t="s">
        <v>580</v>
      </c>
      <c r="D84" s="99">
        <v>11889</v>
      </c>
      <c r="E84" s="99">
        <v>2659</v>
      </c>
      <c r="F84" s="99" t="s">
        <v>434</v>
      </c>
      <c r="G84" s="99">
        <v>50</v>
      </c>
      <c r="H84" s="99">
        <v>30</v>
      </c>
      <c r="I84" s="99">
        <v>251</v>
      </c>
      <c r="J84" s="99">
        <v>973</v>
      </c>
      <c r="K84" s="99">
        <v>12</v>
      </c>
      <c r="L84" s="99">
        <v>2230</v>
      </c>
      <c r="M84" s="99">
        <v>812</v>
      </c>
      <c r="N84" s="99">
        <v>337</v>
      </c>
      <c r="O84" s="99">
        <v>283</v>
      </c>
      <c r="P84" s="159">
        <v>283</v>
      </c>
      <c r="Q84" s="99">
        <v>33</v>
      </c>
      <c r="R84" s="99">
        <v>68</v>
      </c>
      <c r="S84" s="99">
        <v>30</v>
      </c>
      <c r="T84" s="99">
        <v>60</v>
      </c>
      <c r="U84" s="99">
        <v>12</v>
      </c>
      <c r="V84" s="99">
        <v>81</v>
      </c>
      <c r="W84" s="99">
        <v>68</v>
      </c>
      <c r="X84" s="99">
        <v>58</v>
      </c>
      <c r="Y84" s="99">
        <v>120</v>
      </c>
      <c r="Z84" s="99">
        <v>64</v>
      </c>
      <c r="AA84" s="99" t="s">
        <v>726</v>
      </c>
      <c r="AB84" s="99" t="s">
        <v>726</v>
      </c>
      <c r="AC84" s="99" t="s">
        <v>726</v>
      </c>
      <c r="AD84" s="98" t="s">
        <v>411</v>
      </c>
      <c r="AE84" s="100">
        <v>0.22365211540079064</v>
      </c>
      <c r="AF84" s="100">
        <v>0.08</v>
      </c>
      <c r="AG84" s="98">
        <v>420.55681722600724</v>
      </c>
      <c r="AH84" s="98">
        <v>252.33409033560434</v>
      </c>
      <c r="AI84" s="100">
        <v>0.021</v>
      </c>
      <c r="AJ84" s="100">
        <v>0.647372</v>
      </c>
      <c r="AK84" s="100">
        <v>0.631579</v>
      </c>
      <c r="AL84" s="100">
        <v>0.769231</v>
      </c>
      <c r="AM84" s="100">
        <v>0.572234</v>
      </c>
      <c r="AN84" s="100">
        <v>0.612727</v>
      </c>
      <c r="AO84" s="98">
        <v>2380.351585499201</v>
      </c>
      <c r="AP84" s="158">
        <v>1.106167679</v>
      </c>
      <c r="AQ84" s="100">
        <v>0.1166077738515901</v>
      </c>
      <c r="AR84" s="100">
        <v>0.4852941176470588</v>
      </c>
      <c r="AS84" s="98">
        <v>252.33409033560434</v>
      </c>
      <c r="AT84" s="98">
        <v>504.6681806712087</v>
      </c>
      <c r="AU84" s="98">
        <v>100.93363613424174</v>
      </c>
      <c r="AV84" s="98">
        <v>681.3020439061318</v>
      </c>
      <c r="AW84" s="98">
        <v>571.9572714273698</v>
      </c>
      <c r="AX84" s="98">
        <v>487.8459079821684</v>
      </c>
      <c r="AY84" s="98">
        <v>1009.3363613424174</v>
      </c>
      <c r="AZ84" s="98">
        <v>538.3127260492893</v>
      </c>
      <c r="BA84" s="100" t="s">
        <v>726</v>
      </c>
      <c r="BB84" s="100" t="s">
        <v>726</v>
      </c>
      <c r="BC84" s="100" t="s">
        <v>726</v>
      </c>
      <c r="BD84" s="158">
        <v>0.981031723</v>
      </c>
      <c r="BE84" s="158">
        <v>1.242842407</v>
      </c>
      <c r="BF84" s="162">
        <v>1503</v>
      </c>
      <c r="BG84" s="162">
        <v>19</v>
      </c>
      <c r="BH84" s="162">
        <v>2899</v>
      </c>
      <c r="BI84" s="162">
        <v>1419</v>
      </c>
      <c r="BJ84" s="162">
        <v>550</v>
      </c>
      <c r="BK84" s="97"/>
      <c r="BL84" s="97"/>
      <c r="BM84" s="97"/>
      <c r="BN84" s="97"/>
    </row>
    <row r="85" spans="1:66" ht="12.75">
      <c r="A85" s="79" t="s">
        <v>671</v>
      </c>
      <c r="B85" s="79" t="s">
        <v>361</v>
      </c>
      <c r="C85" s="79" t="s">
        <v>580</v>
      </c>
      <c r="D85" s="99">
        <v>16849</v>
      </c>
      <c r="E85" s="99">
        <v>2931</v>
      </c>
      <c r="F85" s="99" t="s">
        <v>432</v>
      </c>
      <c r="G85" s="99">
        <v>79</v>
      </c>
      <c r="H85" s="99">
        <v>37</v>
      </c>
      <c r="I85" s="99">
        <v>286</v>
      </c>
      <c r="J85" s="99">
        <v>1299</v>
      </c>
      <c r="K85" s="99">
        <v>35</v>
      </c>
      <c r="L85" s="99">
        <v>3299</v>
      </c>
      <c r="M85" s="99">
        <v>889</v>
      </c>
      <c r="N85" s="99">
        <v>358</v>
      </c>
      <c r="O85" s="99">
        <v>279</v>
      </c>
      <c r="P85" s="159">
        <v>279</v>
      </c>
      <c r="Q85" s="99">
        <v>27</v>
      </c>
      <c r="R85" s="99">
        <v>74</v>
      </c>
      <c r="S85" s="99">
        <v>89</v>
      </c>
      <c r="T85" s="99">
        <v>48</v>
      </c>
      <c r="U85" s="99">
        <v>18</v>
      </c>
      <c r="V85" s="99">
        <v>25</v>
      </c>
      <c r="W85" s="99">
        <v>77</v>
      </c>
      <c r="X85" s="99">
        <v>82</v>
      </c>
      <c r="Y85" s="99">
        <v>156</v>
      </c>
      <c r="Z85" s="99">
        <v>73</v>
      </c>
      <c r="AA85" s="99" t="s">
        <v>726</v>
      </c>
      <c r="AB85" s="99" t="s">
        <v>726</v>
      </c>
      <c r="AC85" s="99" t="s">
        <v>726</v>
      </c>
      <c r="AD85" s="98" t="s">
        <v>411</v>
      </c>
      <c r="AE85" s="100">
        <v>0.17395691138939998</v>
      </c>
      <c r="AF85" s="100">
        <v>0.1</v>
      </c>
      <c r="AG85" s="98">
        <v>468.87055611609</v>
      </c>
      <c r="AH85" s="98">
        <v>219.59760223158645</v>
      </c>
      <c r="AI85" s="100">
        <v>0.017</v>
      </c>
      <c r="AJ85" s="100">
        <v>0.650802</v>
      </c>
      <c r="AK85" s="100">
        <v>0.673077</v>
      </c>
      <c r="AL85" s="100">
        <v>0.79341</v>
      </c>
      <c r="AM85" s="100">
        <v>0.550805</v>
      </c>
      <c r="AN85" s="100">
        <v>0.574639</v>
      </c>
      <c r="AO85" s="98">
        <v>1655.8846222327734</v>
      </c>
      <c r="AP85" s="158">
        <v>0.861207962</v>
      </c>
      <c r="AQ85" s="100">
        <v>0.0967741935483871</v>
      </c>
      <c r="AR85" s="100">
        <v>0.36486486486486486</v>
      </c>
      <c r="AS85" s="98">
        <v>528.2212594219242</v>
      </c>
      <c r="AT85" s="98">
        <v>284.883375868004</v>
      </c>
      <c r="AU85" s="98">
        <v>106.83126595050152</v>
      </c>
      <c r="AV85" s="98">
        <v>148.37675826458545</v>
      </c>
      <c r="AW85" s="98">
        <v>457.00041545492314</v>
      </c>
      <c r="AX85" s="98">
        <v>486.6757671078402</v>
      </c>
      <c r="AY85" s="98">
        <v>925.8709715710131</v>
      </c>
      <c r="AZ85" s="98">
        <v>433.2601341325895</v>
      </c>
      <c r="BA85" s="100" t="s">
        <v>726</v>
      </c>
      <c r="BB85" s="100" t="s">
        <v>726</v>
      </c>
      <c r="BC85" s="100" t="s">
        <v>726</v>
      </c>
      <c r="BD85" s="158">
        <v>0.7631084441999999</v>
      </c>
      <c r="BE85" s="158">
        <v>0.9684209441999999</v>
      </c>
      <c r="BF85" s="162">
        <v>1996</v>
      </c>
      <c r="BG85" s="162">
        <v>52</v>
      </c>
      <c r="BH85" s="162">
        <v>4158</v>
      </c>
      <c r="BI85" s="162">
        <v>1614</v>
      </c>
      <c r="BJ85" s="162">
        <v>623</v>
      </c>
      <c r="BK85" s="97"/>
      <c r="BL85" s="97"/>
      <c r="BM85" s="97"/>
      <c r="BN85" s="97"/>
    </row>
    <row r="86" spans="1:66" ht="12.75">
      <c r="A86" s="79" t="s">
        <v>711</v>
      </c>
      <c r="B86" s="79" t="s">
        <v>402</v>
      </c>
      <c r="C86" s="79" t="s">
        <v>580</v>
      </c>
      <c r="D86" s="99">
        <v>3209</v>
      </c>
      <c r="E86" s="99">
        <v>340</v>
      </c>
      <c r="F86" s="99" t="s">
        <v>434</v>
      </c>
      <c r="G86" s="99">
        <v>10</v>
      </c>
      <c r="H86" s="99" t="s">
        <v>726</v>
      </c>
      <c r="I86" s="99">
        <v>51</v>
      </c>
      <c r="J86" s="99">
        <v>213</v>
      </c>
      <c r="K86" s="99">
        <v>8</v>
      </c>
      <c r="L86" s="99">
        <v>689</v>
      </c>
      <c r="M86" s="99">
        <v>142</v>
      </c>
      <c r="N86" s="99">
        <v>63</v>
      </c>
      <c r="O86" s="99">
        <v>38</v>
      </c>
      <c r="P86" s="159">
        <v>38</v>
      </c>
      <c r="Q86" s="99" t="s">
        <v>726</v>
      </c>
      <c r="R86" s="99">
        <v>13</v>
      </c>
      <c r="S86" s="99">
        <v>7</v>
      </c>
      <c r="T86" s="99">
        <v>9</v>
      </c>
      <c r="U86" s="99" t="s">
        <v>726</v>
      </c>
      <c r="V86" s="99">
        <v>9</v>
      </c>
      <c r="W86" s="99">
        <v>20</v>
      </c>
      <c r="X86" s="99">
        <v>11</v>
      </c>
      <c r="Y86" s="99">
        <v>28</v>
      </c>
      <c r="Z86" s="99">
        <v>17</v>
      </c>
      <c r="AA86" s="99" t="s">
        <v>726</v>
      </c>
      <c r="AB86" s="99" t="s">
        <v>726</v>
      </c>
      <c r="AC86" s="99" t="s">
        <v>726</v>
      </c>
      <c r="AD86" s="98" t="s">
        <v>411</v>
      </c>
      <c r="AE86" s="100">
        <v>0.10595200997195388</v>
      </c>
      <c r="AF86" s="100">
        <v>0.06</v>
      </c>
      <c r="AG86" s="98">
        <v>311.6235587410408</v>
      </c>
      <c r="AH86" s="98" t="s">
        <v>726</v>
      </c>
      <c r="AI86" s="100">
        <v>0.016</v>
      </c>
      <c r="AJ86" s="100">
        <v>0.68932</v>
      </c>
      <c r="AK86" s="100">
        <v>0.533333</v>
      </c>
      <c r="AL86" s="100">
        <v>0.802095</v>
      </c>
      <c r="AM86" s="100">
        <v>0.522059</v>
      </c>
      <c r="AN86" s="100">
        <v>0.61165</v>
      </c>
      <c r="AO86" s="98">
        <v>1184.1695232159552</v>
      </c>
      <c r="AP86" s="158">
        <v>0.7400017548</v>
      </c>
      <c r="AQ86" s="100" t="s">
        <v>726</v>
      </c>
      <c r="AR86" s="100" t="s">
        <v>726</v>
      </c>
      <c r="AS86" s="98">
        <v>218.13649111872857</v>
      </c>
      <c r="AT86" s="98">
        <v>280.46120286693673</v>
      </c>
      <c r="AU86" s="98" t="s">
        <v>726</v>
      </c>
      <c r="AV86" s="98">
        <v>280.46120286693673</v>
      </c>
      <c r="AW86" s="98">
        <v>623.2471174820816</v>
      </c>
      <c r="AX86" s="98">
        <v>342.7859146151449</v>
      </c>
      <c r="AY86" s="98">
        <v>872.5459644749143</v>
      </c>
      <c r="AZ86" s="98">
        <v>529.7600498597694</v>
      </c>
      <c r="BA86" s="100" t="s">
        <v>726</v>
      </c>
      <c r="BB86" s="100" t="s">
        <v>726</v>
      </c>
      <c r="BC86" s="100" t="s">
        <v>726</v>
      </c>
      <c r="BD86" s="158">
        <v>0.523669281</v>
      </c>
      <c r="BE86" s="158">
        <v>1.0157102199999999</v>
      </c>
      <c r="BF86" s="162">
        <v>309</v>
      </c>
      <c r="BG86" s="162">
        <v>15</v>
      </c>
      <c r="BH86" s="162">
        <v>859</v>
      </c>
      <c r="BI86" s="162">
        <v>272</v>
      </c>
      <c r="BJ86" s="162">
        <v>103</v>
      </c>
      <c r="BK86" s="97"/>
      <c r="BL86" s="97"/>
      <c r="BM86" s="97"/>
      <c r="BN86" s="97"/>
    </row>
    <row r="87" spans="1:66" ht="12.75">
      <c r="A87" s="79" t="s">
        <v>718</v>
      </c>
      <c r="B87" s="79" t="s">
        <v>410</v>
      </c>
      <c r="C87" s="79" t="s">
        <v>580</v>
      </c>
      <c r="D87" s="99">
        <v>2680</v>
      </c>
      <c r="E87" s="99">
        <v>256</v>
      </c>
      <c r="F87" s="99" t="s">
        <v>431</v>
      </c>
      <c r="G87" s="99">
        <v>10</v>
      </c>
      <c r="H87" s="99">
        <v>25</v>
      </c>
      <c r="I87" s="99">
        <v>25</v>
      </c>
      <c r="J87" s="99">
        <v>106</v>
      </c>
      <c r="K87" s="99">
        <v>94</v>
      </c>
      <c r="L87" s="99">
        <v>563</v>
      </c>
      <c r="M87" s="99">
        <v>46</v>
      </c>
      <c r="N87" s="99">
        <v>18</v>
      </c>
      <c r="O87" s="99">
        <v>28</v>
      </c>
      <c r="P87" s="159">
        <v>28</v>
      </c>
      <c r="Q87" s="99" t="s">
        <v>726</v>
      </c>
      <c r="R87" s="99">
        <v>10</v>
      </c>
      <c r="S87" s="99">
        <v>11</v>
      </c>
      <c r="T87" s="99" t="s">
        <v>726</v>
      </c>
      <c r="U87" s="99" t="s">
        <v>726</v>
      </c>
      <c r="V87" s="99">
        <v>7</v>
      </c>
      <c r="W87" s="99">
        <v>7</v>
      </c>
      <c r="X87" s="99">
        <v>12</v>
      </c>
      <c r="Y87" s="99">
        <v>34</v>
      </c>
      <c r="Z87" s="99">
        <v>14</v>
      </c>
      <c r="AA87" s="99" t="s">
        <v>726</v>
      </c>
      <c r="AB87" s="99" t="s">
        <v>726</v>
      </c>
      <c r="AC87" s="99" t="s">
        <v>726</v>
      </c>
      <c r="AD87" s="98" t="s">
        <v>411</v>
      </c>
      <c r="AE87" s="100">
        <v>0.0955223880597015</v>
      </c>
      <c r="AF87" s="100">
        <v>0.17</v>
      </c>
      <c r="AG87" s="98">
        <v>373.13432835820896</v>
      </c>
      <c r="AH87" s="98">
        <v>932.8358208955224</v>
      </c>
      <c r="AI87" s="100">
        <v>0.009000000000000001</v>
      </c>
      <c r="AJ87" s="100">
        <v>0.549223</v>
      </c>
      <c r="AK87" s="100">
        <v>0.52514</v>
      </c>
      <c r="AL87" s="100">
        <v>0.704631</v>
      </c>
      <c r="AM87" s="100">
        <v>0.396552</v>
      </c>
      <c r="AN87" s="100">
        <v>0.4</v>
      </c>
      <c r="AO87" s="98">
        <v>1044.7761194029852</v>
      </c>
      <c r="AP87" s="158">
        <v>0.774341507</v>
      </c>
      <c r="AQ87" s="100" t="s">
        <v>726</v>
      </c>
      <c r="AR87" s="100" t="s">
        <v>726</v>
      </c>
      <c r="AS87" s="98">
        <v>410.44776119402985</v>
      </c>
      <c r="AT87" s="98" t="s">
        <v>726</v>
      </c>
      <c r="AU87" s="98" t="s">
        <v>726</v>
      </c>
      <c r="AV87" s="98">
        <v>261.1940298507463</v>
      </c>
      <c r="AW87" s="98">
        <v>261.1940298507463</v>
      </c>
      <c r="AX87" s="98">
        <v>447.76119402985074</v>
      </c>
      <c r="AY87" s="98">
        <v>1268.6567164179105</v>
      </c>
      <c r="AZ87" s="98">
        <v>522.3880597014926</v>
      </c>
      <c r="BA87" s="100" t="s">
        <v>726</v>
      </c>
      <c r="BB87" s="100" t="s">
        <v>726</v>
      </c>
      <c r="BC87" s="100" t="s">
        <v>726</v>
      </c>
      <c r="BD87" s="158">
        <v>0.5145442963</v>
      </c>
      <c r="BE87" s="158">
        <v>1.119139023</v>
      </c>
      <c r="BF87" s="162">
        <v>193</v>
      </c>
      <c r="BG87" s="162">
        <v>179</v>
      </c>
      <c r="BH87" s="162">
        <v>799</v>
      </c>
      <c r="BI87" s="162">
        <v>116</v>
      </c>
      <c r="BJ87" s="162">
        <v>45</v>
      </c>
      <c r="BK87" s="97"/>
      <c r="BL87" s="97"/>
      <c r="BM87" s="97"/>
      <c r="BN87" s="97"/>
    </row>
    <row r="88" spans="1:66" ht="12.75">
      <c r="A88" s="79" t="s">
        <v>624</v>
      </c>
      <c r="B88" s="79" t="s">
        <v>314</v>
      </c>
      <c r="C88" s="79" t="s">
        <v>580</v>
      </c>
      <c r="D88" s="99">
        <v>22367</v>
      </c>
      <c r="E88" s="99">
        <v>3126</v>
      </c>
      <c r="F88" s="99" t="s">
        <v>432</v>
      </c>
      <c r="G88" s="99">
        <v>93</v>
      </c>
      <c r="H88" s="99">
        <v>37</v>
      </c>
      <c r="I88" s="99">
        <v>433</v>
      </c>
      <c r="J88" s="99">
        <v>1728</v>
      </c>
      <c r="K88" s="99">
        <v>1659</v>
      </c>
      <c r="L88" s="99">
        <v>4279</v>
      </c>
      <c r="M88" s="99">
        <v>941</v>
      </c>
      <c r="N88" s="99">
        <v>357</v>
      </c>
      <c r="O88" s="99">
        <v>310</v>
      </c>
      <c r="P88" s="159">
        <v>310</v>
      </c>
      <c r="Q88" s="99">
        <v>42</v>
      </c>
      <c r="R88" s="99">
        <v>88</v>
      </c>
      <c r="S88" s="99">
        <v>71</v>
      </c>
      <c r="T88" s="99">
        <v>74</v>
      </c>
      <c r="U88" s="99">
        <v>14</v>
      </c>
      <c r="V88" s="99">
        <v>50</v>
      </c>
      <c r="W88" s="99">
        <v>127</v>
      </c>
      <c r="X88" s="99">
        <v>102</v>
      </c>
      <c r="Y88" s="99">
        <v>177</v>
      </c>
      <c r="Z88" s="99">
        <v>84</v>
      </c>
      <c r="AA88" s="99" t="s">
        <v>726</v>
      </c>
      <c r="AB88" s="99" t="s">
        <v>726</v>
      </c>
      <c r="AC88" s="99" t="s">
        <v>726</v>
      </c>
      <c r="AD88" s="98" t="s">
        <v>411</v>
      </c>
      <c r="AE88" s="100">
        <v>0.13975946707202574</v>
      </c>
      <c r="AF88" s="100">
        <v>0.12</v>
      </c>
      <c r="AG88" s="98">
        <v>415.7911208476774</v>
      </c>
      <c r="AH88" s="98">
        <v>165.4222738856351</v>
      </c>
      <c r="AI88" s="100">
        <v>0.019</v>
      </c>
      <c r="AJ88" s="100">
        <v>0.742587</v>
      </c>
      <c r="AK88" s="100">
        <v>0.737661</v>
      </c>
      <c r="AL88" s="100">
        <v>0.760846</v>
      </c>
      <c r="AM88" s="100">
        <v>0.51989</v>
      </c>
      <c r="AN88" s="100">
        <v>0.528889</v>
      </c>
      <c r="AO88" s="98">
        <v>1385.9704028255912</v>
      </c>
      <c r="AP88" s="158">
        <v>0.8054815674</v>
      </c>
      <c r="AQ88" s="100">
        <v>0.13548387096774195</v>
      </c>
      <c r="AR88" s="100">
        <v>0.4772727272727273</v>
      </c>
      <c r="AS88" s="98">
        <v>317.4319309697322</v>
      </c>
      <c r="AT88" s="98">
        <v>330.8445477712702</v>
      </c>
      <c r="AU88" s="98">
        <v>62.59221174051057</v>
      </c>
      <c r="AV88" s="98">
        <v>223.54361335896633</v>
      </c>
      <c r="AW88" s="98">
        <v>567.8007779317745</v>
      </c>
      <c r="AX88" s="98">
        <v>456.02897125229134</v>
      </c>
      <c r="AY88" s="98">
        <v>791.3443912907409</v>
      </c>
      <c r="AZ88" s="98">
        <v>375.55327044306347</v>
      </c>
      <c r="BA88" s="100" t="s">
        <v>726</v>
      </c>
      <c r="BB88" s="100" t="s">
        <v>726</v>
      </c>
      <c r="BC88" s="100" t="s">
        <v>726</v>
      </c>
      <c r="BD88" s="158">
        <v>0.7183023834</v>
      </c>
      <c r="BE88" s="158">
        <v>0.9003244780999999</v>
      </c>
      <c r="BF88" s="162">
        <v>2327</v>
      </c>
      <c r="BG88" s="162">
        <v>2249</v>
      </c>
      <c r="BH88" s="162">
        <v>5624</v>
      </c>
      <c r="BI88" s="162">
        <v>1810</v>
      </c>
      <c r="BJ88" s="162">
        <v>675</v>
      </c>
      <c r="BK88" s="97"/>
      <c r="BL88" s="97"/>
      <c r="BM88" s="97"/>
      <c r="BN88" s="97"/>
    </row>
    <row r="89" spans="1:66" ht="12.75">
      <c r="A89" s="79" t="s">
        <v>640</v>
      </c>
      <c r="B89" s="79" t="s">
        <v>330</v>
      </c>
      <c r="C89" s="79" t="s">
        <v>580</v>
      </c>
      <c r="D89" s="99">
        <v>14683</v>
      </c>
      <c r="E89" s="99">
        <v>1487</v>
      </c>
      <c r="F89" s="99" t="s">
        <v>434</v>
      </c>
      <c r="G89" s="99">
        <v>43</v>
      </c>
      <c r="H89" s="99">
        <v>20</v>
      </c>
      <c r="I89" s="99">
        <v>180</v>
      </c>
      <c r="J89" s="99">
        <v>717</v>
      </c>
      <c r="K89" s="99">
        <v>9</v>
      </c>
      <c r="L89" s="99">
        <v>1677</v>
      </c>
      <c r="M89" s="99">
        <v>547</v>
      </c>
      <c r="N89" s="99">
        <v>197</v>
      </c>
      <c r="O89" s="99">
        <v>204</v>
      </c>
      <c r="P89" s="159">
        <v>204</v>
      </c>
      <c r="Q89" s="99">
        <v>18</v>
      </c>
      <c r="R89" s="99">
        <v>31</v>
      </c>
      <c r="S89" s="99">
        <v>36</v>
      </c>
      <c r="T89" s="99">
        <v>27</v>
      </c>
      <c r="U89" s="99">
        <v>13</v>
      </c>
      <c r="V89" s="99">
        <v>60</v>
      </c>
      <c r="W89" s="99">
        <v>47</v>
      </c>
      <c r="X89" s="99">
        <v>31</v>
      </c>
      <c r="Y89" s="99">
        <v>92</v>
      </c>
      <c r="Z89" s="99">
        <v>26</v>
      </c>
      <c r="AA89" s="99" t="s">
        <v>726</v>
      </c>
      <c r="AB89" s="99" t="s">
        <v>726</v>
      </c>
      <c r="AC89" s="99" t="s">
        <v>726</v>
      </c>
      <c r="AD89" s="98" t="s">
        <v>411</v>
      </c>
      <c r="AE89" s="100">
        <v>0.10127358169311448</v>
      </c>
      <c r="AF89" s="100">
        <v>0.07</v>
      </c>
      <c r="AG89" s="98">
        <v>292.855683443438</v>
      </c>
      <c r="AH89" s="98">
        <v>136.2119457876456</v>
      </c>
      <c r="AI89" s="100">
        <v>0.012</v>
      </c>
      <c r="AJ89" s="100">
        <v>0.697471</v>
      </c>
      <c r="AK89" s="100">
        <v>0.6</v>
      </c>
      <c r="AL89" s="100">
        <v>0.719125</v>
      </c>
      <c r="AM89" s="100">
        <v>0.607103</v>
      </c>
      <c r="AN89" s="100">
        <v>0.63754</v>
      </c>
      <c r="AO89" s="98">
        <v>1389.361847033985</v>
      </c>
      <c r="AP89" s="158">
        <v>1.066694183</v>
      </c>
      <c r="AQ89" s="100">
        <v>0.08823529411764706</v>
      </c>
      <c r="AR89" s="100">
        <v>0.5806451612903226</v>
      </c>
      <c r="AS89" s="98">
        <v>245.18150241776203</v>
      </c>
      <c r="AT89" s="98">
        <v>183.88612681332154</v>
      </c>
      <c r="AU89" s="98">
        <v>88.53776476196963</v>
      </c>
      <c r="AV89" s="98">
        <v>408.63583736293674</v>
      </c>
      <c r="AW89" s="98">
        <v>320.0980726009671</v>
      </c>
      <c r="AX89" s="98">
        <v>211.12851597085066</v>
      </c>
      <c r="AY89" s="98">
        <v>626.5749506231697</v>
      </c>
      <c r="AZ89" s="98">
        <v>177.07552952393925</v>
      </c>
      <c r="BA89" s="100" t="s">
        <v>726</v>
      </c>
      <c r="BB89" s="100" t="s">
        <v>726</v>
      </c>
      <c r="BC89" s="100" t="s">
        <v>726</v>
      </c>
      <c r="BD89" s="158">
        <v>0.9253308868000001</v>
      </c>
      <c r="BE89" s="158">
        <v>1.223546524</v>
      </c>
      <c r="BF89" s="162">
        <v>1028</v>
      </c>
      <c r="BG89" s="162">
        <v>15</v>
      </c>
      <c r="BH89" s="162">
        <v>2332</v>
      </c>
      <c r="BI89" s="162">
        <v>901</v>
      </c>
      <c r="BJ89" s="162">
        <v>309</v>
      </c>
      <c r="BK89" s="97"/>
      <c r="BL89" s="97"/>
      <c r="BM89" s="97"/>
      <c r="BN89" s="97"/>
    </row>
    <row r="90" spans="1:66" ht="12.75">
      <c r="A90" s="79" t="s">
        <v>732</v>
      </c>
      <c r="B90" s="79" t="s">
        <v>312</v>
      </c>
      <c r="C90" s="79" t="s">
        <v>580</v>
      </c>
      <c r="D90" s="99">
        <v>8098</v>
      </c>
      <c r="E90" s="99">
        <v>1342</v>
      </c>
      <c r="F90" s="99" t="s">
        <v>434</v>
      </c>
      <c r="G90" s="99">
        <v>32</v>
      </c>
      <c r="H90" s="99">
        <v>21</v>
      </c>
      <c r="I90" s="99">
        <v>170</v>
      </c>
      <c r="J90" s="99">
        <v>847</v>
      </c>
      <c r="K90" s="99">
        <v>816</v>
      </c>
      <c r="L90" s="99">
        <v>1624</v>
      </c>
      <c r="M90" s="99">
        <v>576</v>
      </c>
      <c r="N90" s="99">
        <v>235</v>
      </c>
      <c r="O90" s="99">
        <v>116</v>
      </c>
      <c r="P90" s="159">
        <v>116</v>
      </c>
      <c r="Q90" s="99">
        <v>16</v>
      </c>
      <c r="R90" s="99">
        <v>38</v>
      </c>
      <c r="S90" s="99">
        <v>11</v>
      </c>
      <c r="T90" s="99">
        <v>10</v>
      </c>
      <c r="U90" s="99">
        <v>8</v>
      </c>
      <c r="V90" s="99">
        <v>41</v>
      </c>
      <c r="W90" s="99">
        <v>39</v>
      </c>
      <c r="X90" s="99">
        <v>30</v>
      </c>
      <c r="Y90" s="99">
        <v>70</v>
      </c>
      <c r="Z90" s="99">
        <v>51</v>
      </c>
      <c r="AA90" s="99" t="s">
        <v>726</v>
      </c>
      <c r="AB90" s="99" t="s">
        <v>726</v>
      </c>
      <c r="AC90" s="99" t="s">
        <v>726</v>
      </c>
      <c r="AD90" s="98" t="s">
        <v>411</v>
      </c>
      <c r="AE90" s="100">
        <v>0.16571993084712275</v>
      </c>
      <c r="AF90" s="100">
        <v>0.06</v>
      </c>
      <c r="AG90" s="98">
        <v>395.159298592245</v>
      </c>
      <c r="AH90" s="98">
        <v>259.3232897011608</v>
      </c>
      <c r="AI90" s="100">
        <v>0.021</v>
      </c>
      <c r="AJ90" s="100">
        <v>0.77</v>
      </c>
      <c r="AK90" s="100">
        <v>0.76333</v>
      </c>
      <c r="AL90" s="100">
        <v>0.808362</v>
      </c>
      <c r="AM90" s="100">
        <v>0.536313</v>
      </c>
      <c r="AN90" s="100">
        <v>0.596447</v>
      </c>
      <c r="AO90" s="98">
        <v>1432.4524573968881</v>
      </c>
      <c r="AP90" s="158">
        <v>0.7403438568</v>
      </c>
      <c r="AQ90" s="100">
        <v>0.13793103448275862</v>
      </c>
      <c r="AR90" s="100">
        <v>0.42105263157894735</v>
      </c>
      <c r="AS90" s="98">
        <v>135.83600889108422</v>
      </c>
      <c r="AT90" s="98">
        <v>123.48728081007656</v>
      </c>
      <c r="AU90" s="98">
        <v>98.78982464806126</v>
      </c>
      <c r="AV90" s="98">
        <v>506.2978513213139</v>
      </c>
      <c r="AW90" s="98">
        <v>481.6003951592986</v>
      </c>
      <c r="AX90" s="98">
        <v>370.4618424302297</v>
      </c>
      <c r="AY90" s="98">
        <v>864.4109656705359</v>
      </c>
      <c r="AZ90" s="98">
        <v>629.7851321313905</v>
      </c>
      <c r="BA90" s="100" t="s">
        <v>726</v>
      </c>
      <c r="BB90" s="100" t="s">
        <v>726</v>
      </c>
      <c r="BC90" s="100" t="s">
        <v>726</v>
      </c>
      <c r="BD90" s="158">
        <v>0.6117604446</v>
      </c>
      <c r="BE90" s="158">
        <v>0.8879718781</v>
      </c>
      <c r="BF90" s="162">
        <v>1100</v>
      </c>
      <c r="BG90" s="162">
        <v>1069</v>
      </c>
      <c r="BH90" s="162">
        <v>2009</v>
      </c>
      <c r="BI90" s="162">
        <v>1074</v>
      </c>
      <c r="BJ90" s="162">
        <v>394</v>
      </c>
      <c r="BK90" s="97"/>
      <c r="BL90" s="97"/>
      <c r="BM90" s="97"/>
      <c r="BN90" s="97"/>
    </row>
    <row r="91" spans="1:66" ht="12.75">
      <c r="A91" s="79" t="s">
        <v>656</v>
      </c>
      <c r="B91" s="79" t="s">
        <v>346</v>
      </c>
      <c r="C91" s="79" t="s">
        <v>580</v>
      </c>
      <c r="D91" s="99">
        <v>12042</v>
      </c>
      <c r="E91" s="99">
        <v>2034</v>
      </c>
      <c r="F91" s="99" t="s">
        <v>432</v>
      </c>
      <c r="G91" s="99">
        <v>45</v>
      </c>
      <c r="H91" s="99">
        <v>26</v>
      </c>
      <c r="I91" s="99">
        <v>131</v>
      </c>
      <c r="J91" s="99">
        <v>1029</v>
      </c>
      <c r="K91" s="99">
        <v>1007</v>
      </c>
      <c r="L91" s="99">
        <v>2666</v>
      </c>
      <c r="M91" s="99">
        <v>696</v>
      </c>
      <c r="N91" s="99">
        <v>270</v>
      </c>
      <c r="O91" s="99">
        <v>194</v>
      </c>
      <c r="P91" s="159">
        <v>194</v>
      </c>
      <c r="Q91" s="99">
        <v>26</v>
      </c>
      <c r="R91" s="99">
        <v>54</v>
      </c>
      <c r="S91" s="99">
        <v>49</v>
      </c>
      <c r="T91" s="99">
        <v>41</v>
      </c>
      <c r="U91" s="99" t="s">
        <v>726</v>
      </c>
      <c r="V91" s="99">
        <v>33</v>
      </c>
      <c r="W91" s="99">
        <v>72</v>
      </c>
      <c r="X91" s="99">
        <v>40</v>
      </c>
      <c r="Y91" s="99">
        <v>121</v>
      </c>
      <c r="Z91" s="99">
        <v>66</v>
      </c>
      <c r="AA91" s="99" t="s">
        <v>726</v>
      </c>
      <c r="AB91" s="99" t="s">
        <v>726</v>
      </c>
      <c r="AC91" s="99" t="s">
        <v>726</v>
      </c>
      <c r="AD91" s="98" t="s">
        <v>411</v>
      </c>
      <c r="AE91" s="100">
        <v>0.16890881913303438</v>
      </c>
      <c r="AF91" s="100">
        <v>0.09</v>
      </c>
      <c r="AG91" s="98">
        <v>373.69207772795215</v>
      </c>
      <c r="AH91" s="98">
        <v>215.9109782428168</v>
      </c>
      <c r="AI91" s="100">
        <v>0.011000000000000001</v>
      </c>
      <c r="AJ91" s="100">
        <v>0.765056</v>
      </c>
      <c r="AK91" s="100">
        <v>0.775212</v>
      </c>
      <c r="AL91" s="100">
        <v>0.85312</v>
      </c>
      <c r="AM91" s="100">
        <v>0.575207</v>
      </c>
      <c r="AN91" s="100">
        <v>0.59867</v>
      </c>
      <c r="AO91" s="98">
        <v>1611.0280684271715</v>
      </c>
      <c r="AP91" s="158">
        <v>0.8541116333</v>
      </c>
      <c r="AQ91" s="100">
        <v>0.13402061855670103</v>
      </c>
      <c r="AR91" s="100">
        <v>0.48148148148148145</v>
      </c>
      <c r="AS91" s="98">
        <v>406.90915130377016</v>
      </c>
      <c r="AT91" s="98">
        <v>340.4750041521342</v>
      </c>
      <c r="AU91" s="98" t="s">
        <v>726</v>
      </c>
      <c r="AV91" s="98">
        <v>274.04085700049825</v>
      </c>
      <c r="AW91" s="98">
        <v>597.9073243647234</v>
      </c>
      <c r="AX91" s="98">
        <v>332.1707357581797</v>
      </c>
      <c r="AY91" s="98">
        <v>1004.8164756684936</v>
      </c>
      <c r="AZ91" s="98">
        <v>548.0817140009965</v>
      </c>
      <c r="BA91" s="100" t="s">
        <v>726</v>
      </c>
      <c r="BB91" s="100" t="s">
        <v>726</v>
      </c>
      <c r="BC91" s="100" t="s">
        <v>726</v>
      </c>
      <c r="BD91" s="158">
        <v>0.7381462097000001</v>
      </c>
      <c r="BE91" s="158">
        <v>0.9831261444</v>
      </c>
      <c r="BF91" s="162">
        <v>1345</v>
      </c>
      <c r="BG91" s="162">
        <v>1299</v>
      </c>
      <c r="BH91" s="162">
        <v>3125</v>
      </c>
      <c r="BI91" s="162">
        <v>1210</v>
      </c>
      <c r="BJ91" s="162">
        <v>451</v>
      </c>
      <c r="BK91" s="97"/>
      <c r="BL91" s="97"/>
      <c r="BM91" s="97"/>
      <c r="BN91" s="97"/>
    </row>
    <row r="92" spans="1:66" ht="12.75">
      <c r="A92" s="79" t="s">
        <v>596</v>
      </c>
      <c r="B92" s="79" t="s">
        <v>283</v>
      </c>
      <c r="C92" s="79" t="s">
        <v>580</v>
      </c>
      <c r="D92" s="99">
        <v>17448</v>
      </c>
      <c r="E92" s="99">
        <v>2737</v>
      </c>
      <c r="F92" s="99" t="s">
        <v>434</v>
      </c>
      <c r="G92" s="99">
        <v>72</v>
      </c>
      <c r="H92" s="99">
        <v>31</v>
      </c>
      <c r="I92" s="99">
        <v>242</v>
      </c>
      <c r="J92" s="99">
        <v>1793</v>
      </c>
      <c r="K92" s="99">
        <v>1199</v>
      </c>
      <c r="L92" s="99">
        <v>3653</v>
      </c>
      <c r="M92" s="99">
        <v>1097</v>
      </c>
      <c r="N92" s="99">
        <v>496</v>
      </c>
      <c r="O92" s="99">
        <v>271</v>
      </c>
      <c r="P92" s="159">
        <v>271</v>
      </c>
      <c r="Q92" s="99">
        <v>32</v>
      </c>
      <c r="R92" s="99">
        <v>67</v>
      </c>
      <c r="S92" s="99">
        <v>34</v>
      </c>
      <c r="T92" s="99">
        <v>47</v>
      </c>
      <c r="U92" s="99">
        <v>9</v>
      </c>
      <c r="V92" s="99">
        <v>50</v>
      </c>
      <c r="W92" s="99">
        <v>112</v>
      </c>
      <c r="X92" s="99">
        <v>74</v>
      </c>
      <c r="Y92" s="99">
        <v>148</v>
      </c>
      <c r="Z92" s="99">
        <v>64</v>
      </c>
      <c r="AA92" s="99" t="s">
        <v>726</v>
      </c>
      <c r="AB92" s="99" t="s">
        <v>726</v>
      </c>
      <c r="AC92" s="99" t="s">
        <v>726</v>
      </c>
      <c r="AD92" s="98" t="s">
        <v>411</v>
      </c>
      <c r="AE92" s="100">
        <v>0.1568661164603393</v>
      </c>
      <c r="AF92" s="100">
        <v>0.05</v>
      </c>
      <c r="AG92" s="98">
        <v>412.6547455295736</v>
      </c>
      <c r="AH92" s="98">
        <v>177.67079321412197</v>
      </c>
      <c r="AI92" s="100">
        <v>0.013999999999999999</v>
      </c>
      <c r="AJ92" s="100">
        <v>0.800446</v>
      </c>
      <c r="AK92" s="100">
        <v>0.775048</v>
      </c>
      <c r="AL92" s="100">
        <v>0.802857</v>
      </c>
      <c r="AM92" s="100">
        <v>0.546043</v>
      </c>
      <c r="AN92" s="100">
        <v>0.599758</v>
      </c>
      <c r="AO92" s="98">
        <v>1553.186611646034</v>
      </c>
      <c r="AP92" s="158">
        <v>0.8263117981000001</v>
      </c>
      <c r="AQ92" s="100">
        <v>0.11808118081180811</v>
      </c>
      <c r="AR92" s="100">
        <v>0.47761194029850745</v>
      </c>
      <c r="AS92" s="98">
        <v>194.86474094452086</v>
      </c>
      <c r="AT92" s="98">
        <v>269.3718477762494</v>
      </c>
      <c r="AU92" s="98">
        <v>51.5818431911967</v>
      </c>
      <c r="AV92" s="98">
        <v>286.5657955066483</v>
      </c>
      <c r="AW92" s="98">
        <v>641.9073819348922</v>
      </c>
      <c r="AX92" s="98">
        <v>424.1173773498395</v>
      </c>
      <c r="AY92" s="98">
        <v>848.234754699679</v>
      </c>
      <c r="AZ92" s="98">
        <v>366.80421824850987</v>
      </c>
      <c r="BA92" s="100" t="s">
        <v>726</v>
      </c>
      <c r="BB92" s="100" t="s">
        <v>726</v>
      </c>
      <c r="BC92" s="100" t="s">
        <v>726</v>
      </c>
      <c r="BD92" s="158">
        <v>0.7308507538000001</v>
      </c>
      <c r="BE92" s="158">
        <v>0.9307778931</v>
      </c>
      <c r="BF92" s="162">
        <v>2240</v>
      </c>
      <c r="BG92" s="162">
        <v>1547</v>
      </c>
      <c r="BH92" s="162">
        <v>4550</v>
      </c>
      <c r="BI92" s="162">
        <v>2009</v>
      </c>
      <c r="BJ92" s="162">
        <v>827</v>
      </c>
      <c r="BK92" s="97"/>
      <c r="BL92" s="97"/>
      <c r="BM92" s="97"/>
      <c r="BN92" s="97"/>
    </row>
    <row r="93" spans="1:66" ht="12.75">
      <c r="A93" s="79" t="s">
        <v>696</v>
      </c>
      <c r="B93" s="79" t="s">
        <v>387</v>
      </c>
      <c r="C93" s="79" t="s">
        <v>580</v>
      </c>
      <c r="D93" s="99">
        <v>6003</v>
      </c>
      <c r="E93" s="99">
        <v>976</v>
      </c>
      <c r="F93" s="99" t="s">
        <v>434</v>
      </c>
      <c r="G93" s="99">
        <v>22</v>
      </c>
      <c r="H93" s="99">
        <v>20</v>
      </c>
      <c r="I93" s="99">
        <v>116</v>
      </c>
      <c r="J93" s="99">
        <v>600</v>
      </c>
      <c r="K93" s="99">
        <v>486</v>
      </c>
      <c r="L93" s="99">
        <v>1262</v>
      </c>
      <c r="M93" s="99">
        <v>337</v>
      </c>
      <c r="N93" s="99">
        <v>129</v>
      </c>
      <c r="O93" s="99">
        <v>151</v>
      </c>
      <c r="P93" s="159">
        <v>151</v>
      </c>
      <c r="Q93" s="99">
        <v>10</v>
      </c>
      <c r="R93" s="99">
        <v>25</v>
      </c>
      <c r="S93" s="99">
        <v>29</v>
      </c>
      <c r="T93" s="99">
        <v>13</v>
      </c>
      <c r="U93" s="99" t="s">
        <v>726</v>
      </c>
      <c r="V93" s="99">
        <v>47</v>
      </c>
      <c r="W93" s="99">
        <v>45</v>
      </c>
      <c r="X93" s="99">
        <v>10</v>
      </c>
      <c r="Y93" s="99">
        <v>63</v>
      </c>
      <c r="Z93" s="99">
        <v>35</v>
      </c>
      <c r="AA93" s="99" t="s">
        <v>726</v>
      </c>
      <c r="AB93" s="99" t="s">
        <v>726</v>
      </c>
      <c r="AC93" s="99" t="s">
        <v>726</v>
      </c>
      <c r="AD93" s="98" t="s">
        <v>411</v>
      </c>
      <c r="AE93" s="100">
        <v>0.16258537397967682</v>
      </c>
      <c r="AF93" s="100">
        <v>0.07</v>
      </c>
      <c r="AG93" s="98">
        <v>366.48342495418956</v>
      </c>
      <c r="AH93" s="98">
        <v>333.16674995835416</v>
      </c>
      <c r="AI93" s="100">
        <v>0.019</v>
      </c>
      <c r="AJ93" s="100">
        <v>0.794702</v>
      </c>
      <c r="AK93" s="100">
        <v>0.832192</v>
      </c>
      <c r="AL93" s="100">
        <v>0.829717</v>
      </c>
      <c r="AM93" s="100">
        <v>0.540931</v>
      </c>
      <c r="AN93" s="100">
        <v>0.581081</v>
      </c>
      <c r="AO93" s="98">
        <v>2515.4089621855737</v>
      </c>
      <c r="AP93" s="158">
        <v>1.345571594</v>
      </c>
      <c r="AQ93" s="100">
        <v>0.06622516556291391</v>
      </c>
      <c r="AR93" s="100">
        <v>0.4</v>
      </c>
      <c r="AS93" s="98">
        <v>483.09178743961354</v>
      </c>
      <c r="AT93" s="98">
        <v>216.5583874729302</v>
      </c>
      <c r="AU93" s="98" t="s">
        <v>726</v>
      </c>
      <c r="AV93" s="98">
        <v>782.9418624021323</v>
      </c>
      <c r="AW93" s="98">
        <v>749.6251874062968</v>
      </c>
      <c r="AX93" s="98">
        <v>166.58337497917708</v>
      </c>
      <c r="AY93" s="98">
        <v>1049.4752623688155</v>
      </c>
      <c r="AZ93" s="98">
        <v>583.0418124271198</v>
      </c>
      <c r="BA93" s="100" t="s">
        <v>726</v>
      </c>
      <c r="BB93" s="100" t="s">
        <v>726</v>
      </c>
      <c r="BC93" s="100" t="s">
        <v>726</v>
      </c>
      <c r="BD93" s="158">
        <v>1.139514084</v>
      </c>
      <c r="BE93" s="158">
        <v>1.5781222529999999</v>
      </c>
      <c r="BF93" s="162">
        <v>755</v>
      </c>
      <c r="BG93" s="162">
        <v>584</v>
      </c>
      <c r="BH93" s="162">
        <v>1521</v>
      </c>
      <c r="BI93" s="162">
        <v>623</v>
      </c>
      <c r="BJ93" s="162">
        <v>222</v>
      </c>
      <c r="BK93" s="97"/>
      <c r="BL93" s="97"/>
      <c r="BM93" s="97"/>
      <c r="BN93" s="97"/>
    </row>
    <row r="94" spans="1:66" ht="12.75">
      <c r="A94" s="79" t="s">
        <v>627</v>
      </c>
      <c r="B94" s="79" t="s">
        <v>317</v>
      </c>
      <c r="C94" s="79" t="s">
        <v>580</v>
      </c>
      <c r="D94" s="99">
        <v>12549</v>
      </c>
      <c r="E94" s="99">
        <v>2162</v>
      </c>
      <c r="F94" s="99" t="s">
        <v>432</v>
      </c>
      <c r="G94" s="99">
        <v>56</v>
      </c>
      <c r="H94" s="99">
        <v>22</v>
      </c>
      <c r="I94" s="99">
        <v>256</v>
      </c>
      <c r="J94" s="99">
        <v>1012</v>
      </c>
      <c r="K94" s="99">
        <v>41</v>
      </c>
      <c r="L94" s="99">
        <v>2316</v>
      </c>
      <c r="M94" s="99">
        <v>645</v>
      </c>
      <c r="N94" s="99">
        <v>274</v>
      </c>
      <c r="O94" s="99">
        <v>212</v>
      </c>
      <c r="P94" s="159">
        <v>212</v>
      </c>
      <c r="Q94" s="99">
        <v>13</v>
      </c>
      <c r="R94" s="99">
        <v>29</v>
      </c>
      <c r="S94" s="99">
        <v>40</v>
      </c>
      <c r="T94" s="99">
        <v>45</v>
      </c>
      <c r="U94" s="99">
        <v>9</v>
      </c>
      <c r="V94" s="99">
        <v>55</v>
      </c>
      <c r="W94" s="99">
        <v>57</v>
      </c>
      <c r="X94" s="99">
        <v>57</v>
      </c>
      <c r="Y94" s="99">
        <v>106</v>
      </c>
      <c r="Z94" s="99">
        <v>49</v>
      </c>
      <c r="AA94" s="99" t="s">
        <v>726</v>
      </c>
      <c r="AB94" s="99" t="s">
        <v>726</v>
      </c>
      <c r="AC94" s="99" t="s">
        <v>726</v>
      </c>
      <c r="AD94" s="98" t="s">
        <v>411</v>
      </c>
      <c r="AE94" s="100">
        <v>0.17228464419475656</v>
      </c>
      <c r="AF94" s="100">
        <v>0.09</v>
      </c>
      <c r="AG94" s="98">
        <v>446.2506972667145</v>
      </c>
      <c r="AH94" s="98">
        <v>175.31277392620925</v>
      </c>
      <c r="AI94" s="100">
        <v>0.02</v>
      </c>
      <c r="AJ94" s="100">
        <v>0.657143</v>
      </c>
      <c r="AK94" s="100">
        <v>0.493976</v>
      </c>
      <c r="AL94" s="100">
        <v>0.715698</v>
      </c>
      <c r="AM94" s="100">
        <v>0.470803</v>
      </c>
      <c r="AN94" s="100">
        <v>0.515038</v>
      </c>
      <c r="AO94" s="98">
        <v>1689.377639652562</v>
      </c>
      <c r="AP94" s="158">
        <v>0.8825464630000001</v>
      </c>
      <c r="AQ94" s="100">
        <v>0.06132075471698113</v>
      </c>
      <c r="AR94" s="100">
        <v>0.4482758620689655</v>
      </c>
      <c r="AS94" s="98">
        <v>318.7504980476532</v>
      </c>
      <c r="AT94" s="98">
        <v>358.59431030360986</v>
      </c>
      <c r="AU94" s="98">
        <v>71.71886206072197</v>
      </c>
      <c r="AV94" s="98">
        <v>438.28193481552313</v>
      </c>
      <c r="AW94" s="98">
        <v>454.2194597179058</v>
      </c>
      <c r="AX94" s="98">
        <v>454.2194597179058</v>
      </c>
      <c r="AY94" s="98">
        <v>844.688819826281</v>
      </c>
      <c r="AZ94" s="98">
        <v>390.46936010837516</v>
      </c>
      <c r="BA94" s="100" t="s">
        <v>726</v>
      </c>
      <c r="BB94" s="100" t="s">
        <v>726</v>
      </c>
      <c r="BC94" s="100" t="s">
        <v>726</v>
      </c>
      <c r="BD94" s="158">
        <v>0.7677368164</v>
      </c>
      <c r="BE94" s="158">
        <v>1.009682236</v>
      </c>
      <c r="BF94" s="162">
        <v>1540</v>
      </c>
      <c r="BG94" s="162">
        <v>83</v>
      </c>
      <c r="BH94" s="162">
        <v>3236</v>
      </c>
      <c r="BI94" s="162">
        <v>1370</v>
      </c>
      <c r="BJ94" s="162">
        <v>532</v>
      </c>
      <c r="BK94" s="97"/>
      <c r="BL94" s="97"/>
      <c r="BM94" s="97"/>
      <c r="BN94" s="97"/>
    </row>
    <row r="95" spans="1:66" ht="12.75">
      <c r="A95" s="79" t="s">
        <v>675</v>
      </c>
      <c r="B95" s="79" t="s">
        <v>366</v>
      </c>
      <c r="C95" s="79" t="s">
        <v>580</v>
      </c>
      <c r="D95" s="99">
        <v>9675</v>
      </c>
      <c r="E95" s="99">
        <v>1572</v>
      </c>
      <c r="F95" s="99" t="s">
        <v>432</v>
      </c>
      <c r="G95" s="99">
        <v>31</v>
      </c>
      <c r="H95" s="99">
        <v>13</v>
      </c>
      <c r="I95" s="99">
        <v>162</v>
      </c>
      <c r="J95" s="99">
        <v>898</v>
      </c>
      <c r="K95" s="99">
        <v>789</v>
      </c>
      <c r="L95" s="99">
        <v>1929</v>
      </c>
      <c r="M95" s="99">
        <v>561</v>
      </c>
      <c r="N95" s="99">
        <v>227</v>
      </c>
      <c r="O95" s="99">
        <v>242</v>
      </c>
      <c r="P95" s="159">
        <v>242</v>
      </c>
      <c r="Q95" s="99">
        <v>12</v>
      </c>
      <c r="R95" s="99">
        <v>41</v>
      </c>
      <c r="S95" s="99">
        <v>55</v>
      </c>
      <c r="T95" s="99">
        <v>29</v>
      </c>
      <c r="U95" s="99">
        <v>12</v>
      </c>
      <c r="V95" s="99">
        <v>41</v>
      </c>
      <c r="W95" s="99">
        <v>62</v>
      </c>
      <c r="X95" s="99">
        <v>50</v>
      </c>
      <c r="Y95" s="99">
        <v>125</v>
      </c>
      <c r="Z95" s="99">
        <v>41</v>
      </c>
      <c r="AA95" s="99" t="s">
        <v>726</v>
      </c>
      <c r="AB95" s="99" t="s">
        <v>726</v>
      </c>
      <c r="AC95" s="99" t="s">
        <v>726</v>
      </c>
      <c r="AD95" s="98" t="s">
        <v>411</v>
      </c>
      <c r="AE95" s="100">
        <v>0.16248062015503875</v>
      </c>
      <c r="AF95" s="100">
        <v>0.09</v>
      </c>
      <c r="AG95" s="98">
        <v>320.4134366925065</v>
      </c>
      <c r="AH95" s="98">
        <v>134.36692506459949</v>
      </c>
      <c r="AI95" s="100">
        <v>0.017</v>
      </c>
      <c r="AJ95" s="100">
        <v>0.752724</v>
      </c>
      <c r="AK95" s="100">
        <v>0.735322</v>
      </c>
      <c r="AL95" s="100">
        <v>0.787026</v>
      </c>
      <c r="AM95" s="100">
        <v>0.539942</v>
      </c>
      <c r="AN95" s="100">
        <v>0.573232</v>
      </c>
      <c r="AO95" s="98">
        <v>2501.291989664083</v>
      </c>
      <c r="AP95" s="158">
        <v>1.327111511</v>
      </c>
      <c r="AQ95" s="100">
        <v>0.049586776859504134</v>
      </c>
      <c r="AR95" s="100">
        <v>0.2926829268292683</v>
      </c>
      <c r="AS95" s="98">
        <v>568.4754521963824</v>
      </c>
      <c r="AT95" s="98">
        <v>299.74160206718346</v>
      </c>
      <c r="AU95" s="98">
        <v>124.03100775193798</v>
      </c>
      <c r="AV95" s="98">
        <v>423.77260981912144</v>
      </c>
      <c r="AW95" s="98">
        <v>640.826873385013</v>
      </c>
      <c r="AX95" s="98">
        <v>516.795865633075</v>
      </c>
      <c r="AY95" s="98">
        <v>1291.9896640826873</v>
      </c>
      <c r="AZ95" s="98">
        <v>423.77260981912144</v>
      </c>
      <c r="BA95" s="100" t="s">
        <v>726</v>
      </c>
      <c r="BB95" s="100" t="s">
        <v>726</v>
      </c>
      <c r="BC95" s="100" t="s">
        <v>726</v>
      </c>
      <c r="BD95" s="158">
        <v>1.165160141</v>
      </c>
      <c r="BE95" s="158">
        <v>1.5052771</v>
      </c>
      <c r="BF95" s="162">
        <v>1193</v>
      </c>
      <c r="BG95" s="162">
        <v>1073</v>
      </c>
      <c r="BH95" s="162">
        <v>2451</v>
      </c>
      <c r="BI95" s="162">
        <v>1039</v>
      </c>
      <c r="BJ95" s="162">
        <v>396</v>
      </c>
      <c r="BK95" s="97"/>
      <c r="BL95" s="97"/>
      <c r="BM95" s="97"/>
      <c r="BN95" s="97"/>
    </row>
    <row r="96" spans="1:66" ht="12.75">
      <c r="A96" s="79" t="s">
        <v>638</v>
      </c>
      <c r="B96" s="79" t="s">
        <v>328</v>
      </c>
      <c r="C96" s="79" t="s">
        <v>580</v>
      </c>
      <c r="D96" s="99">
        <v>7904</v>
      </c>
      <c r="E96" s="99">
        <v>1350</v>
      </c>
      <c r="F96" s="99" t="s">
        <v>433</v>
      </c>
      <c r="G96" s="99">
        <v>37</v>
      </c>
      <c r="H96" s="99">
        <v>19</v>
      </c>
      <c r="I96" s="99">
        <v>113</v>
      </c>
      <c r="J96" s="99">
        <v>600</v>
      </c>
      <c r="K96" s="99">
        <v>6</v>
      </c>
      <c r="L96" s="99">
        <v>1483</v>
      </c>
      <c r="M96" s="99">
        <v>336</v>
      </c>
      <c r="N96" s="99">
        <v>133</v>
      </c>
      <c r="O96" s="99">
        <v>87</v>
      </c>
      <c r="P96" s="159">
        <v>87</v>
      </c>
      <c r="Q96" s="99">
        <v>18</v>
      </c>
      <c r="R96" s="99">
        <v>34</v>
      </c>
      <c r="S96" s="99">
        <v>18</v>
      </c>
      <c r="T96" s="99">
        <v>16</v>
      </c>
      <c r="U96" s="99">
        <v>7</v>
      </c>
      <c r="V96" s="99">
        <v>7</v>
      </c>
      <c r="W96" s="99">
        <v>63</v>
      </c>
      <c r="X96" s="99">
        <v>25</v>
      </c>
      <c r="Y96" s="99">
        <v>76</v>
      </c>
      <c r="Z96" s="99">
        <v>33</v>
      </c>
      <c r="AA96" s="99" t="s">
        <v>726</v>
      </c>
      <c r="AB96" s="99" t="s">
        <v>726</v>
      </c>
      <c r="AC96" s="99" t="s">
        <v>726</v>
      </c>
      <c r="AD96" s="98" t="s">
        <v>411</v>
      </c>
      <c r="AE96" s="100">
        <v>0.1707995951417004</v>
      </c>
      <c r="AF96" s="100">
        <v>0.14</v>
      </c>
      <c r="AG96" s="98">
        <v>468.1174089068826</v>
      </c>
      <c r="AH96" s="98">
        <v>240.3846153846154</v>
      </c>
      <c r="AI96" s="100">
        <v>0.013999999999999999</v>
      </c>
      <c r="AJ96" s="100">
        <v>0.674157</v>
      </c>
      <c r="AK96" s="100">
        <v>0.461538</v>
      </c>
      <c r="AL96" s="100">
        <v>0.782173</v>
      </c>
      <c r="AM96" s="100">
        <v>0.473239</v>
      </c>
      <c r="AN96" s="100">
        <v>0.545082</v>
      </c>
      <c r="AO96" s="98">
        <v>1100.7085020242914</v>
      </c>
      <c r="AP96" s="158">
        <v>0.5785040283</v>
      </c>
      <c r="AQ96" s="100">
        <v>0.20689655172413793</v>
      </c>
      <c r="AR96" s="100">
        <v>0.5294117647058824</v>
      </c>
      <c r="AS96" s="98">
        <v>227.7327935222672</v>
      </c>
      <c r="AT96" s="98">
        <v>202.42914979757086</v>
      </c>
      <c r="AU96" s="98">
        <v>88.56275303643724</v>
      </c>
      <c r="AV96" s="98">
        <v>88.56275303643724</v>
      </c>
      <c r="AW96" s="98">
        <v>797.0647773279352</v>
      </c>
      <c r="AX96" s="98">
        <v>316.2955465587045</v>
      </c>
      <c r="AY96" s="98">
        <v>961.5384615384615</v>
      </c>
      <c r="AZ96" s="98">
        <v>417.5101214574899</v>
      </c>
      <c r="BA96" s="100" t="s">
        <v>726</v>
      </c>
      <c r="BB96" s="100" t="s">
        <v>726</v>
      </c>
      <c r="BC96" s="100" t="s">
        <v>726</v>
      </c>
      <c r="BD96" s="158">
        <v>0.46335800169999997</v>
      </c>
      <c r="BE96" s="158">
        <v>0.7135826111</v>
      </c>
      <c r="BF96" s="162">
        <v>890</v>
      </c>
      <c r="BG96" s="162">
        <v>13</v>
      </c>
      <c r="BH96" s="162">
        <v>1896</v>
      </c>
      <c r="BI96" s="162">
        <v>710</v>
      </c>
      <c r="BJ96" s="162">
        <v>244</v>
      </c>
      <c r="BK96" s="97"/>
      <c r="BL96" s="97"/>
      <c r="BM96" s="97"/>
      <c r="BN96" s="97"/>
    </row>
    <row r="97" spans="1:66" ht="12.75">
      <c r="A97" s="79" t="s">
        <v>655</v>
      </c>
      <c r="B97" s="79" t="s">
        <v>345</v>
      </c>
      <c r="C97" s="79" t="s">
        <v>580</v>
      </c>
      <c r="D97" s="99">
        <v>19921</v>
      </c>
      <c r="E97" s="99">
        <v>2787</v>
      </c>
      <c r="F97" s="99" t="s">
        <v>434</v>
      </c>
      <c r="G97" s="99">
        <v>74</v>
      </c>
      <c r="H97" s="99">
        <v>36</v>
      </c>
      <c r="I97" s="99">
        <v>372</v>
      </c>
      <c r="J97" s="99">
        <v>1502</v>
      </c>
      <c r="K97" s="99">
        <v>15</v>
      </c>
      <c r="L97" s="99">
        <v>4100</v>
      </c>
      <c r="M97" s="99">
        <v>1062</v>
      </c>
      <c r="N97" s="99">
        <v>414</v>
      </c>
      <c r="O97" s="99">
        <v>315</v>
      </c>
      <c r="P97" s="159">
        <v>315</v>
      </c>
      <c r="Q97" s="99">
        <v>22</v>
      </c>
      <c r="R97" s="99">
        <v>56</v>
      </c>
      <c r="S97" s="99">
        <v>57</v>
      </c>
      <c r="T97" s="99">
        <v>51</v>
      </c>
      <c r="U97" s="99">
        <v>26</v>
      </c>
      <c r="V97" s="99">
        <v>74</v>
      </c>
      <c r="W97" s="99">
        <v>107</v>
      </c>
      <c r="X97" s="99">
        <v>79</v>
      </c>
      <c r="Y97" s="99">
        <v>191</v>
      </c>
      <c r="Z97" s="99">
        <v>88</v>
      </c>
      <c r="AA97" s="99" t="s">
        <v>726</v>
      </c>
      <c r="AB97" s="99" t="s">
        <v>726</v>
      </c>
      <c r="AC97" s="99" t="s">
        <v>726</v>
      </c>
      <c r="AD97" s="98" t="s">
        <v>411</v>
      </c>
      <c r="AE97" s="100">
        <v>0.1399026153305557</v>
      </c>
      <c r="AF97" s="100">
        <v>0.06</v>
      </c>
      <c r="AG97" s="98">
        <v>371.467295818483</v>
      </c>
      <c r="AH97" s="98">
        <v>180.71381958737012</v>
      </c>
      <c r="AI97" s="100">
        <v>0.019</v>
      </c>
      <c r="AJ97" s="100">
        <v>0.694085</v>
      </c>
      <c r="AK97" s="100">
        <v>0.384615</v>
      </c>
      <c r="AL97" s="100">
        <v>0.789069</v>
      </c>
      <c r="AM97" s="100">
        <v>0.587714</v>
      </c>
      <c r="AN97" s="100">
        <v>0.611521</v>
      </c>
      <c r="AO97" s="98">
        <v>1581.2459213894886</v>
      </c>
      <c r="AP97" s="158">
        <v>0.8995681000000001</v>
      </c>
      <c r="AQ97" s="100">
        <v>0.06984126984126984</v>
      </c>
      <c r="AR97" s="100">
        <v>0.39285714285714285</v>
      </c>
      <c r="AS97" s="98">
        <v>286.13021434666933</v>
      </c>
      <c r="AT97" s="98">
        <v>256.011244415441</v>
      </c>
      <c r="AU97" s="98">
        <v>130.5155363686562</v>
      </c>
      <c r="AV97" s="98">
        <v>371.467295818483</v>
      </c>
      <c r="AW97" s="98">
        <v>537.121630440239</v>
      </c>
      <c r="AX97" s="98">
        <v>396.56643742783996</v>
      </c>
      <c r="AY97" s="98">
        <v>958.7872094774359</v>
      </c>
      <c r="AZ97" s="98">
        <v>441.7448923246825</v>
      </c>
      <c r="BA97" s="100" t="s">
        <v>726</v>
      </c>
      <c r="BB97" s="100" t="s">
        <v>726</v>
      </c>
      <c r="BC97" s="100" t="s">
        <v>726</v>
      </c>
      <c r="BD97" s="158">
        <v>0.8029593658</v>
      </c>
      <c r="BE97" s="158">
        <v>1.004598694</v>
      </c>
      <c r="BF97" s="162">
        <v>2164</v>
      </c>
      <c r="BG97" s="162">
        <v>39</v>
      </c>
      <c r="BH97" s="162">
        <v>5196</v>
      </c>
      <c r="BI97" s="162">
        <v>1807</v>
      </c>
      <c r="BJ97" s="162">
        <v>677</v>
      </c>
      <c r="BK97" s="97"/>
      <c r="BL97" s="97"/>
      <c r="BM97" s="97"/>
      <c r="BN97" s="97"/>
    </row>
    <row r="98" spans="1:66" ht="12.75">
      <c r="A98" s="79" t="s">
        <v>712</v>
      </c>
      <c r="B98" s="79" t="s">
        <v>403</v>
      </c>
      <c r="C98" s="79" t="s">
        <v>580</v>
      </c>
      <c r="D98" s="99">
        <v>1121</v>
      </c>
      <c r="E98" s="99">
        <v>97</v>
      </c>
      <c r="F98" s="99" t="s">
        <v>433</v>
      </c>
      <c r="G98" s="99" t="s">
        <v>726</v>
      </c>
      <c r="H98" s="99" t="s">
        <v>726</v>
      </c>
      <c r="I98" s="99">
        <v>8</v>
      </c>
      <c r="J98" s="99">
        <v>58</v>
      </c>
      <c r="K98" s="99">
        <v>56</v>
      </c>
      <c r="L98" s="99">
        <v>210</v>
      </c>
      <c r="M98" s="99">
        <v>36</v>
      </c>
      <c r="N98" s="99">
        <v>16</v>
      </c>
      <c r="O98" s="99" t="s">
        <v>726</v>
      </c>
      <c r="P98" s="159" t="s">
        <v>726</v>
      </c>
      <c r="Q98" s="99" t="s">
        <v>726</v>
      </c>
      <c r="R98" s="99" t="s">
        <v>726</v>
      </c>
      <c r="S98" s="99" t="s">
        <v>726</v>
      </c>
      <c r="T98" s="99" t="s">
        <v>726</v>
      </c>
      <c r="U98" s="99" t="s">
        <v>726</v>
      </c>
      <c r="V98" s="99" t="s">
        <v>726</v>
      </c>
      <c r="W98" s="99" t="s">
        <v>726</v>
      </c>
      <c r="X98" s="99" t="s">
        <v>726</v>
      </c>
      <c r="Y98" s="99">
        <v>7</v>
      </c>
      <c r="Z98" s="99" t="s">
        <v>726</v>
      </c>
      <c r="AA98" s="99" t="s">
        <v>726</v>
      </c>
      <c r="AB98" s="99" t="s">
        <v>726</v>
      </c>
      <c r="AC98" s="99" t="s">
        <v>726</v>
      </c>
      <c r="AD98" s="98" t="s">
        <v>411</v>
      </c>
      <c r="AE98" s="100">
        <v>0.08652988403211419</v>
      </c>
      <c r="AF98" s="100">
        <v>0.17</v>
      </c>
      <c r="AG98" s="98" t="s">
        <v>726</v>
      </c>
      <c r="AH98" s="98" t="s">
        <v>726</v>
      </c>
      <c r="AI98" s="100">
        <v>0.006999999999999999</v>
      </c>
      <c r="AJ98" s="100">
        <v>0.610526</v>
      </c>
      <c r="AK98" s="100">
        <v>0.595745</v>
      </c>
      <c r="AL98" s="100">
        <v>0.75</v>
      </c>
      <c r="AM98" s="100">
        <v>0.529412</v>
      </c>
      <c r="AN98" s="100">
        <v>0.64</v>
      </c>
      <c r="AO98" s="98" t="s">
        <v>726</v>
      </c>
      <c r="AP98" s="158" t="s">
        <v>726</v>
      </c>
      <c r="AQ98" s="100" t="s">
        <v>726</v>
      </c>
      <c r="AR98" s="100" t="s">
        <v>726</v>
      </c>
      <c r="AS98" s="98" t="s">
        <v>726</v>
      </c>
      <c r="AT98" s="98" t="s">
        <v>726</v>
      </c>
      <c r="AU98" s="98" t="s">
        <v>726</v>
      </c>
      <c r="AV98" s="98" t="s">
        <v>726</v>
      </c>
      <c r="AW98" s="98" t="s">
        <v>726</v>
      </c>
      <c r="AX98" s="98" t="s">
        <v>726</v>
      </c>
      <c r="AY98" s="98">
        <v>624.442462087422</v>
      </c>
      <c r="AZ98" s="98" t="s">
        <v>726</v>
      </c>
      <c r="BA98" s="100" t="s">
        <v>726</v>
      </c>
      <c r="BB98" s="100" t="s">
        <v>726</v>
      </c>
      <c r="BC98" s="100" t="s">
        <v>726</v>
      </c>
      <c r="BD98" s="158" t="s">
        <v>726</v>
      </c>
      <c r="BE98" s="158" t="s">
        <v>726</v>
      </c>
      <c r="BF98" s="162">
        <v>95</v>
      </c>
      <c r="BG98" s="162">
        <v>94</v>
      </c>
      <c r="BH98" s="162">
        <v>280</v>
      </c>
      <c r="BI98" s="162">
        <v>68</v>
      </c>
      <c r="BJ98" s="162">
        <v>25</v>
      </c>
      <c r="BK98" s="97"/>
      <c r="BL98" s="97"/>
      <c r="BM98" s="97"/>
      <c r="BN98" s="97"/>
    </row>
    <row r="99" spans="1:66" ht="12.75">
      <c r="A99" s="79" t="s">
        <v>623</v>
      </c>
      <c r="B99" s="79" t="s">
        <v>313</v>
      </c>
      <c r="C99" s="79" t="s">
        <v>580</v>
      </c>
      <c r="D99" s="99">
        <v>11248</v>
      </c>
      <c r="E99" s="99">
        <v>1010</v>
      </c>
      <c r="F99" s="99" t="s">
        <v>433</v>
      </c>
      <c r="G99" s="99">
        <v>31</v>
      </c>
      <c r="H99" s="99">
        <v>12</v>
      </c>
      <c r="I99" s="99">
        <v>137</v>
      </c>
      <c r="J99" s="99">
        <v>685</v>
      </c>
      <c r="K99" s="99">
        <v>8</v>
      </c>
      <c r="L99" s="99">
        <v>2196</v>
      </c>
      <c r="M99" s="99">
        <v>391</v>
      </c>
      <c r="N99" s="99">
        <v>171</v>
      </c>
      <c r="O99" s="99">
        <v>138</v>
      </c>
      <c r="P99" s="159">
        <v>138</v>
      </c>
      <c r="Q99" s="99">
        <v>13</v>
      </c>
      <c r="R99" s="99">
        <v>35</v>
      </c>
      <c r="S99" s="99">
        <v>34</v>
      </c>
      <c r="T99" s="99">
        <v>17</v>
      </c>
      <c r="U99" s="99" t="s">
        <v>726</v>
      </c>
      <c r="V99" s="99">
        <v>17</v>
      </c>
      <c r="W99" s="99">
        <v>57</v>
      </c>
      <c r="X99" s="99">
        <v>46</v>
      </c>
      <c r="Y99" s="99">
        <v>90</v>
      </c>
      <c r="Z99" s="99">
        <v>46</v>
      </c>
      <c r="AA99" s="99" t="s">
        <v>726</v>
      </c>
      <c r="AB99" s="99" t="s">
        <v>726</v>
      </c>
      <c r="AC99" s="99" t="s">
        <v>726</v>
      </c>
      <c r="AD99" s="98" t="s">
        <v>411</v>
      </c>
      <c r="AE99" s="100">
        <v>0.08979374110953059</v>
      </c>
      <c r="AF99" s="100">
        <v>0.13</v>
      </c>
      <c r="AG99" s="98">
        <v>275.6045519203414</v>
      </c>
      <c r="AH99" s="98">
        <v>106.68563300142247</v>
      </c>
      <c r="AI99" s="100">
        <v>0.012</v>
      </c>
      <c r="AJ99" s="100">
        <v>0.698267</v>
      </c>
      <c r="AK99" s="100">
        <v>0.470588</v>
      </c>
      <c r="AL99" s="100">
        <v>0.779</v>
      </c>
      <c r="AM99" s="100">
        <v>0.468263</v>
      </c>
      <c r="AN99" s="100">
        <v>0.542857</v>
      </c>
      <c r="AO99" s="98">
        <v>1226.8847795163585</v>
      </c>
      <c r="AP99" s="158">
        <v>0.8670361328</v>
      </c>
      <c r="AQ99" s="100">
        <v>0.09420289855072464</v>
      </c>
      <c r="AR99" s="100">
        <v>0.37142857142857144</v>
      </c>
      <c r="AS99" s="98">
        <v>302.27596017069703</v>
      </c>
      <c r="AT99" s="98">
        <v>151.13798008534852</v>
      </c>
      <c r="AU99" s="98" t="s">
        <v>726</v>
      </c>
      <c r="AV99" s="98">
        <v>151.13798008534852</v>
      </c>
      <c r="AW99" s="98">
        <v>506.7567567567568</v>
      </c>
      <c r="AX99" s="98">
        <v>408.9615931721195</v>
      </c>
      <c r="AY99" s="98">
        <v>800.1422475106685</v>
      </c>
      <c r="AZ99" s="98">
        <v>408.9615931721195</v>
      </c>
      <c r="BA99" s="100" t="s">
        <v>726</v>
      </c>
      <c r="BB99" s="100" t="s">
        <v>726</v>
      </c>
      <c r="BC99" s="100" t="s">
        <v>726</v>
      </c>
      <c r="BD99" s="158">
        <v>0.7284165955</v>
      </c>
      <c r="BE99" s="158">
        <v>1.024357452</v>
      </c>
      <c r="BF99" s="162">
        <v>981</v>
      </c>
      <c r="BG99" s="162">
        <v>17</v>
      </c>
      <c r="BH99" s="162">
        <v>2819</v>
      </c>
      <c r="BI99" s="162">
        <v>835</v>
      </c>
      <c r="BJ99" s="162">
        <v>315</v>
      </c>
      <c r="BK99" s="97"/>
      <c r="BL99" s="97"/>
      <c r="BM99" s="97"/>
      <c r="BN99" s="97"/>
    </row>
    <row r="100" spans="1:66" ht="12.75">
      <c r="A100" s="79" t="s">
        <v>704</v>
      </c>
      <c r="B100" s="79" t="s">
        <v>395</v>
      </c>
      <c r="C100" s="79" t="s">
        <v>580</v>
      </c>
      <c r="D100" s="99">
        <v>6170</v>
      </c>
      <c r="E100" s="99">
        <v>648</v>
      </c>
      <c r="F100" s="99" t="s">
        <v>431</v>
      </c>
      <c r="G100" s="99">
        <v>16</v>
      </c>
      <c r="H100" s="99">
        <v>12</v>
      </c>
      <c r="I100" s="99">
        <v>63</v>
      </c>
      <c r="J100" s="99" t="s">
        <v>726</v>
      </c>
      <c r="K100" s="99" t="s">
        <v>726</v>
      </c>
      <c r="L100" s="99">
        <v>59</v>
      </c>
      <c r="M100" s="99">
        <v>155</v>
      </c>
      <c r="N100" s="99">
        <v>60</v>
      </c>
      <c r="O100" s="99">
        <v>77</v>
      </c>
      <c r="P100" s="159">
        <v>77</v>
      </c>
      <c r="Q100" s="99">
        <v>11</v>
      </c>
      <c r="R100" s="99">
        <v>26</v>
      </c>
      <c r="S100" s="99">
        <v>7</v>
      </c>
      <c r="T100" s="99" t="s">
        <v>726</v>
      </c>
      <c r="U100" s="99">
        <v>10</v>
      </c>
      <c r="V100" s="99">
        <v>17</v>
      </c>
      <c r="W100" s="99">
        <v>23</v>
      </c>
      <c r="X100" s="99">
        <v>12</v>
      </c>
      <c r="Y100" s="99">
        <v>46</v>
      </c>
      <c r="Z100" s="99">
        <v>25</v>
      </c>
      <c r="AA100" s="99" t="s">
        <v>726</v>
      </c>
      <c r="AB100" s="99" t="s">
        <v>726</v>
      </c>
      <c r="AC100" s="99" t="s">
        <v>726</v>
      </c>
      <c r="AD100" s="98" t="s">
        <v>411</v>
      </c>
      <c r="AE100" s="100">
        <v>0.10502431118314424</v>
      </c>
      <c r="AF100" s="100">
        <v>0.19</v>
      </c>
      <c r="AG100" s="98">
        <v>259.3192868719611</v>
      </c>
      <c r="AH100" s="98">
        <v>194.48946515397083</v>
      </c>
      <c r="AI100" s="100">
        <v>0.01</v>
      </c>
      <c r="AJ100" s="100" t="s">
        <v>726</v>
      </c>
      <c r="AK100" s="100" t="s">
        <v>726</v>
      </c>
      <c r="AL100" s="100">
        <v>0.746835</v>
      </c>
      <c r="AM100" s="100">
        <v>0.46131</v>
      </c>
      <c r="AN100" s="100">
        <v>0.508475</v>
      </c>
      <c r="AO100" s="98">
        <v>1247.9740680713128</v>
      </c>
      <c r="AP100" s="158">
        <v>0.84477211</v>
      </c>
      <c r="AQ100" s="100">
        <v>0.14285714285714285</v>
      </c>
      <c r="AR100" s="100">
        <v>0.4230769230769231</v>
      </c>
      <c r="AS100" s="98">
        <v>113.45218800648298</v>
      </c>
      <c r="AT100" s="98" t="s">
        <v>726</v>
      </c>
      <c r="AU100" s="98">
        <v>162.07455429497568</v>
      </c>
      <c r="AV100" s="98">
        <v>275.5267423014587</v>
      </c>
      <c r="AW100" s="98">
        <v>372.7714748784441</v>
      </c>
      <c r="AX100" s="98">
        <v>194.48946515397083</v>
      </c>
      <c r="AY100" s="98">
        <v>745.5429497568882</v>
      </c>
      <c r="AZ100" s="98">
        <v>405.1863857374392</v>
      </c>
      <c r="BA100" s="100" t="s">
        <v>726</v>
      </c>
      <c r="BB100" s="100" t="s">
        <v>726</v>
      </c>
      <c r="BC100" s="100" t="s">
        <v>726</v>
      </c>
      <c r="BD100" s="158">
        <v>0.6666809845</v>
      </c>
      <c r="BE100" s="158">
        <v>1.055820236</v>
      </c>
      <c r="BF100" s="162" t="s">
        <v>726</v>
      </c>
      <c r="BG100" s="162" t="s">
        <v>726</v>
      </c>
      <c r="BH100" s="162">
        <v>79</v>
      </c>
      <c r="BI100" s="162">
        <v>336</v>
      </c>
      <c r="BJ100" s="162">
        <v>118</v>
      </c>
      <c r="BK100" s="97"/>
      <c r="BL100" s="97"/>
      <c r="BM100" s="97"/>
      <c r="BN100" s="97"/>
    </row>
    <row r="101" spans="1:66" ht="12.75">
      <c r="A101" s="79" t="s">
        <v>687</v>
      </c>
      <c r="B101" s="79" t="s">
        <v>378</v>
      </c>
      <c r="C101" s="79" t="s">
        <v>580</v>
      </c>
      <c r="D101" s="99">
        <v>13345</v>
      </c>
      <c r="E101" s="99">
        <v>1925</v>
      </c>
      <c r="F101" s="99" t="s">
        <v>432</v>
      </c>
      <c r="G101" s="99">
        <v>58</v>
      </c>
      <c r="H101" s="99">
        <v>19</v>
      </c>
      <c r="I101" s="99">
        <v>236</v>
      </c>
      <c r="J101" s="99">
        <v>1215</v>
      </c>
      <c r="K101" s="99">
        <v>6</v>
      </c>
      <c r="L101" s="99">
        <v>2545</v>
      </c>
      <c r="M101" s="99">
        <v>801</v>
      </c>
      <c r="N101" s="99">
        <v>347</v>
      </c>
      <c r="O101" s="99">
        <v>216</v>
      </c>
      <c r="P101" s="159">
        <v>216</v>
      </c>
      <c r="Q101" s="99">
        <v>26</v>
      </c>
      <c r="R101" s="99">
        <v>57</v>
      </c>
      <c r="S101" s="99">
        <v>44</v>
      </c>
      <c r="T101" s="99">
        <v>22</v>
      </c>
      <c r="U101" s="99">
        <v>13</v>
      </c>
      <c r="V101" s="99">
        <v>41</v>
      </c>
      <c r="W101" s="99">
        <v>93</v>
      </c>
      <c r="X101" s="99">
        <v>52</v>
      </c>
      <c r="Y101" s="99">
        <v>139</v>
      </c>
      <c r="Z101" s="99">
        <v>64</v>
      </c>
      <c r="AA101" s="99" t="s">
        <v>726</v>
      </c>
      <c r="AB101" s="99" t="s">
        <v>726</v>
      </c>
      <c r="AC101" s="99" t="s">
        <v>726</v>
      </c>
      <c r="AD101" s="98" t="s">
        <v>411</v>
      </c>
      <c r="AE101" s="100">
        <v>0.14424878231547397</v>
      </c>
      <c r="AF101" s="100">
        <v>0.11</v>
      </c>
      <c r="AG101" s="98">
        <v>434.61970775571376</v>
      </c>
      <c r="AH101" s="98">
        <v>142.37542150618208</v>
      </c>
      <c r="AI101" s="100">
        <v>0.018000000000000002</v>
      </c>
      <c r="AJ101" s="100">
        <v>0.715127</v>
      </c>
      <c r="AK101" s="100">
        <v>0.272727</v>
      </c>
      <c r="AL101" s="100">
        <v>0.804362</v>
      </c>
      <c r="AM101" s="100">
        <v>0.560924</v>
      </c>
      <c r="AN101" s="100">
        <v>0.624101</v>
      </c>
      <c r="AO101" s="98">
        <v>1618.5837392281753</v>
      </c>
      <c r="AP101" s="158">
        <v>0.8925626373</v>
      </c>
      <c r="AQ101" s="100">
        <v>0.12037037037037036</v>
      </c>
      <c r="AR101" s="100">
        <v>0.45614035087719296</v>
      </c>
      <c r="AS101" s="98">
        <v>329.711502435369</v>
      </c>
      <c r="AT101" s="98">
        <v>164.8557512176845</v>
      </c>
      <c r="AU101" s="98">
        <v>97.41476208317722</v>
      </c>
      <c r="AV101" s="98">
        <v>307.2311727238666</v>
      </c>
      <c r="AW101" s="98">
        <v>696.8902210565755</v>
      </c>
      <c r="AX101" s="98">
        <v>389.6590483327089</v>
      </c>
      <c r="AY101" s="98">
        <v>1041.5886099662796</v>
      </c>
      <c r="AZ101" s="98">
        <v>479.58036717871863</v>
      </c>
      <c r="BA101" s="100" t="s">
        <v>726</v>
      </c>
      <c r="BB101" s="100" t="s">
        <v>726</v>
      </c>
      <c r="BC101" s="100" t="s">
        <v>726</v>
      </c>
      <c r="BD101" s="158">
        <v>0.7774925232</v>
      </c>
      <c r="BE101" s="158">
        <v>1.019865341</v>
      </c>
      <c r="BF101" s="162">
        <v>1699</v>
      </c>
      <c r="BG101" s="162">
        <v>22</v>
      </c>
      <c r="BH101" s="162">
        <v>3164</v>
      </c>
      <c r="BI101" s="162">
        <v>1428</v>
      </c>
      <c r="BJ101" s="162">
        <v>556</v>
      </c>
      <c r="BK101" s="97"/>
      <c r="BL101" s="97"/>
      <c r="BM101" s="97"/>
      <c r="BN101" s="97"/>
    </row>
    <row r="102" spans="1:66" ht="12.75">
      <c r="A102" s="79" t="s">
        <v>607</v>
      </c>
      <c r="B102" s="79" t="s">
        <v>295</v>
      </c>
      <c r="C102" s="79" t="s">
        <v>580</v>
      </c>
      <c r="D102" s="99">
        <v>11700</v>
      </c>
      <c r="E102" s="99">
        <v>1799</v>
      </c>
      <c r="F102" s="99" t="s">
        <v>432</v>
      </c>
      <c r="G102" s="99">
        <v>38</v>
      </c>
      <c r="H102" s="99">
        <v>27</v>
      </c>
      <c r="I102" s="99">
        <v>156</v>
      </c>
      <c r="J102" s="99">
        <v>834</v>
      </c>
      <c r="K102" s="99">
        <v>7</v>
      </c>
      <c r="L102" s="99">
        <v>2327</v>
      </c>
      <c r="M102" s="99">
        <v>589</v>
      </c>
      <c r="N102" s="99">
        <v>257</v>
      </c>
      <c r="O102" s="99">
        <v>231</v>
      </c>
      <c r="P102" s="159">
        <v>231</v>
      </c>
      <c r="Q102" s="99">
        <v>15</v>
      </c>
      <c r="R102" s="99">
        <v>35</v>
      </c>
      <c r="S102" s="99">
        <v>47</v>
      </c>
      <c r="T102" s="99">
        <v>32</v>
      </c>
      <c r="U102" s="99" t="s">
        <v>726</v>
      </c>
      <c r="V102" s="99">
        <v>38</v>
      </c>
      <c r="W102" s="99">
        <v>62</v>
      </c>
      <c r="X102" s="99">
        <v>59</v>
      </c>
      <c r="Y102" s="99">
        <v>135</v>
      </c>
      <c r="Z102" s="99">
        <v>71</v>
      </c>
      <c r="AA102" s="99" t="s">
        <v>726</v>
      </c>
      <c r="AB102" s="99" t="s">
        <v>726</v>
      </c>
      <c r="AC102" s="99" t="s">
        <v>726</v>
      </c>
      <c r="AD102" s="98" t="s">
        <v>411</v>
      </c>
      <c r="AE102" s="100">
        <v>0.15376068376068375</v>
      </c>
      <c r="AF102" s="100">
        <v>0.1</v>
      </c>
      <c r="AG102" s="98">
        <v>324.78632478632477</v>
      </c>
      <c r="AH102" s="98">
        <v>230.76923076923077</v>
      </c>
      <c r="AI102" s="100">
        <v>0.013000000000000001</v>
      </c>
      <c r="AJ102" s="100">
        <v>0.652072</v>
      </c>
      <c r="AK102" s="100">
        <v>0.4375</v>
      </c>
      <c r="AL102" s="100">
        <v>0.737092</v>
      </c>
      <c r="AM102" s="100">
        <v>0.543358</v>
      </c>
      <c r="AN102" s="100">
        <v>0.599068</v>
      </c>
      <c r="AO102" s="98">
        <v>1974.3589743589744</v>
      </c>
      <c r="AP102" s="158">
        <v>1.095156097</v>
      </c>
      <c r="AQ102" s="100">
        <v>0.06493506493506493</v>
      </c>
      <c r="AR102" s="100">
        <v>0.42857142857142855</v>
      </c>
      <c r="AS102" s="98">
        <v>401.70940170940173</v>
      </c>
      <c r="AT102" s="98">
        <v>273.5042735042735</v>
      </c>
      <c r="AU102" s="98" t="s">
        <v>726</v>
      </c>
      <c r="AV102" s="98">
        <v>324.78632478632477</v>
      </c>
      <c r="AW102" s="98">
        <v>529.9145299145299</v>
      </c>
      <c r="AX102" s="98">
        <v>504.2735042735043</v>
      </c>
      <c r="AY102" s="98">
        <v>1153.8461538461538</v>
      </c>
      <c r="AZ102" s="98">
        <v>606.8376068376068</v>
      </c>
      <c r="BA102" s="100" t="s">
        <v>726</v>
      </c>
      <c r="BB102" s="100" t="s">
        <v>726</v>
      </c>
      <c r="BC102" s="100" t="s">
        <v>726</v>
      </c>
      <c r="BD102" s="158">
        <v>0.9584715271</v>
      </c>
      <c r="BE102" s="158">
        <v>1.245865021</v>
      </c>
      <c r="BF102" s="162">
        <v>1279</v>
      </c>
      <c r="BG102" s="162">
        <v>16</v>
      </c>
      <c r="BH102" s="162">
        <v>3157</v>
      </c>
      <c r="BI102" s="162">
        <v>1084</v>
      </c>
      <c r="BJ102" s="162">
        <v>429</v>
      </c>
      <c r="BK102" s="97"/>
      <c r="BL102" s="97"/>
      <c r="BM102" s="97"/>
      <c r="BN102" s="97"/>
    </row>
    <row r="103" spans="1:66" ht="12.75">
      <c r="A103" s="79" t="s">
        <v>664</v>
      </c>
      <c r="B103" s="79" t="s">
        <v>354</v>
      </c>
      <c r="C103" s="79" t="s">
        <v>580</v>
      </c>
      <c r="D103" s="99">
        <v>9887</v>
      </c>
      <c r="E103" s="99">
        <v>1862</v>
      </c>
      <c r="F103" s="99" t="s">
        <v>434</v>
      </c>
      <c r="G103" s="99">
        <v>47</v>
      </c>
      <c r="H103" s="99">
        <v>21</v>
      </c>
      <c r="I103" s="99">
        <v>180</v>
      </c>
      <c r="J103" s="99">
        <v>906</v>
      </c>
      <c r="K103" s="99">
        <v>11</v>
      </c>
      <c r="L103" s="99">
        <v>1888</v>
      </c>
      <c r="M103" s="99">
        <v>594</v>
      </c>
      <c r="N103" s="99">
        <v>244</v>
      </c>
      <c r="O103" s="99">
        <v>152</v>
      </c>
      <c r="P103" s="159">
        <v>152</v>
      </c>
      <c r="Q103" s="99">
        <v>14</v>
      </c>
      <c r="R103" s="99">
        <v>38</v>
      </c>
      <c r="S103" s="99">
        <v>17</v>
      </c>
      <c r="T103" s="99">
        <v>30</v>
      </c>
      <c r="U103" s="99">
        <v>10</v>
      </c>
      <c r="V103" s="99">
        <v>28</v>
      </c>
      <c r="W103" s="99">
        <v>58</v>
      </c>
      <c r="X103" s="99">
        <v>54</v>
      </c>
      <c r="Y103" s="99">
        <v>113</v>
      </c>
      <c r="Z103" s="99">
        <v>40</v>
      </c>
      <c r="AA103" s="99" t="s">
        <v>726</v>
      </c>
      <c r="AB103" s="99" t="s">
        <v>726</v>
      </c>
      <c r="AC103" s="99" t="s">
        <v>726</v>
      </c>
      <c r="AD103" s="98" t="s">
        <v>411</v>
      </c>
      <c r="AE103" s="100">
        <v>0.1883281076160615</v>
      </c>
      <c r="AF103" s="100">
        <v>0.07</v>
      </c>
      <c r="AG103" s="98">
        <v>475.3717002124001</v>
      </c>
      <c r="AH103" s="98">
        <v>212.40012137149793</v>
      </c>
      <c r="AI103" s="100">
        <v>0.018000000000000002</v>
      </c>
      <c r="AJ103" s="100">
        <v>0.742623</v>
      </c>
      <c r="AK103" s="100">
        <v>0.407407</v>
      </c>
      <c r="AL103" s="100">
        <v>0.749206</v>
      </c>
      <c r="AM103" s="100">
        <v>0.545455</v>
      </c>
      <c r="AN103" s="100">
        <v>0.567442</v>
      </c>
      <c r="AO103" s="98">
        <v>1537.3723070698898</v>
      </c>
      <c r="AP103" s="158">
        <v>0.7699269103999999</v>
      </c>
      <c r="AQ103" s="100">
        <v>0.09210526315789473</v>
      </c>
      <c r="AR103" s="100">
        <v>0.3684210526315789</v>
      </c>
      <c r="AS103" s="98">
        <v>171.9429553959745</v>
      </c>
      <c r="AT103" s="98">
        <v>303.4287448164256</v>
      </c>
      <c r="AU103" s="98">
        <v>101.14291493880853</v>
      </c>
      <c r="AV103" s="98">
        <v>283.2001618286639</v>
      </c>
      <c r="AW103" s="98">
        <v>586.6289066450895</v>
      </c>
      <c r="AX103" s="98">
        <v>546.1717406695661</v>
      </c>
      <c r="AY103" s="98">
        <v>1142.9149388085364</v>
      </c>
      <c r="AZ103" s="98">
        <v>404.5716597552341</v>
      </c>
      <c r="BA103" s="100" t="s">
        <v>726</v>
      </c>
      <c r="BB103" s="100" t="s">
        <v>726</v>
      </c>
      <c r="BC103" s="100" t="s">
        <v>726</v>
      </c>
      <c r="BD103" s="158">
        <v>0.6523944092</v>
      </c>
      <c r="BE103" s="158">
        <v>0.9025176239</v>
      </c>
      <c r="BF103" s="162">
        <v>1220</v>
      </c>
      <c r="BG103" s="162">
        <v>27</v>
      </c>
      <c r="BH103" s="162">
        <v>2520</v>
      </c>
      <c r="BI103" s="162">
        <v>1089</v>
      </c>
      <c r="BJ103" s="162">
        <v>430</v>
      </c>
      <c r="BK103" s="97"/>
      <c r="BL103" s="97"/>
      <c r="BM103" s="97"/>
      <c r="BN103" s="97"/>
    </row>
    <row r="104" spans="1:66" ht="12.75">
      <c r="A104" s="79" t="s">
        <v>650</v>
      </c>
      <c r="B104" s="79" t="s">
        <v>340</v>
      </c>
      <c r="C104" s="79" t="s">
        <v>580</v>
      </c>
      <c r="D104" s="99">
        <v>2663</v>
      </c>
      <c r="E104" s="99">
        <v>526</v>
      </c>
      <c r="F104" s="99" t="s">
        <v>432</v>
      </c>
      <c r="G104" s="99">
        <v>17</v>
      </c>
      <c r="H104" s="99" t="s">
        <v>726</v>
      </c>
      <c r="I104" s="99">
        <v>54</v>
      </c>
      <c r="J104" s="99">
        <v>189</v>
      </c>
      <c r="K104" s="99" t="s">
        <v>726</v>
      </c>
      <c r="L104" s="99">
        <v>492</v>
      </c>
      <c r="M104" s="99">
        <v>148</v>
      </c>
      <c r="N104" s="99">
        <v>58</v>
      </c>
      <c r="O104" s="99">
        <v>20</v>
      </c>
      <c r="P104" s="159">
        <v>20</v>
      </c>
      <c r="Q104" s="99" t="s">
        <v>726</v>
      </c>
      <c r="R104" s="99">
        <v>7</v>
      </c>
      <c r="S104" s="99" t="s">
        <v>726</v>
      </c>
      <c r="T104" s="99" t="s">
        <v>726</v>
      </c>
      <c r="U104" s="99" t="s">
        <v>726</v>
      </c>
      <c r="V104" s="99" t="s">
        <v>726</v>
      </c>
      <c r="W104" s="99">
        <v>17</v>
      </c>
      <c r="X104" s="99">
        <v>10</v>
      </c>
      <c r="Y104" s="99">
        <v>30</v>
      </c>
      <c r="Z104" s="99">
        <v>15</v>
      </c>
      <c r="AA104" s="99" t="s">
        <v>726</v>
      </c>
      <c r="AB104" s="99" t="s">
        <v>726</v>
      </c>
      <c r="AC104" s="99" t="s">
        <v>726</v>
      </c>
      <c r="AD104" s="98" t="s">
        <v>411</v>
      </c>
      <c r="AE104" s="100">
        <v>0.19752159218926024</v>
      </c>
      <c r="AF104" s="100">
        <v>0.09</v>
      </c>
      <c r="AG104" s="98">
        <v>638.3777694329704</v>
      </c>
      <c r="AH104" s="98" t="s">
        <v>726</v>
      </c>
      <c r="AI104" s="100">
        <v>0.02</v>
      </c>
      <c r="AJ104" s="100">
        <v>0.672598</v>
      </c>
      <c r="AK104" s="100" t="s">
        <v>726</v>
      </c>
      <c r="AL104" s="100">
        <v>0.740964</v>
      </c>
      <c r="AM104" s="100">
        <v>0.505119</v>
      </c>
      <c r="AN104" s="100">
        <v>0.491525</v>
      </c>
      <c r="AO104" s="98">
        <v>751.0326699211415</v>
      </c>
      <c r="AP104" s="158">
        <v>0.37795898440000003</v>
      </c>
      <c r="AQ104" s="100" t="s">
        <v>726</v>
      </c>
      <c r="AR104" s="100" t="s">
        <v>726</v>
      </c>
      <c r="AS104" s="98" t="s">
        <v>726</v>
      </c>
      <c r="AT104" s="98" t="s">
        <v>726</v>
      </c>
      <c r="AU104" s="98" t="s">
        <v>726</v>
      </c>
      <c r="AV104" s="98" t="s">
        <v>726</v>
      </c>
      <c r="AW104" s="98">
        <v>638.3777694329704</v>
      </c>
      <c r="AX104" s="98">
        <v>375.51633496057076</v>
      </c>
      <c r="AY104" s="98">
        <v>1126.5490048817123</v>
      </c>
      <c r="AZ104" s="98">
        <v>563.2745024408562</v>
      </c>
      <c r="BA104" s="100" t="s">
        <v>726</v>
      </c>
      <c r="BB104" s="100" t="s">
        <v>726</v>
      </c>
      <c r="BC104" s="100" t="s">
        <v>726</v>
      </c>
      <c r="BD104" s="158">
        <v>0.230867157</v>
      </c>
      <c r="BE104" s="158">
        <v>0.5837269974</v>
      </c>
      <c r="BF104" s="162">
        <v>281</v>
      </c>
      <c r="BG104" s="162" t="s">
        <v>726</v>
      </c>
      <c r="BH104" s="162">
        <v>664</v>
      </c>
      <c r="BI104" s="162">
        <v>293</v>
      </c>
      <c r="BJ104" s="162">
        <v>118</v>
      </c>
      <c r="BK104" s="97"/>
      <c r="BL104" s="97"/>
      <c r="BM104" s="97"/>
      <c r="BN104" s="97"/>
    </row>
    <row r="105" spans="1:66" ht="12.75">
      <c r="A105" s="79" t="s">
        <v>625</v>
      </c>
      <c r="B105" s="79" t="s">
        <v>315</v>
      </c>
      <c r="C105" s="79" t="s">
        <v>580</v>
      </c>
      <c r="D105" s="99">
        <v>9240</v>
      </c>
      <c r="E105" s="99">
        <v>1609</v>
      </c>
      <c r="F105" s="99" t="s">
        <v>432</v>
      </c>
      <c r="G105" s="99">
        <v>38</v>
      </c>
      <c r="H105" s="99">
        <v>22</v>
      </c>
      <c r="I105" s="99">
        <v>111</v>
      </c>
      <c r="J105" s="99">
        <v>524</v>
      </c>
      <c r="K105" s="99" t="s">
        <v>726</v>
      </c>
      <c r="L105" s="99">
        <v>1744</v>
      </c>
      <c r="M105" s="99">
        <v>391</v>
      </c>
      <c r="N105" s="99">
        <v>154</v>
      </c>
      <c r="O105" s="99">
        <v>112</v>
      </c>
      <c r="P105" s="159">
        <v>112</v>
      </c>
      <c r="Q105" s="99">
        <v>15</v>
      </c>
      <c r="R105" s="99">
        <v>47</v>
      </c>
      <c r="S105" s="99">
        <v>21</v>
      </c>
      <c r="T105" s="99">
        <v>8</v>
      </c>
      <c r="U105" s="99" t="s">
        <v>726</v>
      </c>
      <c r="V105" s="99">
        <v>43</v>
      </c>
      <c r="W105" s="99">
        <v>51</v>
      </c>
      <c r="X105" s="99">
        <v>42</v>
      </c>
      <c r="Y105" s="99">
        <v>94</v>
      </c>
      <c r="Z105" s="99">
        <v>58</v>
      </c>
      <c r="AA105" s="99" t="s">
        <v>726</v>
      </c>
      <c r="AB105" s="99" t="s">
        <v>726</v>
      </c>
      <c r="AC105" s="99" t="s">
        <v>726</v>
      </c>
      <c r="AD105" s="98" t="s">
        <v>411</v>
      </c>
      <c r="AE105" s="100">
        <v>0.17413419913419914</v>
      </c>
      <c r="AF105" s="100">
        <v>0.1</v>
      </c>
      <c r="AG105" s="98">
        <v>411.2554112554113</v>
      </c>
      <c r="AH105" s="98">
        <v>238.0952380952381</v>
      </c>
      <c r="AI105" s="100">
        <v>0.012</v>
      </c>
      <c r="AJ105" s="100">
        <v>0.60578</v>
      </c>
      <c r="AK105" s="100" t="s">
        <v>726</v>
      </c>
      <c r="AL105" s="100">
        <v>0.790571</v>
      </c>
      <c r="AM105" s="100">
        <v>0.535616</v>
      </c>
      <c r="AN105" s="100">
        <v>0.581132</v>
      </c>
      <c r="AO105" s="98">
        <v>1212.121212121212</v>
      </c>
      <c r="AP105" s="158">
        <v>0.6604852295000001</v>
      </c>
      <c r="AQ105" s="100">
        <v>0.13392857142857142</v>
      </c>
      <c r="AR105" s="100">
        <v>0.3191489361702128</v>
      </c>
      <c r="AS105" s="98">
        <v>227.27272727272728</v>
      </c>
      <c r="AT105" s="98">
        <v>86.58008658008659</v>
      </c>
      <c r="AU105" s="98" t="s">
        <v>726</v>
      </c>
      <c r="AV105" s="98">
        <v>465.3679653679654</v>
      </c>
      <c r="AW105" s="98">
        <v>551.9480519480519</v>
      </c>
      <c r="AX105" s="98">
        <v>454.54545454545456</v>
      </c>
      <c r="AY105" s="98">
        <v>1017.3160173160173</v>
      </c>
      <c r="AZ105" s="98">
        <v>627.7056277056278</v>
      </c>
      <c r="BA105" s="100" t="s">
        <v>726</v>
      </c>
      <c r="BB105" s="100" t="s">
        <v>726</v>
      </c>
      <c r="BC105" s="100" t="s">
        <v>726</v>
      </c>
      <c r="BD105" s="158">
        <v>0.5438415146</v>
      </c>
      <c r="BE105" s="158">
        <v>0.7947354126</v>
      </c>
      <c r="BF105" s="162">
        <v>865</v>
      </c>
      <c r="BG105" s="162" t="s">
        <v>726</v>
      </c>
      <c r="BH105" s="162">
        <v>2206</v>
      </c>
      <c r="BI105" s="162">
        <v>730</v>
      </c>
      <c r="BJ105" s="162">
        <v>265</v>
      </c>
      <c r="BK105" s="97"/>
      <c r="BL105" s="97"/>
      <c r="BM105" s="97"/>
      <c r="BN105" s="97"/>
    </row>
    <row r="106" spans="1:66" ht="12.75">
      <c r="A106" s="79" t="s">
        <v>716</v>
      </c>
      <c r="B106" s="79" t="s">
        <v>407</v>
      </c>
      <c r="C106" s="79" t="s">
        <v>580</v>
      </c>
      <c r="D106" s="99">
        <v>6009</v>
      </c>
      <c r="E106" s="99">
        <v>895</v>
      </c>
      <c r="F106" s="99" t="s">
        <v>433</v>
      </c>
      <c r="G106" s="99">
        <v>25</v>
      </c>
      <c r="H106" s="99">
        <v>20</v>
      </c>
      <c r="I106" s="99">
        <v>88</v>
      </c>
      <c r="J106" s="99">
        <v>402</v>
      </c>
      <c r="K106" s="99" t="s">
        <v>726</v>
      </c>
      <c r="L106" s="99">
        <v>1156</v>
      </c>
      <c r="M106" s="99">
        <v>288</v>
      </c>
      <c r="N106" s="99">
        <v>112</v>
      </c>
      <c r="O106" s="99">
        <v>115</v>
      </c>
      <c r="P106" s="159">
        <v>115</v>
      </c>
      <c r="Q106" s="99">
        <v>20</v>
      </c>
      <c r="R106" s="99">
        <v>35</v>
      </c>
      <c r="S106" s="99">
        <v>19</v>
      </c>
      <c r="T106" s="99">
        <v>25</v>
      </c>
      <c r="U106" s="99">
        <v>6</v>
      </c>
      <c r="V106" s="99">
        <v>28</v>
      </c>
      <c r="W106" s="99">
        <v>40</v>
      </c>
      <c r="X106" s="99">
        <v>24</v>
      </c>
      <c r="Y106" s="99">
        <v>60</v>
      </c>
      <c r="Z106" s="99">
        <v>37</v>
      </c>
      <c r="AA106" s="99" t="s">
        <v>726</v>
      </c>
      <c r="AB106" s="99" t="s">
        <v>726</v>
      </c>
      <c r="AC106" s="99" t="s">
        <v>726</v>
      </c>
      <c r="AD106" s="98" t="s">
        <v>411</v>
      </c>
      <c r="AE106" s="100">
        <v>0.14894325178898318</v>
      </c>
      <c r="AF106" s="100">
        <v>0.15</v>
      </c>
      <c r="AG106" s="98">
        <v>416.0426027625229</v>
      </c>
      <c r="AH106" s="98">
        <v>332.8340822100183</v>
      </c>
      <c r="AI106" s="100">
        <v>0.015</v>
      </c>
      <c r="AJ106" s="100">
        <v>0.659016</v>
      </c>
      <c r="AK106" s="100" t="s">
        <v>726</v>
      </c>
      <c r="AL106" s="100">
        <v>0.773762</v>
      </c>
      <c r="AM106" s="100">
        <v>0.535316</v>
      </c>
      <c r="AN106" s="100">
        <v>0.565657</v>
      </c>
      <c r="AO106" s="98">
        <v>1913.7959727076052</v>
      </c>
      <c r="AP106" s="158">
        <v>1.11197052</v>
      </c>
      <c r="AQ106" s="100">
        <v>0.17391304347826086</v>
      </c>
      <c r="AR106" s="100">
        <v>0.5714285714285714</v>
      </c>
      <c r="AS106" s="98">
        <v>316.1923780995174</v>
      </c>
      <c r="AT106" s="98">
        <v>416.0426027625229</v>
      </c>
      <c r="AU106" s="98">
        <v>99.85022466300549</v>
      </c>
      <c r="AV106" s="98">
        <v>465.9677150940256</v>
      </c>
      <c r="AW106" s="98">
        <v>665.6681644200366</v>
      </c>
      <c r="AX106" s="98">
        <v>399.40089865202197</v>
      </c>
      <c r="AY106" s="98">
        <v>998.502246630055</v>
      </c>
      <c r="AZ106" s="98">
        <v>615.7430520885339</v>
      </c>
      <c r="BA106" s="100" t="s">
        <v>726</v>
      </c>
      <c r="BB106" s="100" t="s">
        <v>726</v>
      </c>
      <c r="BC106" s="100" t="s">
        <v>726</v>
      </c>
      <c r="BD106" s="158">
        <v>0.9180457305999999</v>
      </c>
      <c r="BE106" s="158">
        <v>1.334752197</v>
      </c>
      <c r="BF106" s="162">
        <v>610</v>
      </c>
      <c r="BG106" s="162" t="s">
        <v>726</v>
      </c>
      <c r="BH106" s="162">
        <v>1494</v>
      </c>
      <c r="BI106" s="162">
        <v>538</v>
      </c>
      <c r="BJ106" s="162">
        <v>198</v>
      </c>
      <c r="BK106" s="97"/>
      <c r="BL106" s="97"/>
      <c r="BM106" s="97"/>
      <c r="BN106" s="97"/>
    </row>
    <row r="107" spans="1:66" ht="12.75">
      <c r="A107" s="79" t="s">
        <v>688</v>
      </c>
      <c r="B107" s="79" t="s">
        <v>379</v>
      </c>
      <c r="C107" s="79" t="s">
        <v>580</v>
      </c>
      <c r="D107" s="99">
        <v>11709</v>
      </c>
      <c r="E107" s="99">
        <v>1229</v>
      </c>
      <c r="F107" s="99" t="s">
        <v>433</v>
      </c>
      <c r="G107" s="99">
        <v>29</v>
      </c>
      <c r="H107" s="99">
        <v>15</v>
      </c>
      <c r="I107" s="99">
        <v>126</v>
      </c>
      <c r="J107" s="99">
        <v>718</v>
      </c>
      <c r="K107" s="99">
        <v>663</v>
      </c>
      <c r="L107" s="99">
        <v>2312</v>
      </c>
      <c r="M107" s="99">
        <v>367</v>
      </c>
      <c r="N107" s="99">
        <v>151</v>
      </c>
      <c r="O107" s="99">
        <v>174</v>
      </c>
      <c r="P107" s="159">
        <v>174</v>
      </c>
      <c r="Q107" s="99">
        <v>17</v>
      </c>
      <c r="R107" s="99">
        <v>40</v>
      </c>
      <c r="S107" s="99">
        <v>41</v>
      </c>
      <c r="T107" s="99">
        <v>26</v>
      </c>
      <c r="U107" s="99">
        <v>12</v>
      </c>
      <c r="V107" s="99">
        <v>45</v>
      </c>
      <c r="W107" s="99">
        <v>57</v>
      </c>
      <c r="X107" s="99">
        <v>29</v>
      </c>
      <c r="Y107" s="99">
        <v>63</v>
      </c>
      <c r="Z107" s="99">
        <v>48</v>
      </c>
      <c r="AA107" s="99" t="s">
        <v>726</v>
      </c>
      <c r="AB107" s="99" t="s">
        <v>726</v>
      </c>
      <c r="AC107" s="99" t="s">
        <v>726</v>
      </c>
      <c r="AD107" s="98" t="s">
        <v>411</v>
      </c>
      <c r="AE107" s="100">
        <v>0.1049619950465454</v>
      </c>
      <c r="AF107" s="100">
        <v>0.15</v>
      </c>
      <c r="AG107" s="98">
        <v>247.67273037834144</v>
      </c>
      <c r="AH107" s="98">
        <v>128.10658467845246</v>
      </c>
      <c r="AI107" s="100">
        <v>0.011000000000000001</v>
      </c>
      <c r="AJ107" s="100">
        <v>0.715139</v>
      </c>
      <c r="AK107" s="100">
        <v>0.705319</v>
      </c>
      <c r="AL107" s="100">
        <v>0.731414</v>
      </c>
      <c r="AM107" s="100">
        <v>0.45197</v>
      </c>
      <c r="AN107" s="100">
        <v>0.453453</v>
      </c>
      <c r="AO107" s="98">
        <v>1486.0363822700488</v>
      </c>
      <c r="AP107" s="158">
        <v>0.983966217</v>
      </c>
      <c r="AQ107" s="100">
        <v>0.09770114942528736</v>
      </c>
      <c r="AR107" s="100">
        <v>0.425</v>
      </c>
      <c r="AS107" s="98">
        <v>350.15799812110345</v>
      </c>
      <c r="AT107" s="98">
        <v>222.05141344265095</v>
      </c>
      <c r="AU107" s="98">
        <v>102.48526774276198</v>
      </c>
      <c r="AV107" s="98">
        <v>384.3197540353574</v>
      </c>
      <c r="AW107" s="98">
        <v>486.8050217781194</v>
      </c>
      <c r="AX107" s="98">
        <v>247.67273037834144</v>
      </c>
      <c r="AY107" s="98">
        <v>538.0476556495004</v>
      </c>
      <c r="AZ107" s="98">
        <v>409.9410709710479</v>
      </c>
      <c r="BA107" s="100" t="s">
        <v>726</v>
      </c>
      <c r="BB107" s="100" t="s">
        <v>726</v>
      </c>
      <c r="BC107" s="100" t="s">
        <v>726</v>
      </c>
      <c r="BD107" s="158">
        <v>0.8431916046000001</v>
      </c>
      <c r="BE107" s="158">
        <v>1.1415232849999999</v>
      </c>
      <c r="BF107" s="162">
        <v>1004</v>
      </c>
      <c r="BG107" s="162">
        <v>940</v>
      </c>
      <c r="BH107" s="162">
        <v>3161</v>
      </c>
      <c r="BI107" s="162">
        <v>812</v>
      </c>
      <c r="BJ107" s="162">
        <v>333</v>
      </c>
      <c r="BK107" s="97"/>
      <c r="BL107" s="97"/>
      <c r="BM107" s="97"/>
      <c r="BN107" s="97"/>
    </row>
    <row r="108" spans="1:66" ht="12.75">
      <c r="A108" s="79" t="s">
        <v>653</v>
      </c>
      <c r="B108" s="79" t="s">
        <v>343</v>
      </c>
      <c r="C108" s="79" t="s">
        <v>580</v>
      </c>
      <c r="D108" s="99">
        <v>11178</v>
      </c>
      <c r="E108" s="99">
        <v>1694</v>
      </c>
      <c r="F108" s="99" t="s">
        <v>434</v>
      </c>
      <c r="G108" s="99">
        <v>52</v>
      </c>
      <c r="H108" s="99">
        <v>28</v>
      </c>
      <c r="I108" s="99">
        <v>172</v>
      </c>
      <c r="J108" s="99">
        <v>1157</v>
      </c>
      <c r="K108" s="99">
        <v>955</v>
      </c>
      <c r="L108" s="99">
        <v>2486</v>
      </c>
      <c r="M108" s="99">
        <v>870</v>
      </c>
      <c r="N108" s="99">
        <v>369</v>
      </c>
      <c r="O108" s="99">
        <v>233</v>
      </c>
      <c r="P108" s="159">
        <v>233</v>
      </c>
      <c r="Q108" s="99">
        <v>28</v>
      </c>
      <c r="R108" s="99">
        <v>48</v>
      </c>
      <c r="S108" s="99">
        <v>51</v>
      </c>
      <c r="T108" s="99">
        <v>21</v>
      </c>
      <c r="U108" s="99" t="s">
        <v>726</v>
      </c>
      <c r="V108" s="99">
        <v>48</v>
      </c>
      <c r="W108" s="99">
        <v>72</v>
      </c>
      <c r="X108" s="99">
        <v>27</v>
      </c>
      <c r="Y108" s="99">
        <v>82</v>
      </c>
      <c r="Z108" s="99">
        <v>58</v>
      </c>
      <c r="AA108" s="99" t="s">
        <v>726</v>
      </c>
      <c r="AB108" s="99" t="s">
        <v>726</v>
      </c>
      <c r="AC108" s="99" t="s">
        <v>726</v>
      </c>
      <c r="AD108" s="98" t="s">
        <v>411</v>
      </c>
      <c r="AE108" s="100">
        <v>0.15154768294864912</v>
      </c>
      <c r="AF108" s="100">
        <v>0.06</v>
      </c>
      <c r="AG108" s="98">
        <v>465.1994990159241</v>
      </c>
      <c r="AH108" s="98">
        <v>250.49203793165145</v>
      </c>
      <c r="AI108" s="100">
        <v>0.015</v>
      </c>
      <c r="AJ108" s="100">
        <v>0.794097</v>
      </c>
      <c r="AK108" s="100">
        <v>0.816239</v>
      </c>
      <c r="AL108" s="100">
        <v>0.859019</v>
      </c>
      <c r="AM108" s="100">
        <v>0.607118</v>
      </c>
      <c r="AN108" s="100">
        <v>0.666065</v>
      </c>
      <c r="AO108" s="98">
        <v>2084.451601359814</v>
      </c>
      <c r="AP108" s="158">
        <v>1.139573822</v>
      </c>
      <c r="AQ108" s="100">
        <v>0.12017167381974249</v>
      </c>
      <c r="AR108" s="100">
        <v>0.5833333333333334</v>
      </c>
      <c r="AS108" s="98">
        <v>456.25335480407944</v>
      </c>
      <c r="AT108" s="98">
        <v>187.8690284487386</v>
      </c>
      <c r="AU108" s="98" t="s">
        <v>726</v>
      </c>
      <c r="AV108" s="98">
        <v>429.41492216854533</v>
      </c>
      <c r="AW108" s="98">
        <v>644.122383252818</v>
      </c>
      <c r="AX108" s="98">
        <v>241.54589371980677</v>
      </c>
      <c r="AY108" s="98">
        <v>733.583825371265</v>
      </c>
      <c r="AZ108" s="98">
        <v>518.8763642869923</v>
      </c>
      <c r="BA108" s="100" t="s">
        <v>726</v>
      </c>
      <c r="BB108" s="100" t="s">
        <v>726</v>
      </c>
      <c r="BC108" s="100" t="s">
        <v>726</v>
      </c>
      <c r="BD108" s="158">
        <v>0.9979368591</v>
      </c>
      <c r="BE108" s="158">
        <v>1.2956773380000002</v>
      </c>
      <c r="BF108" s="162">
        <v>1457</v>
      </c>
      <c r="BG108" s="162">
        <v>1170</v>
      </c>
      <c r="BH108" s="162">
        <v>2894</v>
      </c>
      <c r="BI108" s="162">
        <v>1433</v>
      </c>
      <c r="BJ108" s="162">
        <v>554</v>
      </c>
      <c r="BK108" s="97"/>
      <c r="BL108" s="97"/>
      <c r="BM108" s="97"/>
      <c r="BN108" s="97"/>
    </row>
    <row r="109" spans="1:66" ht="12.75">
      <c r="A109" s="79" t="s">
        <v>599</v>
      </c>
      <c r="B109" s="79" t="s">
        <v>287</v>
      </c>
      <c r="C109" s="79" t="s">
        <v>580</v>
      </c>
      <c r="D109" s="99">
        <v>9638</v>
      </c>
      <c r="E109" s="99">
        <v>1917</v>
      </c>
      <c r="F109" s="99" t="s">
        <v>432</v>
      </c>
      <c r="G109" s="99">
        <v>62</v>
      </c>
      <c r="H109" s="99">
        <v>22</v>
      </c>
      <c r="I109" s="99">
        <v>262</v>
      </c>
      <c r="J109" s="99">
        <v>1021</v>
      </c>
      <c r="K109" s="99">
        <v>852</v>
      </c>
      <c r="L109" s="99">
        <v>1984</v>
      </c>
      <c r="M109" s="99">
        <v>746</v>
      </c>
      <c r="N109" s="99">
        <v>300</v>
      </c>
      <c r="O109" s="99">
        <v>145</v>
      </c>
      <c r="P109" s="159">
        <v>145</v>
      </c>
      <c r="Q109" s="99">
        <v>29</v>
      </c>
      <c r="R109" s="99">
        <v>50</v>
      </c>
      <c r="S109" s="99">
        <v>25</v>
      </c>
      <c r="T109" s="99">
        <v>22</v>
      </c>
      <c r="U109" s="99">
        <v>8</v>
      </c>
      <c r="V109" s="99">
        <v>43</v>
      </c>
      <c r="W109" s="99">
        <v>59</v>
      </c>
      <c r="X109" s="99">
        <v>54</v>
      </c>
      <c r="Y109" s="99">
        <v>91</v>
      </c>
      <c r="Z109" s="99">
        <v>59</v>
      </c>
      <c r="AA109" s="99" t="s">
        <v>726</v>
      </c>
      <c r="AB109" s="99" t="s">
        <v>726</v>
      </c>
      <c r="AC109" s="99" t="s">
        <v>726</v>
      </c>
      <c r="AD109" s="98" t="s">
        <v>411</v>
      </c>
      <c r="AE109" s="100">
        <v>0.19890018676073873</v>
      </c>
      <c r="AF109" s="100">
        <v>0.1</v>
      </c>
      <c r="AG109" s="98">
        <v>643.2869890018676</v>
      </c>
      <c r="AH109" s="98">
        <v>228.26312512969497</v>
      </c>
      <c r="AI109" s="100">
        <v>0.027000000000000003</v>
      </c>
      <c r="AJ109" s="100">
        <v>0.785989</v>
      </c>
      <c r="AK109" s="100">
        <v>0.801505</v>
      </c>
      <c r="AL109" s="100">
        <v>0.833964</v>
      </c>
      <c r="AM109" s="100">
        <v>0.579643</v>
      </c>
      <c r="AN109" s="100">
        <v>0.614754</v>
      </c>
      <c r="AO109" s="98">
        <v>1504.4615065366258</v>
      </c>
      <c r="AP109" s="158">
        <v>0.7331928253</v>
      </c>
      <c r="AQ109" s="100">
        <v>0.2</v>
      </c>
      <c r="AR109" s="100">
        <v>0.58</v>
      </c>
      <c r="AS109" s="98">
        <v>259.3899149201079</v>
      </c>
      <c r="AT109" s="98">
        <v>228.26312512969497</v>
      </c>
      <c r="AU109" s="98">
        <v>83.00477277443453</v>
      </c>
      <c r="AV109" s="98">
        <v>446.1506536625856</v>
      </c>
      <c r="AW109" s="98">
        <v>612.1601992114547</v>
      </c>
      <c r="AX109" s="98">
        <v>560.2822162274331</v>
      </c>
      <c r="AY109" s="98">
        <v>944.1792903091928</v>
      </c>
      <c r="AZ109" s="98">
        <v>612.1601992114547</v>
      </c>
      <c r="BA109" s="100" t="s">
        <v>726</v>
      </c>
      <c r="BB109" s="100" t="s">
        <v>726</v>
      </c>
      <c r="BC109" s="100" t="s">
        <v>726</v>
      </c>
      <c r="BD109" s="158">
        <v>0.618712883</v>
      </c>
      <c r="BE109" s="158">
        <v>0.8627142334</v>
      </c>
      <c r="BF109" s="162">
        <v>1299</v>
      </c>
      <c r="BG109" s="162">
        <v>1063</v>
      </c>
      <c r="BH109" s="162">
        <v>2379</v>
      </c>
      <c r="BI109" s="162">
        <v>1287</v>
      </c>
      <c r="BJ109" s="162">
        <v>488</v>
      </c>
      <c r="BK109" s="97"/>
      <c r="BL109" s="97"/>
      <c r="BM109" s="97"/>
      <c r="BN109" s="97"/>
    </row>
    <row r="110" spans="1:66" ht="12.75">
      <c r="A110" s="79" t="s">
        <v>702</v>
      </c>
      <c r="B110" s="79" t="s">
        <v>393</v>
      </c>
      <c r="C110" s="79" t="s">
        <v>580</v>
      </c>
      <c r="D110" s="99">
        <v>2990</v>
      </c>
      <c r="E110" s="99">
        <v>328</v>
      </c>
      <c r="F110" s="99" t="s">
        <v>434</v>
      </c>
      <c r="G110" s="99" t="s">
        <v>726</v>
      </c>
      <c r="H110" s="99">
        <v>6</v>
      </c>
      <c r="I110" s="99">
        <v>33</v>
      </c>
      <c r="J110" s="99">
        <v>226</v>
      </c>
      <c r="K110" s="99">
        <v>216</v>
      </c>
      <c r="L110" s="99">
        <v>657</v>
      </c>
      <c r="M110" s="99">
        <v>124</v>
      </c>
      <c r="N110" s="99">
        <v>50</v>
      </c>
      <c r="O110" s="99">
        <v>25</v>
      </c>
      <c r="P110" s="159">
        <v>25</v>
      </c>
      <c r="Q110" s="99" t="s">
        <v>726</v>
      </c>
      <c r="R110" s="99">
        <v>6</v>
      </c>
      <c r="S110" s="99" t="s">
        <v>726</v>
      </c>
      <c r="T110" s="99" t="s">
        <v>726</v>
      </c>
      <c r="U110" s="99" t="s">
        <v>726</v>
      </c>
      <c r="V110" s="99" t="s">
        <v>726</v>
      </c>
      <c r="W110" s="99">
        <v>7</v>
      </c>
      <c r="X110" s="99">
        <v>8</v>
      </c>
      <c r="Y110" s="99">
        <v>13</v>
      </c>
      <c r="Z110" s="99">
        <v>10</v>
      </c>
      <c r="AA110" s="99" t="s">
        <v>726</v>
      </c>
      <c r="AB110" s="99" t="s">
        <v>726</v>
      </c>
      <c r="AC110" s="99" t="s">
        <v>726</v>
      </c>
      <c r="AD110" s="98" t="s">
        <v>411</v>
      </c>
      <c r="AE110" s="100">
        <v>0.1096989966555184</v>
      </c>
      <c r="AF110" s="100">
        <v>0.07</v>
      </c>
      <c r="AG110" s="98" t="s">
        <v>726</v>
      </c>
      <c r="AH110" s="98">
        <v>200.66889632107024</v>
      </c>
      <c r="AI110" s="100">
        <v>0.011000000000000001</v>
      </c>
      <c r="AJ110" s="100">
        <v>0.768707</v>
      </c>
      <c r="AK110" s="100">
        <v>0.779783</v>
      </c>
      <c r="AL110" s="100">
        <v>0.796364</v>
      </c>
      <c r="AM110" s="100">
        <v>0.497992</v>
      </c>
      <c r="AN110" s="100">
        <v>0.555556</v>
      </c>
      <c r="AO110" s="98">
        <v>836.1204013377926</v>
      </c>
      <c r="AP110" s="158">
        <v>0.5107688141</v>
      </c>
      <c r="AQ110" s="100" t="s">
        <v>726</v>
      </c>
      <c r="AR110" s="100" t="s">
        <v>726</v>
      </c>
      <c r="AS110" s="98" t="s">
        <v>726</v>
      </c>
      <c r="AT110" s="98" t="s">
        <v>726</v>
      </c>
      <c r="AU110" s="98" t="s">
        <v>726</v>
      </c>
      <c r="AV110" s="98" t="s">
        <v>726</v>
      </c>
      <c r="AW110" s="98">
        <v>234.11371237458195</v>
      </c>
      <c r="AX110" s="98">
        <v>267.55852842809367</v>
      </c>
      <c r="AY110" s="98">
        <v>434.7826086956522</v>
      </c>
      <c r="AZ110" s="98">
        <v>334.44816053511704</v>
      </c>
      <c r="BA110" s="100" t="s">
        <v>726</v>
      </c>
      <c r="BB110" s="100" t="s">
        <v>726</v>
      </c>
      <c r="BC110" s="100" t="s">
        <v>726</v>
      </c>
      <c r="BD110" s="158">
        <v>0.3305426407</v>
      </c>
      <c r="BE110" s="158">
        <v>0.7539955139</v>
      </c>
      <c r="BF110" s="162">
        <v>294</v>
      </c>
      <c r="BG110" s="162">
        <v>277</v>
      </c>
      <c r="BH110" s="162">
        <v>825</v>
      </c>
      <c r="BI110" s="162">
        <v>249</v>
      </c>
      <c r="BJ110" s="162">
        <v>90</v>
      </c>
      <c r="BK110" s="97"/>
      <c r="BL110" s="97"/>
      <c r="BM110" s="97"/>
      <c r="BN110" s="97"/>
    </row>
    <row r="111" spans="1:66" ht="12.75">
      <c r="A111" s="79" t="s">
        <v>674</v>
      </c>
      <c r="B111" s="79" t="s">
        <v>364</v>
      </c>
      <c r="C111" s="79" t="s">
        <v>580</v>
      </c>
      <c r="D111" s="99">
        <v>9248</v>
      </c>
      <c r="E111" s="99">
        <v>1613</v>
      </c>
      <c r="F111" s="99" t="s">
        <v>434</v>
      </c>
      <c r="G111" s="99">
        <v>32</v>
      </c>
      <c r="H111" s="99">
        <v>28</v>
      </c>
      <c r="I111" s="99">
        <v>165</v>
      </c>
      <c r="J111" s="99">
        <v>741</v>
      </c>
      <c r="K111" s="99">
        <v>360</v>
      </c>
      <c r="L111" s="99">
        <v>2053</v>
      </c>
      <c r="M111" s="99">
        <v>544</v>
      </c>
      <c r="N111" s="99">
        <v>222</v>
      </c>
      <c r="O111" s="99">
        <v>110</v>
      </c>
      <c r="P111" s="159">
        <v>110</v>
      </c>
      <c r="Q111" s="99">
        <v>9</v>
      </c>
      <c r="R111" s="99">
        <v>32</v>
      </c>
      <c r="S111" s="99">
        <v>32</v>
      </c>
      <c r="T111" s="99">
        <v>20</v>
      </c>
      <c r="U111" s="99" t="s">
        <v>726</v>
      </c>
      <c r="V111" s="99">
        <v>26</v>
      </c>
      <c r="W111" s="99">
        <v>35</v>
      </c>
      <c r="X111" s="99">
        <v>35</v>
      </c>
      <c r="Y111" s="99">
        <v>57</v>
      </c>
      <c r="Z111" s="99">
        <v>35</v>
      </c>
      <c r="AA111" s="99" t="s">
        <v>726</v>
      </c>
      <c r="AB111" s="99" t="s">
        <v>726</v>
      </c>
      <c r="AC111" s="99" t="s">
        <v>726</v>
      </c>
      <c r="AD111" s="98" t="s">
        <v>411</v>
      </c>
      <c r="AE111" s="100">
        <v>0.17441608996539792</v>
      </c>
      <c r="AF111" s="100">
        <v>0.05</v>
      </c>
      <c r="AG111" s="98">
        <v>346.02076124567475</v>
      </c>
      <c r="AH111" s="98">
        <v>302.7681660899654</v>
      </c>
      <c r="AI111" s="100">
        <v>0.018000000000000002</v>
      </c>
      <c r="AJ111" s="100">
        <v>0.711816</v>
      </c>
      <c r="AK111" s="100">
        <v>0.833333</v>
      </c>
      <c r="AL111" s="100">
        <v>0.852929</v>
      </c>
      <c r="AM111" s="100">
        <v>0.591304</v>
      </c>
      <c r="AN111" s="100">
        <v>0.618384</v>
      </c>
      <c r="AO111" s="98">
        <v>1189.4463667820069</v>
      </c>
      <c r="AP111" s="158">
        <v>0.61303936</v>
      </c>
      <c r="AQ111" s="100">
        <v>0.08181818181818182</v>
      </c>
      <c r="AR111" s="100">
        <v>0.28125</v>
      </c>
      <c r="AS111" s="98">
        <v>346.02076124567475</v>
      </c>
      <c r="AT111" s="98">
        <v>216.26297577854672</v>
      </c>
      <c r="AU111" s="98" t="s">
        <v>726</v>
      </c>
      <c r="AV111" s="98">
        <v>281.1418685121107</v>
      </c>
      <c r="AW111" s="98">
        <v>378.46020761245677</v>
      </c>
      <c r="AX111" s="98">
        <v>378.46020761245677</v>
      </c>
      <c r="AY111" s="98">
        <v>616.3494809688582</v>
      </c>
      <c r="AZ111" s="98">
        <v>378.46020761245677</v>
      </c>
      <c r="BA111" s="100" t="s">
        <v>726</v>
      </c>
      <c r="BB111" s="100" t="s">
        <v>726</v>
      </c>
      <c r="BC111" s="100" t="s">
        <v>726</v>
      </c>
      <c r="BD111" s="158">
        <v>0.5038438034</v>
      </c>
      <c r="BE111" s="158">
        <v>0.7388782501</v>
      </c>
      <c r="BF111" s="162">
        <v>1041</v>
      </c>
      <c r="BG111" s="162">
        <v>432</v>
      </c>
      <c r="BH111" s="162">
        <v>2407</v>
      </c>
      <c r="BI111" s="162">
        <v>920</v>
      </c>
      <c r="BJ111" s="162">
        <v>359</v>
      </c>
      <c r="BK111" s="97"/>
      <c r="BL111" s="97"/>
      <c r="BM111" s="97"/>
      <c r="BN111" s="97"/>
    </row>
    <row r="112" spans="1:66" ht="12.75">
      <c r="A112" s="79" t="s">
        <v>645</v>
      </c>
      <c r="B112" s="79" t="s">
        <v>335</v>
      </c>
      <c r="C112" s="79" t="s">
        <v>580</v>
      </c>
      <c r="D112" s="99">
        <v>9822</v>
      </c>
      <c r="E112" s="99">
        <v>1368</v>
      </c>
      <c r="F112" s="99" t="s">
        <v>433</v>
      </c>
      <c r="G112" s="99">
        <v>26</v>
      </c>
      <c r="H112" s="99">
        <v>11</v>
      </c>
      <c r="I112" s="99">
        <v>155</v>
      </c>
      <c r="J112" s="99">
        <v>702</v>
      </c>
      <c r="K112" s="99">
        <v>12</v>
      </c>
      <c r="L112" s="99">
        <v>2177</v>
      </c>
      <c r="M112" s="99">
        <v>466</v>
      </c>
      <c r="N112" s="99">
        <v>187</v>
      </c>
      <c r="O112" s="99">
        <v>91</v>
      </c>
      <c r="P112" s="159">
        <v>91</v>
      </c>
      <c r="Q112" s="99">
        <v>14</v>
      </c>
      <c r="R112" s="99">
        <v>44</v>
      </c>
      <c r="S112" s="99">
        <v>19</v>
      </c>
      <c r="T112" s="99">
        <v>6</v>
      </c>
      <c r="U112" s="99" t="s">
        <v>726</v>
      </c>
      <c r="V112" s="99">
        <v>23</v>
      </c>
      <c r="W112" s="99">
        <v>70</v>
      </c>
      <c r="X112" s="99">
        <v>37</v>
      </c>
      <c r="Y112" s="99">
        <v>84</v>
      </c>
      <c r="Z112" s="99">
        <v>56</v>
      </c>
      <c r="AA112" s="99" t="s">
        <v>726</v>
      </c>
      <c r="AB112" s="99" t="s">
        <v>726</v>
      </c>
      <c r="AC112" s="99" t="s">
        <v>726</v>
      </c>
      <c r="AD112" s="98" t="s">
        <v>411</v>
      </c>
      <c r="AE112" s="100">
        <v>0.13927916921197311</v>
      </c>
      <c r="AF112" s="100">
        <v>0.15</v>
      </c>
      <c r="AG112" s="98">
        <v>264.71187130930565</v>
      </c>
      <c r="AH112" s="98">
        <v>111.99348401547546</v>
      </c>
      <c r="AI112" s="100">
        <v>0.016</v>
      </c>
      <c r="AJ112" s="100">
        <v>0.694362</v>
      </c>
      <c r="AK112" s="100">
        <v>0.6</v>
      </c>
      <c r="AL112" s="100">
        <v>0.823997</v>
      </c>
      <c r="AM112" s="100">
        <v>0.521837</v>
      </c>
      <c r="AN112" s="100">
        <v>0.561562</v>
      </c>
      <c r="AO112" s="98">
        <v>926.4915495825697</v>
      </c>
      <c r="AP112" s="158">
        <v>0.5462664795</v>
      </c>
      <c r="AQ112" s="100">
        <v>0.15384615384615385</v>
      </c>
      <c r="AR112" s="100">
        <v>0.3181818181818182</v>
      </c>
      <c r="AS112" s="98">
        <v>193.44329057218488</v>
      </c>
      <c r="AT112" s="98">
        <v>61.08735491753207</v>
      </c>
      <c r="AU112" s="98" t="s">
        <v>726</v>
      </c>
      <c r="AV112" s="98">
        <v>234.1681938505396</v>
      </c>
      <c r="AW112" s="98">
        <v>712.6858073712075</v>
      </c>
      <c r="AX112" s="98">
        <v>376.7053553247811</v>
      </c>
      <c r="AY112" s="98">
        <v>855.222968845449</v>
      </c>
      <c r="AZ112" s="98">
        <v>570.148645896966</v>
      </c>
      <c r="BA112" s="100" t="s">
        <v>726</v>
      </c>
      <c r="BB112" s="100" t="s">
        <v>726</v>
      </c>
      <c r="BC112" s="100" t="s">
        <v>726</v>
      </c>
      <c r="BD112" s="158">
        <v>0.4398197174</v>
      </c>
      <c r="BE112" s="158">
        <v>0.6706941986</v>
      </c>
      <c r="BF112" s="162">
        <v>1011</v>
      </c>
      <c r="BG112" s="162">
        <v>20</v>
      </c>
      <c r="BH112" s="162">
        <v>2642</v>
      </c>
      <c r="BI112" s="162">
        <v>893</v>
      </c>
      <c r="BJ112" s="162">
        <v>333</v>
      </c>
      <c r="BK112" s="97"/>
      <c r="BL112" s="97"/>
      <c r="BM112" s="97"/>
      <c r="BN112" s="97"/>
    </row>
    <row r="113" spans="1:66" ht="12.75">
      <c r="A113" s="79" t="s">
        <v>694</v>
      </c>
      <c r="B113" s="79" t="s">
        <v>385</v>
      </c>
      <c r="C113" s="79" t="s">
        <v>580</v>
      </c>
      <c r="D113" s="99">
        <v>5487</v>
      </c>
      <c r="E113" s="99">
        <v>1041</v>
      </c>
      <c r="F113" s="99" t="s">
        <v>434</v>
      </c>
      <c r="G113" s="99">
        <v>36</v>
      </c>
      <c r="H113" s="99">
        <v>11</v>
      </c>
      <c r="I113" s="99">
        <v>125</v>
      </c>
      <c r="J113" s="99">
        <v>635</v>
      </c>
      <c r="K113" s="99">
        <v>614</v>
      </c>
      <c r="L113" s="99">
        <v>1177</v>
      </c>
      <c r="M113" s="99">
        <v>468</v>
      </c>
      <c r="N113" s="99">
        <v>184</v>
      </c>
      <c r="O113" s="99">
        <v>123</v>
      </c>
      <c r="P113" s="159">
        <v>123</v>
      </c>
      <c r="Q113" s="99">
        <v>10</v>
      </c>
      <c r="R113" s="99">
        <v>29</v>
      </c>
      <c r="S113" s="99">
        <v>28</v>
      </c>
      <c r="T113" s="99">
        <v>17</v>
      </c>
      <c r="U113" s="99">
        <v>9</v>
      </c>
      <c r="V113" s="99">
        <v>34</v>
      </c>
      <c r="W113" s="99">
        <v>36</v>
      </c>
      <c r="X113" s="99">
        <v>19</v>
      </c>
      <c r="Y113" s="99">
        <v>49</v>
      </c>
      <c r="Z113" s="99">
        <v>31</v>
      </c>
      <c r="AA113" s="99" t="s">
        <v>726</v>
      </c>
      <c r="AB113" s="99" t="s">
        <v>726</v>
      </c>
      <c r="AC113" s="99" t="s">
        <v>726</v>
      </c>
      <c r="AD113" s="98" t="s">
        <v>411</v>
      </c>
      <c r="AE113" s="100">
        <v>0.18972115910333515</v>
      </c>
      <c r="AF113" s="100">
        <v>0.06</v>
      </c>
      <c r="AG113" s="98">
        <v>656.0962274466922</v>
      </c>
      <c r="AH113" s="98">
        <v>200.47384727537818</v>
      </c>
      <c r="AI113" s="100">
        <v>0.023</v>
      </c>
      <c r="AJ113" s="100">
        <v>0.792759</v>
      </c>
      <c r="AK113" s="100">
        <v>0.793282</v>
      </c>
      <c r="AL113" s="100">
        <v>0.873145</v>
      </c>
      <c r="AM113" s="100">
        <v>0.616601</v>
      </c>
      <c r="AN113" s="100">
        <v>0.652482</v>
      </c>
      <c r="AO113" s="98">
        <v>2241.662110442865</v>
      </c>
      <c r="AP113" s="158">
        <v>1.10678299</v>
      </c>
      <c r="AQ113" s="100">
        <v>0.08130081300813008</v>
      </c>
      <c r="AR113" s="100">
        <v>0.3448275862068966</v>
      </c>
      <c r="AS113" s="98">
        <v>510.2970657918717</v>
      </c>
      <c r="AT113" s="98">
        <v>309.8232185164935</v>
      </c>
      <c r="AU113" s="98">
        <v>164.02405686167305</v>
      </c>
      <c r="AV113" s="98">
        <v>619.646437032987</v>
      </c>
      <c r="AW113" s="98">
        <v>656.0962274466922</v>
      </c>
      <c r="AX113" s="98">
        <v>346.27300893019867</v>
      </c>
      <c r="AY113" s="98">
        <v>893.0198651357755</v>
      </c>
      <c r="AZ113" s="98">
        <v>564.9717514124294</v>
      </c>
      <c r="BA113" s="100" t="s">
        <v>726</v>
      </c>
      <c r="BB113" s="100" t="s">
        <v>726</v>
      </c>
      <c r="BC113" s="100" t="s">
        <v>726</v>
      </c>
      <c r="BD113" s="158">
        <v>0.9198448181000001</v>
      </c>
      <c r="BE113" s="158">
        <v>1.3205488589999999</v>
      </c>
      <c r="BF113" s="162">
        <v>801</v>
      </c>
      <c r="BG113" s="162">
        <v>774</v>
      </c>
      <c r="BH113" s="162">
        <v>1348</v>
      </c>
      <c r="BI113" s="162">
        <v>759</v>
      </c>
      <c r="BJ113" s="162">
        <v>282</v>
      </c>
      <c r="BK113" s="97"/>
      <c r="BL113" s="97"/>
      <c r="BM113" s="97"/>
      <c r="BN113" s="97"/>
    </row>
    <row r="114" spans="1:66" ht="12.75">
      <c r="A114" s="79" t="s">
        <v>601</v>
      </c>
      <c r="B114" s="79" t="s">
        <v>289</v>
      </c>
      <c r="C114" s="79" t="s">
        <v>580</v>
      </c>
      <c r="D114" s="99">
        <v>9297</v>
      </c>
      <c r="E114" s="99">
        <v>1961</v>
      </c>
      <c r="F114" s="99" t="s">
        <v>433</v>
      </c>
      <c r="G114" s="99">
        <v>52</v>
      </c>
      <c r="H114" s="99">
        <v>26</v>
      </c>
      <c r="I114" s="99">
        <v>152</v>
      </c>
      <c r="J114" s="99">
        <v>756</v>
      </c>
      <c r="K114" s="99">
        <v>15</v>
      </c>
      <c r="L114" s="99">
        <v>1773</v>
      </c>
      <c r="M114" s="99">
        <v>570</v>
      </c>
      <c r="N114" s="99">
        <v>206</v>
      </c>
      <c r="O114" s="99">
        <v>331</v>
      </c>
      <c r="P114" s="159">
        <v>331</v>
      </c>
      <c r="Q114" s="99">
        <v>20</v>
      </c>
      <c r="R114" s="99">
        <v>43</v>
      </c>
      <c r="S114" s="99">
        <v>46</v>
      </c>
      <c r="T114" s="99">
        <v>56</v>
      </c>
      <c r="U114" s="99">
        <v>15</v>
      </c>
      <c r="V114" s="99">
        <v>75</v>
      </c>
      <c r="W114" s="99">
        <v>82</v>
      </c>
      <c r="X114" s="99">
        <v>29</v>
      </c>
      <c r="Y114" s="99">
        <v>112</v>
      </c>
      <c r="Z114" s="99">
        <v>73</v>
      </c>
      <c r="AA114" s="99" t="s">
        <v>726</v>
      </c>
      <c r="AB114" s="99" t="s">
        <v>726</v>
      </c>
      <c r="AC114" s="99" t="s">
        <v>726</v>
      </c>
      <c r="AD114" s="98" t="s">
        <v>411</v>
      </c>
      <c r="AE114" s="100">
        <v>0.21092825642680435</v>
      </c>
      <c r="AF114" s="100">
        <v>0.13</v>
      </c>
      <c r="AG114" s="98">
        <v>559.3202108206948</v>
      </c>
      <c r="AH114" s="98">
        <v>279.6601054103474</v>
      </c>
      <c r="AI114" s="100">
        <v>0.016</v>
      </c>
      <c r="AJ114" s="100">
        <v>0.692308</v>
      </c>
      <c r="AK114" s="100">
        <v>0.652174</v>
      </c>
      <c r="AL114" s="100">
        <v>0.811442</v>
      </c>
      <c r="AM114" s="100">
        <v>0.545455</v>
      </c>
      <c r="AN114" s="100">
        <v>0.567493</v>
      </c>
      <c r="AO114" s="98">
        <v>3560.2882650317306</v>
      </c>
      <c r="AP114" s="158">
        <v>1.741410065</v>
      </c>
      <c r="AQ114" s="100">
        <v>0.06042296072507553</v>
      </c>
      <c r="AR114" s="100">
        <v>0.46511627906976744</v>
      </c>
      <c r="AS114" s="98">
        <v>494.783263418307</v>
      </c>
      <c r="AT114" s="98">
        <v>602.3448424222868</v>
      </c>
      <c r="AU114" s="98">
        <v>161.34236850596966</v>
      </c>
      <c r="AV114" s="98">
        <v>806.7118425298484</v>
      </c>
      <c r="AW114" s="98">
        <v>882.0049478326342</v>
      </c>
      <c r="AX114" s="98">
        <v>311.92857911154135</v>
      </c>
      <c r="AY114" s="98">
        <v>1204.6896848445735</v>
      </c>
      <c r="AZ114" s="98">
        <v>785.1995267290524</v>
      </c>
      <c r="BA114" s="100" t="s">
        <v>726</v>
      </c>
      <c r="BB114" s="100" t="s">
        <v>726</v>
      </c>
      <c r="BC114" s="100" t="s">
        <v>726</v>
      </c>
      <c r="BD114" s="158">
        <v>1.55884079</v>
      </c>
      <c r="BE114" s="158">
        <v>1.9394876099999998</v>
      </c>
      <c r="BF114" s="162">
        <v>1092</v>
      </c>
      <c r="BG114" s="162">
        <v>23</v>
      </c>
      <c r="BH114" s="162">
        <v>2185</v>
      </c>
      <c r="BI114" s="162">
        <v>1045</v>
      </c>
      <c r="BJ114" s="162">
        <v>363</v>
      </c>
      <c r="BK114" s="97"/>
      <c r="BL114" s="97"/>
      <c r="BM114" s="97"/>
      <c r="BN114" s="97"/>
    </row>
    <row r="115" spans="1:66" ht="12.75">
      <c r="A115" s="79" t="s">
        <v>695</v>
      </c>
      <c r="B115" s="79" t="s">
        <v>386</v>
      </c>
      <c r="C115" s="79" t="s">
        <v>580</v>
      </c>
      <c r="D115" s="99">
        <v>3007</v>
      </c>
      <c r="E115" s="99">
        <v>480</v>
      </c>
      <c r="F115" s="99" t="s">
        <v>434</v>
      </c>
      <c r="G115" s="99">
        <v>8</v>
      </c>
      <c r="H115" s="99" t="s">
        <v>726</v>
      </c>
      <c r="I115" s="99">
        <v>35</v>
      </c>
      <c r="J115" s="99">
        <v>272</v>
      </c>
      <c r="K115" s="99">
        <v>245</v>
      </c>
      <c r="L115" s="99">
        <v>601</v>
      </c>
      <c r="M115" s="99">
        <v>205</v>
      </c>
      <c r="N115" s="99">
        <v>97</v>
      </c>
      <c r="O115" s="99">
        <v>27</v>
      </c>
      <c r="P115" s="159">
        <v>27</v>
      </c>
      <c r="Q115" s="99" t="s">
        <v>726</v>
      </c>
      <c r="R115" s="99">
        <v>12</v>
      </c>
      <c r="S115" s="99">
        <v>12</v>
      </c>
      <c r="T115" s="99" t="s">
        <v>726</v>
      </c>
      <c r="U115" s="99" t="s">
        <v>726</v>
      </c>
      <c r="V115" s="99" t="s">
        <v>726</v>
      </c>
      <c r="W115" s="99">
        <v>11</v>
      </c>
      <c r="X115" s="99" t="s">
        <v>726</v>
      </c>
      <c r="Y115" s="99">
        <v>19</v>
      </c>
      <c r="Z115" s="99">
        <v>9</v>
      </c>
      <c r="AA115" s="99" t="s">
        <v>726</v>
      </c>
      <c r="AB115" s="99" t="s">
        <v>726</v>
      </c>
      <c r="AC115" s="99" t="s">
        <v>726</v>
      </c>
      <c r="AD115" s="98" t="s">
        <v>411</v>
      </c>
      <c r="AE115" s="100">
        <v>0.15962753574991687</v>
      </c>
      <c r="AF115" s="100">
        <v>0.06</v>
      </c>
      <c r="AG115" s="98">
        <v>266.0458929165281</v>
      </c>
      <c r="AH115" s="98" t="s">
        <v>726</v>
      </c>
      <c r="AI115" s="100">
        <v>0.012</v>
      </c>
      <c r="AJ115" s="100">
        <v>0.741144</v>
      </c>
      <c r="AK115" s="100">
        <v>0.772871</v>
      </c>
      <c r="AL115" s="100">
        <v>0.817687</v>
      </c>
      <c r="AM115" s="100">
        <v>0.60472</v>
      </c>
      <c r="AN115" s="100">
        <v>0.702899</v>
      </c>
      <c r="AO115" s="98">
        <v>897.9048885932823</v>
      </c>
      <c r="AP115" s="158">
        <v>0.4785390854</v>
      </c>
      <c r="AQ115" s="100" t="s">
        <v>726</v>
      </c>
      <c r="AR115" s="100" t="s">
        <v>726</v>
      </c>
      <c r="AS115" s="98">
        <v>399.06883937479216</v>
      </c>
      <c r="AT115" s="98" t="s">
        <v>726</v>
      </c>
      <c r="AU115" s="98" t="s">
        <v>726</v>
      </c>
      <c r="AV115" s="98" t="s">
        <v>726</v>
      </c>
      <c r="AW115" s="98">
        <v>365.8131027602261</v>
      </c>
      <c r="AX115" s="98" t="s">
        <v>726</v>
      </c>
      <c r="AY115" s="98">
        <v>631.8589956767543</v>
      </c>
      <c r="AZ115" s="98">
        <v>299.30162953109414</v>
      </c>
      <c r="BA115" s="100" t="s">
        <v>726</v>
      </c>
      <c r="BB115" s="100" t="s">
        <v>726</v>
      </c>
      <c r="BC115" s="100" t="s">
        <v>726</v>
      </c>
      <c r="BD115" s="158">
        <v>0.31536027910000003</v>
      </c>
      <c r="BE115" s="158">
        <v>0.6962492371000001</v>
      </c>
      <c r="BF115" s="162">
        <v>367</v>
      </c>
      <c r="BG115" s="162">
        <v>317</v>
      </c>
      <c r="BH115" s="162">
        <v>735</v>
      </c>
      <c r="BI115" s="162">
        <v>339</v>
      </c>
      <c r="BJ115" s="162">
        <v>138</v>
      </c>
      <c r="BK115" s="97"/>
      <c r="BL115" s="97"/>
      <c r="BM115" s="97"/>
      <c r="BN115" s="97"/>
    </row>
    <row r="116" spans="1:66" ht="12.75">
      <c r="A116" s="79" t="s">
        <v>628</v>
      </c>
      <c r="B116" s="79" t="s">
        <v>318</v>
      </c>
      <c r="C116" s="79" t="s">
        <v>580</v>
      </c>
      <c r="D116" s="99">
        <v>14473</v>
      </c>
      <c r="E116" s="99">
        <v>2281</v>
      </c>
      <c r="F116" s="99" t="s">
        <v>434</v>
      </c>
      <c r="G116" s="99">
        <v>64</v>
      </c>
      <c r="H116" s="99">
        <v>23</v>
      </c>
      <c r="I116" s="99">
        <v>180</v>
      </c>
      <c r="J116" s="99">
        <v>1417</v>
      </c>
      <c r="K116" s="99">
        <v>585</v>
      </c>
      <c r="L116" s="99">
        <v>3259</v>
      </c>
      <c r="M116" s="99">
        <v>892</v>
      </c>
      <c r="N116" s="99">
        <v>374</v>
      </c>
      <c r="O116" s="99">
        <v>175</v>
      </c>
      <c r="P116" s="159">
        <v>175</v>
      </c>
      <c r="Q116" s="99">
        <v>28</v>
      </c>
      <c r="R116" s="99">
        <v>69</v>
      </c>
      <c r="S116" s="99">
        <v>45</v>
      </c>
      <c r="T116" s="99">
        <v>17</v>
      </c>
      <c r="U116" s="99">
        <v>8</v>
      </c>
      <c r="V116" s="99">
        <v>46</v>
      </c>
      <c r="W116" s="99">
        <v>89</v>
      </c>
      <c r="X116" s="99">
        <v>49</v>
      </c>
      <c r="Y116" s="99">
        <v>113</v>
      </c>
      <c r="Z116" s="99">
        <v>59</v>
      </c>
      <c r="AA116" s="99" t="s">
        <v>726</v>
      </c>
      <c r="AB116" s="99" t="s">
        <v>726</v>
      </c>
      <c r="AC116" s="99" t="s">
        <v>726</v>
      </c>
      <c r="AD116" s="98" t="s">
        <v>411</v>
      </c>
      <c r="AE116" s="100">
        <v>0.15760381399847992</v>
      </c>
      <c r="AF116" s="100">
        <v>0.08</v>
      </c>
      <c r="AG116" s="98">
        <v>442.2027223105092</v>
      </c>
      <c r="AH116" s="98">
        <v>158.91660333033926</v>
      </c>
      <c r="AI116" s="100">
        <v>0.012</v>
      </c>
      <c r="AJ116" s="100">
        <v>0.818602</v>
      </c>
      <c r="AK116" s="100">
        <v>0.814763</v>
      </c>
      <c r="AL116" s="100">
        <v>0.833291</v>
      </c>
      <c r="AM116" s="100">
        <v>0.608044</v>
      </c>
      <c r="AN116" s="100">
        <v>0.660777</v>
      </c>
      <c r="AO116" s="98">
        <v>1209.1480688177987</v>
      </c>
      <c r="AP116" s="158">
        <v>0.6461979675</v>
      </c>
      <c r="AQ116" s="100">
        <v>0.16</v>
      </c>
      <c r="AR116" s="100">
        <v>0.4057971014492754</v>
      </c>
      <c r="AS116" s="98">
        <v>310.9237891245768</v>
      </c>
      <c r="AT116" s="98">
        <v>117.46009811372902</v>
      </c>
      <c r="AU116" s="98">
        <v>55.27534028881365</v>
      </c>
      <c r="AV116" s="98">
        <v>317.8332066606785</v>
      </c>
      <c r="AW116" s="98">
        <v>614.9381607130518</v>
      </c>
      <c r="AX116" s="98">
        <v>338.56145926898364</v>
      </c>
      <c r="AY116" s="98">
        <v>780.7641815794929</v>
      </c>
      <c r="AZ116" s="98">
        <v>407.6556346300007</v>
      </c>
      <c r="BA116" s="100" t="s">
        <v>726</v>
      </c>
      <c r="BB116" s="100" t="s">
        <v>726</v>
      </c>
      <c r="BC116" s="100" t="s">
        <v>726</v>
      </c>
      <c r="BD116" s="158">
        <v>0.5540016174</v>
      </c>
      <c r="BE116" s="158">
        <v>0.7493521117999999</v>
      </c>
      <c r="BF116" s="162">
        <v>1731</v>
      </c>
      <c r="BG116" s="162">
        <v>718</v>
      </c>
      <c r="BH116" s="162">
        <v>3911</v>
      </c>
      <c r="BI116" s="162">
        <v>1467</v>
      </c>
      <c r="BJ116" s="162">
        <v>566</v>
      </c>
      <c r="BK116" s="97"/>
      <c r="BL116" s="97"/>
      <c r="BM116" s="97"/>
      <c r="BN116" s="97"/>
    </row>
    <row r="117" spans="1:66" ht="12.75">
      <c r="A117" s="79" t="s">
        <v>666</v>
      </c>
      <c r="B117" s="79" t="s">
        <v>356</v>
      </c>
      <c r="C117" s="79" t="s">
        <v>580</v>
      </c>
      <c r="D117" s="99">
        <v>18911</v>
      </c>
      <c r="E117" s="99">
        <v>2908</v>
      </c>
      <c r="F117" s="99" t="s">
        <v>434</v>
      </c>
      <c r="G117" s="99">
        <v>62</v>
      </c>
      <c r="H117" s="99">
        <v>29</v>
      </c>
      <c r="I117" s="99">
        <v>334</v>
      </c>
      <c r="J117" s="99">
        <v>1449</v>
      </c>
      <c r="K117" s="99">
        <v>29</v>
      </c>
      <c r="L117" s="99">
        <v>3822</v>
      </c>
      <c r="M117" s="99">
        <v>1066</v>
      </c>
      <c r="N117" s="99">
        <v>479</v>
      </c>
      <c r="O117" s="99">
        <v>185</v>
      </c>
      <c r="P117" s="159">
        <v>185</v>
      </c>
      <c r="Q117" s="99">
        <v>16</v>
      </c>
      <c r="R117" s="99">
        <v>51</v>
      </c>
      <c r="S117" s="99">
        <v>50</v>
      </c>
      <c r="T117" s="99">
        <v>31</v>
      </c>
      <c r="U117" s="99">
        <v>11</v>
      </c>
      <c r="V117" s="99">
        <v>32</v>
      </c>
      <c r="W117" s="99">
        <v>70</v>
      </c>
      <c r="X117" s="99">
        <v>52</v>
      </c>
      <c r="Y117" s="99">
        <v>114</v>
      </c>
      <c r="Z117" s="99">
        <v>76</v>
      </c>
      <c r="AA117" s="99" t="s">
        <v>726</v>
      </c>
      <c r="AB117" s="99" t="s">
        <v>726</v>
      </c>
      <c r="AC117" s="99" t="s">
        <v>726</v>
      </c>
      <c r="AD117" s="98" t="s">
        <v>411</v>
      </c>
      <c r="AE117" s="100">
        <v>0.15377293638623024</v>
      </c>
      <c r="AF117" s="100">
        <v>0.07</v>
      </c>
      <c r="AG117" s="98">
        <v>327.85151499127494</v>
      </c>
      <c r="AH117" s="98">
        <v>153.34990217333828</v>
      </c>
      <c r="AI117" s="100">
        <v>0.018000000000000002</v>
      </c>
      <c r="AJ117" s="100">
        <v>0.646875</v>
      </c>
      <c r="AK117" s="100">
        <v>0.517857</v>
      </c>
      <c r="AL117" s="100">
        <v>0.767778</v>
      </c>
      <c r="AM117" s="100">
        <v>0.544433</v>
      </c>
      <c r="AN117" s="100">
        <v>0.609415</v>
      </c>
      <c r="AO117" s="98">
        <v>978.2666173126752</v>
      </c>
      <c r="AP117" s="158">
        <v>0.5323425674</v>
      </c>
      <c r="AQ117" s="100">
        <v>0.08648648648648649</v>
      </c>
      <c r="AR117" s="100">
        <v>0.3137254901960784</v>
      </c>
      <c r="AS117" s="98">
        <v>264.3963830574798</v>
      </c>
      <c r="AT117" s="98">
        <v>163.92575749563747</v>
      </c>
      <c r="AU117" s="98">
        <v>58.16720427264555</v>
      </c>
      <c r="AV117" s="98">
        <v>169.21368515678705</v>
      </c>
      <c r="AW117" s="98">
        <v>370.1549362804717</v>
      </c>
      <c r="AX117" s="98">
        <v>274.97223837977896</v>
      </c>
      <c r="AY117" s="98">
        <v>602.8237533710538</v>
      </c>
      <c r="AZ117" s="98">
        <v>401.88250224736925</v>
      </c>
      <c r="BA117" s="100" t="s">
        <v>726</v>
      </c>
      <c r="BB117" s="100" t="s">
        <v>726</v>
      </c>
      <c r="BC117" s="100" t="s">
        <v>726</v>
      </c>
      <c r="BD117" s="158">
        <v>0.4583930588</v>
      </c>
      <c r="BE117" s="158">
        <v>0.6148255539</v>
      </c>
      <c r="BF117" s="162">
        <v>2240</v>
      </c>
      <c r="BG117" s="162">
        <v>56</v>
      </c>
      <c r="BH117" s="162">
        <v>4978</v>
      </c>
      <c r="BI117" s="162">
        <v>1958</v>
      </c>
      <c r="BJ117" s="162">
        <v>786</v>
      </c>
      <c r="BK117" s="97"/>
      <c r="BL117" s="97"/>
      <c r="BM117" s="97"/>
      <c r="BN117" s="97"/>
    </row>
    <row r="118" spans="1:66" ht="12.75">
      <c r="A118" s="79" t="s">
        <v>680</v>
      </c>
      <c r="B118" s="79" t="s">
        <v>371</v>
      </c>
      <c r="C118" s="79" t="s">
        <v>580</v>
      </c>
      <c r="D118" s="99">
        <v>5340</v>
      </c>
      <c r="E118" s="99">
        <v>947</v>
      </c>
      <c r="F118" s="99" t="s">
        <v>432</v>
      </c>
      <c r="G118" s="99">
        <v>17</v>
      </c>
      <c r="H118" s="99">
        <v>14</v>
      </c>
      <c r="I118" s="99">
        <v>90</v>
      </c>
      <c r="J118" s="99">
        <v>559</v>
      </c>
      <c r="K118" s="99">
        <v>10</v>
      </c>
      <c r="L118" s="99">
        <v>1170</v>
      </c>
      <c r="M118" s="99">
        <v>465</v>
      </c>
      <c r="N118" s="99">
        <v>172</v>
      </c>
      <c r="O118" s="99">
        <v>142</v>
      </c>
      <c r="P118" s="159">
        <v>142</v>
      </c>
      <c r="Q118" s="99">
        <v>13</v>
      </c>
      <c r="R118" s="99">
        <v>18</v>
      </c>
      <c r="S118" s="99">
        <v>14</v>
      </c>
      <c r="T118" s="99">
        <v>33</v>
      </c>
      <c r="U118" s="99">
        <v>6</v>
      </c>
      <c r="V118" s="99">
        <v>29</v>
      </c>
      <c r="W118" s="99">
        <v>45</v>
      </c>
      <c r="X118" s="99">
        <v>24</v>
      </c>
      <c r="Y118" s="99">
        <v>59</v>
      </c>
      <c r="Z118" s="99">
        <v>15</v>
      </c>
      <c r="AA118" s="99" t="s">
        <v>726</v>
      </c>
      <c r="AB118" s="99" t="s">
        <v>726</v>
      </c>
      <c r="AC118" s="99" t="s">
        <v>726</v>
      </c>
      <c r="AD118" s="98" t="s">
        <v>411</v>
      </c>
      <c r="AE118" s="100">
        <v>0.17734082397003745</v>
      </c>
      <c r="AF118" s="100">
        <v>0.1</v>
      </c>
      <c r="AG118" s="98">
        <v>318.3520599250936</v>
      </c>
      <c r="AH118" s="98">
        <v>262.17228464419475</v>
      </c>
      <c r="AI118" s="100">
        <v>0.017</v>
      </c>
      <c r="AJ118" s="100">
        <v>0.746328</v>
      </c>
      <c r="AK118" s="100">
        <v>0.5</v>
      </c>
      <c r="AL118" s="100">
        <v>0.874439</v>
      </c>
      <c r="AM118" s="100">
        <v>0.665236</v>
      </c>
      <c r="AN118" s="100">
        <v>0.722689</v>
      </c>
      <c r="AO118" s="98">
        <v>2659.1760299625466</v>
      </c>
      <c r="AP118" s="158">
        <v>1.33822113</v>
      </c>
      <c r="AQ118" s="100">
        <v>0.09154929577464789</v>
      </c>
      <c r="AR118" s="100">
        <v>0.7222222222222222</v>
      </c>
      <c r="AS118" s="98">
        <v>262.17228464419475</v>
      </c>
      <c r="AT118" s="98">
        <v>617.9775280898876</v>
      </c>
      <c r="AU118" s="98">
        <v>112.35955056179775</v>
      </c>
      <c r="AV118" s="98">
        <v>543.0711610486892</v>
      </c>
      <c r="AW118" s="98">
        <v>842.6966292134831</v>
      </c>
      <c r="AX118" s="98">
        <v>449.438202247191</v>
      </c>
      <c r="AY118" s="98">
        <v>1104.8689138576779</v>
      </c>
      <c r="AZ118" s="98">
        <v>280.8988764044944</v>
      </c>
      <c r="BA118" s="100" t="s">
        <v>726</v>
      </c>
      <c r="BB118" s="100" t="s">
        <v>726</v>
      </c>
      <c r="BC118" s="100" t="s">
        <v>726</v>
      </c>
      <c r="BD118" s="158">
        <v>1.127172546</v>
      </c>
      <c r="BE118" s="158">
        <v>1.5773110959999999</v>
      </c>
      <c r="BF118" s="162">
        <v>749</v>
      </c>
      <c r="BG118" s="162">
        <v>20</v>
      </c>
      <c r="BH118" s="162">
        <v>1338</v>
      </c>
      <c r="BI118" s="162">
        <v>699</v>
      </c>
      <c r="BJ118" s="162">
        <v>238</v>
      </c>
      <c r="BK118" s="97"/>
      <c r="BL118" s="97"/>
      <c r="BM118" s="97"/>
      <c r="BN118" s="97"/>
    </row>
    <row r="119" spans="1:66" ht="12.75">
      <c r="A119" s="79" t="s">
        <v>717</v>
      </c>
      <c r="B119" s="79" t="s">
        <v>408</v>
      </c>
      <c r="C119" s="79" t="s">
        <v>580</v>
      </c>
      <c r="D119" s="99">
        <v>4002</v>
      </c>
      <c r="E119" s="99">
        <v>676</v>
      </c>
      <c r="F119" s="99" t="s">
        <v>434</v>
      </c>
      <c r="G119" s="99">
        <v>13</v>
      </c>
      <c r="H119" s="99">
        <v>8</v>
      </c>
      <c r="I119" s="99">
        <v>72</v>
      </c>
      <c r="J119" s="99">
        <v>361</v>
      </c>
      <c r="K119" s="99">
        <v>39</v>
      </c>
      <c r="L119" s="99">
        <v>834</v>
      </c>
      <c r="M119" s="99">
        <v>228</v>
      </c>
      <c r="N119" s="99">
        <v>101</v>
      </c>
      <c r="O119" s="99">
        <v>27</v>
      </c>
      <c r="P119" s="159">
        <v>27</v>
      </c>
      <c r="Q119" s="99">
        <v>7</v>
      </c>
      <c r="R119" s="99">
        <v>16</v>
      </c>
      <c r="S119" s="99" t="s">
        <v>726</v>
      </c>
      <c r="T119" s="99">
        <v>6</v>
      </c>
      <c r="U119" s="99" t="s">
        <v>726</v>
      </c>
      <c r="V119" s="99">
        <v>8</v>
      </c>
      <c r="W119" s="99">
        <v>9</v>
      </c>
      <c r="X119" s="99">
        <v>12</v>
      </c>
      <c r="Y119" s="99">
        <v>18</v>
      </c>
      <c r="Z119" s="99">
        <v>21</v>
      </c>
      <c r="AA119" s="99" t="s">
        <v>726</v>
      </c>
      <c r="AB119" s="99" t="s">
        <v>726</v>
      </c>
      <c r="AC119" s="99" t="s">
        <v>726</v>
      </c>
      <c r="AD119" s="98" t="s">
        <v>411</v>
      </c>
      <c r="AE119" s="100">
        <v>0.16891554222888555</v>
      </c>
      <c r="AF119" s="100">
        <v>0.08</v>
      </c>
      <c r="AG119" s="98">
        <v>324.8375812093953</v>
      </c>
      <c r="AH119" s="98">
        <v>199.9000499750125</v>
      </c>
      <c r="AI119" s="100">
        <v>0.018000000000000002</v>
      </c>
      <c r="AJ119" s="100">
        <v>0.73374</v>
      </c>
      <c r="AK119" s="100">
        <v>0.735849</v>
      </c>
      <c r="AL119" s="100">
        <v>0.811284</v>
      </c>
      <c r="AM119" s="100">
        <v>0.475</v>
      </c>
      <c r="AN119" s="100">
        <v>0.528796</v>
      </c>
      <c r="AO119" s="98">
        <v>674.6626686656672</v>
      </c>
      <c r="AP119" s="158">
        <v>0.34536140439999996</v>
      </c>
      <c r="AQ119" s="100">
        <v>0.25925925925925924</v>
      </c>
      <c r="AR119" s="100">
        <v>0.4375</v>
      </c>
      <c r="AS119" s="98" t="s">
        <v>726</v>
      </c>
      <c r="AT119" s="98">
        <v>149.92503748125938</v>
      </c>
      <c r="AU119" s="98" t="s">
        <v>726</v>
      </c>
      <c r="AV119" s="98">
        <v>199.9000499750125</v>
      </c>
      <c r="AW119" s="98">
        <v>224.88755622188904</v>
      </c>
      <c r="AX119" s="98">
        <v>299.85007496251876</v>
      </c>
      <c r="AY119" s="98">
        <v>449.7751124437781</v>
      </c>
      <c r="AZ119" s="98">
        <v>524.7376311844077</v>
      </c>
      <c r="BA119" s="100" t="s">
        <v>726</v>
      </c>
      <c r="BB119" s="100" t="s">
        <v>726</v>
      </c>
      <c r="BC119" s="100" t="s">
        <v>726</v>
      </c>
      <c r="BD119" s="158">
        <v>0.2275953484</v>
      </c>
      <c r="BE119" s="158">
        <v>0.5024827194</v>
      </c>
      <c r="BF119" s="162">
        <v>492</v>
      </c>
      <c r="BG119" s="162">
        <v>53</v>
      </c>
      <c r="BH119" s="162">
        <v>1028</v>
      </c>
      <c r="BI119" s="162">
        <v>480</v>
      </c>
      <c r="BJ119" s="162">
        <v>191</v>
      </c>
      <c r="BK119" s="97"/>
      <c r="BL119" s="97"/>
      <c r="BM119" s="97"/>
      <c r="BN119" s="97"/>
    </row>
    <row r="120" spans="1:66" ht="12.75">
      <c r="A120" s="79" t="s">
        <v>685</v>
      </c>
      <c r="B120" s="79" t="s">
        <v>376</v>
      </c>
      <c r="C120" s="79" t="s">
        <v>580</v>
      </c>
      <c r="D120" s="99">
        <v>4308</v>
      </c>
      <c r="E120" s="99">
        <v>456</v>
      </c>
      <c r="F120" s="99" t="s">
        <v>433</v>
      </c>
      <c r="G120" s="99">
        <v>20</v>
      </c>
      <c r="H120" s="99">
        <v>11</v>
      </c>
      <c r="I120" s="99">
        <v>75</v>
      </c>
      <c r="J120" s="99">
        <v>330</v>
      </c>
      <c r="K120" s="99" t="s">
        <v>726</v>
      </c>
      <c r="L120" s="99">
        <v>880</v>
      </c>
      <c r="M120" s="99">
        <v>176</v>
      </c>
      <c r="N120" s="99">
        <v>63</v>
      </c>
      <c r="O120" s="99">
        <v>55</v>
      </c>
      <c r="P120" s="159">
        <v>55</v>
      </c>
      <c r="Q120" s="99">
        <v>9</v>
      </c>
      <c r="R120" s="99">
        <v>22</v>
      </c>
      <c r="S120" s="99">
        <v>12</v>
      </c>
      <c r="T120" s="99">
        <v>6</v>
      </c>
      <c r="U120" s="99" t="s">
        <v>726</v>
      </c>
      <c r="V120" s="99">
        <v>18</v>
      </c>
      <c r="W120" s="99">
        <v>20</v>
      </c>
      <c r="X120" s="99">
        <v>12</v>
      </c>
      <c r="Y120" s="99">
        <v>34</v>
      </c>
      <c r="Z120" s="99">
        <v>23</v>
      </c>
      <c r="AA120" s="99" t="s">
        <v>726</v>
      </c>
      <c r="AB120" s="99" t="s">
        <v>726</v>
      </c>
      <c r="AC120" s="99" t="s">
        <v>726</v>
      </c>
      <c r="AD120" s="98" t="s">
        <v>411</v>
      </c>
      <c r="AE120" s="100">
        <v>0.10584958217270195</v>
      </c>
      <c r="AF120" s="100">
        <v>0.14</v>
      </c>
      <c r="AG120" s="98">
        <v>464.2525533890436</v>
      </c>
      <c r="AH120" s="98">
        <v>255.338904363974</v>
      </c>
      <c r="AI120" s="100">
        <v>0.017</v>
      </c>
      <c r="AJ120" s="100">
        <v>0.702128</v>
      </c>
      <c r="AK120" s="100" t="s">
        <v>726</v>
      </c>
      <c r="AL120" s="100">
        <v>0.80292</v>
      </c>
      <c r="AM120" s="100">
        <v>0.446701</v>
      </c>
      <c r="AN120" s="100">
        <v>0.466667</v>
      </c>
      <c r="AO120" s="98">
        <v>1276.69452181987</v>
      </c>
      <c r="AP120" s="158">
        <v>0.8016445923000001</v>
      </c>
      <c r="AQ120" s="100">
        <v>0.16363636363636364</v>
      </c>
      <c r="AR120" s="100">
        <v>0.4090909090909091</v>
      </c>
      <c r="AS120" s="98">
        <v>278.55153203342616</v>
      </c>
      <c r="AT120" s="98">
        <v>139.27576601671308</v>
      </c>
      <c r="AU120" s="98" t="s">
        <v>726</v>
      </c>
      <c r="AV120" s="98">
        <v>417.8272980501393</v>
      </c>
      <c r="AW120" s="98">
        <v>464.2525533890436</v>
      </c>
      <c r="AX120" s="98">
        <v>278.55153203342616</v>
      </c>
      <c r="AY120" s="98">
        <v>789.2293407613741</v>
      </c>
      <c r="AZ120" s="98">
        <v>533.8904363974002</v>
      </c>
      <c r="BA120" s="100" t="s">
        <v>726</v>
      </c>
      <c r="BB120" s="100" t="s">
        <v>726</v>
      </c>
      <c r="BC120" s="100" t="s">
        <v>726</v>
      </c>
      <c r="BD120" s="158">
        <v>0.6039084244</v>
      </c>
      <c r="BE120" s="158">
        <v>1.043450699</v>
      </c>
      <c r="BF120" s="162">
        <v>470</v>
      </c>
      <c r="BG120" s="162" t="s">
        <v>726</v>
      </c>
      <c r="BH120" s="162">
        <v>1096</v>
      </c>
      <c r="BI120" s="162">
        <v>394</v>
      </c>
      <c r="BJ120" s="162">
        <v>135</v>
      </c>
      <c r="BK120" s="97"/>
      <c r="BL120" s="97"/>
      <c r="BM120" s="97"/>
      <c r="BN120" s="97"/>
    </row>
    <row r="121" spans="1:66" ht="12.75">
      <c r="A121" s="79" t="s">
        <v>631</v>
      </c>
      <c r="B121" s="79" t="s">
        <v>321</v>
      </c>
      <c r="C121" s="79" t="s">
        <v>580</v>
      </c>
      <c r="D121" s="99">
        <v>9001</v>
      </c>
      <c r="E121" s="99">
        <v>1388</v>
      </c>
      <c r="F121" s="99" t="s">
        <v>433</v>
      </c>
      <c r="G121" s="99">
        <v>34</v>
      </c>
      <c r="H121" s="99">
        <v>34</v>
      </c>
      <c r="I121" s="99">
        <v>114</v>
      </c>
      <c r="J121" s="99">
        <v>725</v>
      </c>
      <c r="K121" s="99">
        <v>703</v>
      </c>
      <c r="L121" s="99">
        <v>1699</v>
      </c>
      <c r="M121" s="99">
        <v>402</v>
      </c>
      <c r="N121" s="99">
        <v>163</v>
      </c>
      <c r="O121" s="99">
        <v>172</v>
      </c>
      <c r="P121" s="159">
        <v>172</v>
      </c>
      <c r="Q121" s="99">
        <v>17</v>
      </c>
      <c r="R121" s="99">
        <v>52</v>
      </c>
      <c r="S121" s="99">
        <v>28</v>
      </c>
      <c r="T121" s="99">
        <v>32</v>
      </c>
      <c r="U121" s="99" t="s">
        <v>726</v>
      </c>
      <c r="V121" s="99">
        <v>48</v>
      </c>
      <c r="W121" s="99">
        <v>44</v>
      </c>
      <c r="X121" s="99">
        <v>34</v>
      </c>
      <c r="Y121" s="99">
        <v>90</v>
      </c>
      <c r="Z121" s="99">
        <v>75</v>
      </c>
      <c r="AA121" s="99" t="s">
        <v>726</v>
      </c>
      <c r="AB121" s="99" t="s">
        <v>726</v>
      </c>
      <c r="AC121" s="99" t="s">
        <v>726</v>
      </c>
      <c r="AD121" s="98" t="s">
        <v>411</v>
      </c>
      <c r="AE121" s="100">
        <v>0.15420508832351962</v>
      </c>
      <c r="AF121" s="100">
        <v>0.15</v>
      </c>
      <c r="AG121" s="98">
        <v>377.73580713254086</v>
      </c>
      <c r="AH121" s="98">
        <v>377.73580713254086</v>
      </c>
      <c r="AI121" s="100">
        <v>0.013000000000000001</v>
      </c>
      <c r="AJ121" s="100">
        <v>0.680751</v>
      </c>
      <c r="AK121" s="100">
        <v>0.680542</v>
      </c>
      <c r="AL121" s="100">
        <v>0.738375</v>
      </c>
      <c r="AM121" s="100">
        <v>0.429947</v>
      </c>
      <c r="AN121" s="100">
        <v>0.438172</v>
      </c>
      <c r="AO121" s="98">
        <v>1910.8987890234419</v>
      </c>
      <c r="AP121" s="158">
        <v>1.0354974369999999</v>
      </c>
      <c r="AQ121" s="100">
        <v>0.09883720930232558</v>
      </c>
      <c r="AR121" s="100">
        <v>0.3269230769230769</v>
      </c>
      <c r="AS121" s="98">
        <v>311.07654705032775</v>
      </c>
      <c r="AT121" s="98">
        <v>355.5160537718031</v>
      </c>
      <c r="AU121" s="98" t="s">
        <v>726</v>
      </c>
      <c r="AV121" s="98">
        <v>533.2740806577046</v>
      </c>
      <c r="AW121" s="98">
        <v>488.83457393622933</v>
      </c>
      <c r="AX121" s="98">
        <v>377.73580713254086</v>
      </c>
      <c r="AY121" s="98">
        <v>999.8889012331963</v>
      </c>
      <c r="AZ121" s="98">
        <v>833.2407510276636</v>
      </c>
      <c r="BA121" s="100" t="s">
        <v>726</v>
      </c>
      <c r="BB121" s="100" t="s">
        <v>726</v>
      </c>
      <c r="BC121" s="100" t="s">
        <v>726</v>
      </c>
      <c r="BD121" s="158">
        <v>0.8865252685999999</v>
      </c>
      <c r="BE121" s="158">
        <v>1.20233902</v>
      </c>
      <c r="BF121" s="162">
        <v>1065</v>
      </c>
      <c r="BG121" s="162">
        <v>1033</v>
      </c>
      <c r="BH121" s="162">
        <v>2301</v>
      </c>
      <c r="BI121" s="162">
        <v>935</v>
      </c>
      <c r="BJ121" s="162">
        <v>372</v>
      </c>
      <c r="BK121" s="97"/>
      <c r="BL121" s="97"/>
      <c r="BM121" s="97"/>
      <c r="BN121" s="97"/>
    </row>
    <row r="122" spans="1:66" ht="12.75">
      <c r="A122" s="79" t="s">
        <v>621</v>
      </c>
      <c r="B122" s="79" t="s">
        <v>309</v>
      </c>
      <c r="C122" s="79" t="s">
        <v>580</v>
      </c>
      <c r="D122" s="99">
        <v>6490</v>
      </c>
      <c r="E122" s="99">
        <v>1080</v>
      </c>
      <c r="F122" s="99" t="s">
        <v>432</v>
      </c>
      <c r="G122" s="99">
        <v>28</v>
      </c>
      <c r="H122" s="99">
        <v>11</v>
      </c>
      <c r="I122" s="99">
        <v>104</v>
      </c>
      <c r="J122" s="99">
        <v>519</v>
      </c>
      <c r="K122" s="99" t="s">
        <v>726</v>
      </c>
      <c r="L122" s="99">
        <v>1280</v>
      </c>
      <c r="M122" s="99">
        <v>382</v>
      </c>
      <c r="N122" s="99">
        <v>152</v>
      </c>
      <c r="O122" s="99">
        <v>120</v>
      </c>
      <c r="P122" s="159">
        <v>120</v>
      </c>
      <c r="Q122" s="99">
        <v>9</v>
      </c>
      <c r="R122" s="99">
        <v>28</v>
      </c>
      <c r="S122" s="99">
        <v>20</v>
      </c>
      <c r="T122" s="99">
        <v>33</v>
      </c>
      <c r="U122" s="99">
        <v>9</v>
      </c>
      <c r="V122" s="99">
        <v>11</v>
      </c>
      <c r="W122" s="99">
        <v>42</v>
      </c>
      <c r="X122" s="99">
        <v>27</v>
      </c>
      <c r="Y122" s="99">
        <v>96</v>
      </c>
      <c r="Z122" s="99">
        <v>33</v>
      </c>
      <c r="AA122" s="99" t="s">
        <v>726</v>
      </c>
      <c r="AB122" s="99" t="s">
        <v>726</v>
      </c>
      <c r="AC122" s="99" t="s">
        <v>726</v>
      </c>
      <c r="AD122" s="98" t="s">
        <v>411</v>
      </c>
      <c r="AE122" s="100">
        <v>0.16640986132511557</v>
      </c>
      <c r="AF122" s="100">
        <v>0.09</v>
      </c>
      <c r="AG122" s="98">
        <v>431.43297380585517</v>
      </c>
      <c r="AH122" s="98">
        <v>169.4915254237288</v>
      </c>
      <c r="AI122" s="100">
        <v>0.016</v>
      </c>
      <c r="AJ122" s="100">
        <v>0.692924</v>
      </c>
      <c r="AK122" s="100" t="s">
        <v>726</v>
      </c>
      <c r="AL122" s="100">
        <v>0.766467</v>
      </c>
      <c r="AM122" s="100">
        <v>0.54964</v>
      </c>
      <c r="AN122" s="100">
        <v>0.571429</v>
      </c>
      <c r="AO122" s="98">
        <v>1848.9984591679506</v>
      </c>
      <c r="AP122" s="158">
        <v>0.9952789307000001</v>
      </c>
      <c r="AQ122" s="100">
        <v>0.075</v>
      </c>
      <c r="AR122" s="100">
        <v>0.32142857142857145</v>
      </c>
      <c r="AS122" s="98">
        <v>308.1664098613251</v>
      </c>
      <c r="AT122" s="98">
        <v>508.47457627118644</v>
      </c>
      <c r="AU122" s="98">
        <v>138.6748844375963</v>
      </c>
      <c r="AV122" s="98">
        <v>169.4915254237288</v>
      </c>
      <c r="AW122" s="98">
        <v>647.1494607087827</v>
      </c>
      <c r="AX122" s="98">
        <v>416.0246533127889</v>
      </c>
      <c r="AY122" s="98">
        <v>1479.1987673343606</v>
      </c>
      <c r="AZ122" s="98">
        <v>508.47457627118644</v>
      </c>
      <c r="BA122" s="101" t="s">
        <v>726</v>
      </c>
      <c r="BB122" s="101" t="s">
        <v>726</v>
      </c>
      <c r="BC122" s="101" t="s">
        <v>726</v>
      </c>
      <c r="BD122" s="158">
        <v>0.8251851654</v>
      </c>
      <c r="BE122" s="158">
        <v>1.190109634</v>
      </c>
      <c r="BF122" s="162">
        <v>749</v>
      </c>
      <c r="BG122" s="162" t="s">
        <v>726</v>
      </c>
      <c r="BH122" s="162">
        <v>1670</v>
      </c>
      <c r="BI122" s="162">
        <v>695</v>
      </c>
      <c r="BJ122" s="162">
        <v>266</v>
      </c>
      <c r="BK122" s="97"/>
      <c r="BL122" s="97"/>
      <c r="BM122" s="97"/>
      <c r="BN122" s="97"/>
    </row>
    <row r="123" spans="1:66" ht="12.75">
      <c r="A123" s="79" t="s">
        <v>629</v>
      </c>
      <c r="B123" s="79" t="s">
        <v>319</v>
      </c>
      <c r="C123" s="79" t="s">
        <v>580</v>
      </c>
      <c r="D123" s="99">
        <v>6376</v>
      </c>
      <c r="E123" s="99">
        <v>727</v>
      </c>
      <c r="F123" s="99" t="s">
        <v>433</v>
      </c>
      <c r="G123" s="99">
        <v>34</v>
      </c>
      <c r="H123" s="99">
        <v>15</v>
      </c>
      <c r="I123" s="99">
        <v>65</v>
      </c>
      <c r="J123" s="99">
        <v>284</v>
      </c>
      <c r="K123" s="99">
        <v>6</v>
      </c>
      <c r="L123" s="99">
        <v>933</v>
      </c>
      <c r="M123" s="99">
        <v>164</v>
      </c>
      <c r="N123" s="99">
        <v>67</v>
      </c>
      <c r="O123" s="99">
        <v>96</v>
      </c>
      <c r="P123" s="159">
        <v>96</v>
      </c>
      <c r="Q123" s="99" t="s">
        <v>726</v>
      </c>
      <c r="R123" s="99">
        <v>12</v>
      </c>
      <c r="S123" s="99">
        <v>25</v>
      </c>
      <c r="T123" s="99">
        <v>13</v>
      </c>
      <c r="U123" s="99" t="s">
        <v>726</v>
      </c>
      <c r="V123" s="99">
        <v>15</v>
      </c>
      <c r="W123" s="99">
        <v>22</v>
      </c>
      <c r="X123" s="99">
        <v>25</v>
      </c>
      <c r="Y123" s="99">
        <v>76</v>
      </c>
      <c r="Z123" s="99">
        <v>26</v>
      </c>
      <c r="AA123" s="99" t="s">
        <v>726</v>
      </c>
      <c r="AB123" s="99" t="s">
        <v>726</v>
      </c>
      <c r="AC123" s="99" t="s">
        <v>726</v>
      </c>
      <c r="AD123" s="98" t="s">
        <v>411</v>
      </c>
      <c r="AE123" s="100">
        <v>0.11402132998745294</v>
      </c>
      <c r="AF123" s="100">
        <v>0.13</v>
      </c>
      <c r="AG123" s="98">
        <v>533.249686323714</v>
      </c>
      <c r="AH123" s="98">
        <v>235.25721455457966</v>
      </c>
      <c r="AI123" s="100">
        <v>0.01</v>
      </c>
      <c r="AJ123" s="100">
        <v>0.572581</v>
      </c>
      <c r="AK123" s="100">
        <v>0.375</v>
      </c>
      <c r="AL123" s="100">
        <v>0.625335</v>
      </c>
      <c r="AM123" s="100">
        <v>0.37963</v>
      </c>
      <c r="AN123" s="100">
        <v>0.411043</v>
      </c>
      <c r="AO123" s="98">
        <v>1505.64617314931</v>
      </c>
      <c r="AP123" s="158">
        <v>1.008367538</v>
      </c>
      <c r="AQ123" s="100" t="s">
        <v>726</v>
      </c>
      <c r="AR123" s="100" t="s">
        <v>726</v>
      </c>
      <c r="AS123" s="98">
        <v>392.0953575909661</v>
      </c>
      <c r="AT123" s="98">
        <v>203.88958594730238</v>
      </c>
      <c r="AU123" s="98" t="s">
        <v>726</v>
      </c>
      <c r="AV123" s="98">
        <v>235.25721455457966</v>
      </c>
      <c r="AW123" s="98">
        <v>345.0439146800502</v>
      </c>
      <c r="AX123" s="98">
        <v>392.0953575909661</v>
      </c>
      <c r="AY123" s="98">
        <v>1191.969887076537</v>
      </c>
      <c r="AZ123" s="98">
        <v>407.77917189460476</v>
      </c>
      <c r="BA123" s="100" t="s">
        <v>726</v>
      </c>
      <c r="BB123" s="100" t="s">
        <v>726</v>
      </c>
      <c r="BC123" s="100" t="s">
        <v>726</v>
      </c>
      <c r="BD123" s="158">
        <v>0.8167809296</v>
      </c>
      <c r="BE123" s="158">
        <v>1.231389313</v>
      </c>
      <c r="BF123" s="162">
        <v>496</v>
      </c>
      <c r="BG123" s="162">
        <v>16</v>
      </c>
      <c r="BH123" s="162">
        <v>1492</v>
      </c>
      <c r="BI123" s="162">
        <v>432</v>
      </c>
      <c r="BJ123" s="162">
        <v>163</v>
      </c>
      <c r="BK123" s="97"/>
      <c r="BL123" s="97"/>
      <c r="BM123" s="97"/>
      <c r="BN123" s="97"/>
    </row>
    <row r="124" spans="1:66" ht="12.75">
      <c r="A124" s="79" t="s">
        <v>622</v>
      </c>
      <c r="B124" s="79" t="s">
        <v>311</v>
      </c>
      <c r="C124" s="79" t="s">
        <v>580</v>
      </c>
      <c r="D124" s="99">
        <v>15827</v>
      </c>
      <c r="E124" s="99">
        <v>2799</v>
      </c>
      <c r="F124" s="99" t="s">
        <v>434</v>
      </c>
      <c r="G124" s="99">
        <v>61</v>
      </c>
      <c r="H124" s="99">
        <v>30</v>
      </c>
      <c r="I124" s="99">
        <v>299</v>
      </c>
      <c r="J124" s="99">
        <v>1698</v>
      </c>
      <c r="K124" s="99">
        <v>1538</v>
      </c>
      <c r="L124" s="99">
        <v>3303</v>
      </c>
      <c r="M124" s="99">
        <v>1176</v>
      </c>
      <c r="N124" s="99">
        <v>486</v>
      </c>
      <c r="O124" s="99">
        <v>172</v>
      </c>
      <c r="P124" s="159">
        <v>172</v>
      </c>
      <c r="Q124" s="99">
        <v>27</v>
      </c>
      <c r="R124" s="99">
        <v>52</v>
      </c>
      <c r="S124" s="99">
        <v>50</v>
      </c>
      <c r="T124" s="99">
        <v>25</v>
      </c>
      <c r="U124" s="99" t="s">
        <v>726</v>
      </c>
      <c r="V124" s="99">
        <v>24</v>
      </c>
      <c r="W124" s="99">
        <v>81</v>
      </c>
      <c r="X124" s="99">
        <v>68</v>
      </c>
      <c r="Y124" s="99">
        <v>122</v>
      </c>
      <c r="Z124" s="99">
        <v>61</v>
      </c>
      <c r="AA124" s="99" t="s">
        <v>726</v>
      </c>
      <c r="AB124" s="99" t="s">
        <v>726</v>
      </c>
      <c r="AC124" s="99" t="s">
        <v>726</v>
      </c>
      <c r="AD124" s="98" t="s">
        <v>411</v>
      </c>
      <c r="AE124" s="100">
        <v>0.17684968724331837</v>
      </c>
      <c r="AF124" s="100">
        <v>0.06</v>
      </c>
      <c r="AG124" s="98">
        <v>385.4173248246667</v>
      </c>
      <c r="AH124" s="98">
        <v>189.54950401213117</v>
      </c>
      <c r="AI124" s="100">
        <v>0.019</v>
      </c>
      <c r="AJ124" s="100">
        <v>0.841844</v>
      </c>
      <c r="AK124" s="100">
        <v>0.807773</v>
      </c>
      <c r="AL124" s="100">
        <v>0.839603</v>
      </c>
      <c r="AM124" s="100">
        <v>0.621564</v>
      </c>
      <c r="AN124" s="100">
        <v>0.65587</v>
      </c>
      <c r="AO124" s="98">
        <v>1086.750489669552</v>
      </c>
      <c r="AP124" s="158">
        <v>0.5655286026</v>
      </c>
      <c r="AQ124" s="100">
        <v>0.1569767441860465</v>
      </c>
      <c r="AR124" s="100">
        <v>0.5192307692307693</v>
      </c>
      <c r="AS124" s="98">
        <v>315.91584002021864</v>
      </c>
      <c r="AT124" s="98">
        <v>157.95792001010932</v>
      </c>
      <c r="AU124" s="98" t="s">
        <v>726</v>
      </c>
      <c r="AV124" s="98">
        <v>151.63960320970494</v>
      </c>
      <c r="AW124" s="98">
        <v>511.78366083275415</v>
      </c>
      <c r="AX124" s="98">
        <v>429.64554242749733</v>
      </c>
      <c r="AY124" s="98">
        <v>770.8346496493334</v>
      </c>
      <c r="AZ124" s="98">
        <v>385.4173248246667</v>
      </c>
      <c r="BA124" s="100" t="s">
        <v>726</v>
      </c>
      <c r="BB124" s="100" t="s">
        <v>726</v>
      </c>
      <c r="BC124" s="100" t="s">
        <v>726</v>
      </c>
      <c r="BD124" s="158">
        <v>0.4841686249</v>
      </c>
      <c r="BE124" s="158">
        <v>0.6566477203</v>
      </c>
      <c r="BF124" s="162">
        <v>2017</v>
      </c>
      <c r="BG124" s="162">
        <v>1904</v>
      </c>
      <c r="BH124" s="162">
        <v>3934</v>
      </c>
      <c r="BI124" s="162">
        <v>1892</v>
      </c>
      <c r="BJ124" s="162">
        <v>741</v>
      </c>
      <c r="BK124" s="97"/>
      <c r="BL124" s="97"/>
      <c r="BM124" s="97"/>
      <c r="BN124" s="97"/>
    </row>
    <row r="125" spans="1:66" ht="12.75">
      <c r="A125" s="79" t="s">
        <v>630</v>
      </c>
      <c r="B125" s="79" t="s">
        <v>320</v>
      </c>
      <c r="C125" s="79" t="s">
        <v>580</v>
      </c>
      <c r="D125" s="99">
        <v>11762</v>
      </c>
      <c r="E125" s="99">
        <v>1985</v>
      </c>
      <c r="F125" s="99" t="s">
        <v>432</v>
      </c>
      <c r="G125" s="99">
        <v>54</v>
      </c>
      <c r="H125" s="99">
        <v>37</v>
      </c>
      <c r="I125" s="99">
        <v>158</v>
      </c>
      <c r="J125" s="99">
        <v>1130</v>
      </c>
      <c r="K125" s="99">
        <v>1090</v>
      </c>
      <c r="L125" s="99">
        <v>2292</v>
      </c>
      <c r="M125" s="99">
        <v>700</v>
      </c>
      <c r="N125" s="99">
        <v>297</v>
      </c>
      <c r="O125" s="99">
        <v>217</v>
      </c>
      <c r="P125" s="159">
        <v>217</v>
      </c>
      <c r="Q125" s="99">
        <v>19</v>
      </c>
      <c r="R125" s="99">
        <v>45</v>
      </c>
      <c r="S125" s="99">
        <v>53</v>
      </c>
      <c r="T125" s="99">
        <v>37</v>
      </c>
      <c r="U125" s="99">
        <v>11</v>
      </c>
      <c r="V125" s="99">
        <v>33</v>
      </c>
      <c r="W125" s="99">
        <v>70</v>
      </c>
      <c r="X125" s="99">
        <v>59</v>
      </c>
      <c r="Y125" s="99">
        <v>148</v>
      </c>
      <c r="Z125" s="99">
        <v>54</v>
      </c>
      <c r="AA125" s="99" t="s">
        <v>726</v>
      </c>
      <c r="AB125" s="99" t="s">
        <v>726</v>
      </c>
      <c r="AC125" s="99" t="s">
        <v>726</v>
      </c>
      <c r="AD125" s="98" t="s">
        <v>411</v>
      </c>
      <c r="AE125" s="100">
        <v>0.16876381567760584</v>
      </c>
      <c r="AF125" s="100">
        <v>0.09</v>
      </c>
      <c r="AG125" s="98">
        <v>459.1055942866859</v>
      </c>
      <c r="AH125" s="98">
        <v>314.5723516408774</v>
      </c>
      <c r="AI125" s="100">
        <v>0.013000000000000001</v>
      </c>
      <c r="AJ125" s="100">
        <v>0.779848</v>
      </c>
      <c r="AK125" s="100">
        <v>0.774148</v>
      </c>
      <c r="AL125" s="100">
        <v>0.801399</v>
      </c>
      <c r="AM125" s="100">
        <v>0.556439</v>
      </c>
      <c r="AN125" s="100">
        <v>0.591633</v>
      </c>
      <c r="AO125" s="98">
        <v>1844.9243325964972</v>
      </c>
      <c r="AP125" s="158">
        <v>0.9676222229</v>
      </c>
      <c r="AQ125" s="100">
        <v>0.08755760368663594</v>
      </c>
      <c r="AR125" s="100">
        <v>0.4222222222222222</v>
      </c>
      <c r="AS125" s="98">
        <v>450.6036388369325</v>
      </c>
      <c r="AT125" s="98">
        <v>314.5723516408774</v>
      </c>
      <c r="AU125" s="98">
        <v>93.52150994728788</v>
      </c>
      <c r="AV125" s="98">
        <v>280.56452984186365</v>
      </c>
      <c r="AW125" s="98">
        <v>595.136881482741</v>
      </c>
      <c r="AX125" s="98">
        <v>501.61537153545316</v>
      </c>
      <c r="AY125" s="98">
        <v>1258.2894065635096</v>
      </c>
      <c r="AZ125" s="98">
        <v>459.1055942866859</v>
      </c>
      <c r="BA125" s="100" t="s">
        <v>726</v>
      </c>
      <c r="BB125" s="100" t="s">
        <v>726</v>
      </c>
      <c r="BC125" s="100" t="s">
        <v>726</v>
      </c>
      <c r="BD125" s="158">
        <v>0.8431531525</v>
      </c>
      <c r="BE125" s="158">
        <v>1.105290909</v>
      </c>
      <c r="BF125" s="162">
        <v>1449</v>
      </c>
      <c r="BG125" s="162">
        <v>1408</v>
      </c>
      <c r="BH125" s="162">
        <v>2860</v>
      </c>
      <c r="BI125" s="162">
        <v>1258</v>
      </c>
      <c r="BJ125" s="162">
        <v>502</v>
      </c>
      <c r="BK125" s="97"/>
      <c r="BL125" s="97"/>
      <c r="BM125" s="97"/>
      <c r="BN125" s="97"/>
    </row>
    <row r="126" spans="1:66" ht="12.75">
      <c r="A126" s="79" t="s">
        <v>615</v>
      </c>
      <c r="B126" s="79" t="s">
        <v>303</v>
      </c>
      <c r="C126" s="79" t="s">
        <v>580</v>
      </c>
      <c r="D126" s="99">
        <v>13289</v>
      </c>
      <c r="E126" s="99">
        <v>2063</v>
      </c>
      <c r="F126" s="99" t="s">
        <v>434</v>
      </c>
      <c r="G126" s="99">
        <v>48</v>
      </c>
      <c r="H126" s="99">
        <v>35</v>
      </c>
      <c r="I126" s="99">
        <v>238</v>
      </c>
      <c r="J126" s="99">
        <v>1144</v>
      </c>
      <c r="K126" s="99">
        <v>10</v>
      </c>
      <c r="L126" s="99">
        <v>2745</v>
      </c>
      <c r="M126" s="99">
        <v>742</v>
      </c>
      <c r="N126" s="99">
        <v>275</v>
      </c>
      <c r="O126" s="99">
        <v>157</v>
      </c>
      <c r="P126" s="159">
        <v>157</v>
      </c>
      <c r="Q126" s="99">
        <v>26</v>
      </c>
      <c r="R126" s="99">
        <v>54</v>
      </c>
      <c r="S126" s="99">
        <v>24</v>
      </c>
      <c r="T126" s="99">
        <v>27</v>
      </c>
      <c r="U126" s="99">
        <v>10</v>
      </c>
      <c r="V126" s="99">
        <v>31</v>
      </c>
      <c r="W126" s="99">
        <v>86</v>
      </c>
      <c r="X126" s="99">
        <v>68</v>
      </c>
      <c r="Y126" s="99">
        <v>118</v>
      </c>
      <c r="Z126" s="99">
        <v>56</v>
      </c>
      <c r="AA126" s="99" t="s">
        <v>726</v>
      </c>
      <c r="AB126" s="99" t="s">
        <v>726</v>
      </c>
      <c r="AC126" s="99" t="s">
        <v>726</v>
      </c>
      <c r="AD126" s="98" t="s">
        <v>411</v>
      </c>
      <c r="AE126" s="100">
        <v>0.15524117691323652</v>
      </c>
      <c r="AF126" s="100">
        <v>0.08</v>
      </c>
      <c r="AG126" s="98">
        <v>361.2009933027316</v>
      </c>
      <c r="AH126" s="98">
        <v>263.37572428324177</v>
      </c>
      <c r="AI126" s="100">
        <v>0.018000000000000002</v>
      </c>
      <c r="AJ126" s="100">
        <v>0.766756</v>
      </c>
      <c r="AK126" s="100">
        <v>0.555556</v>
      </c>
      <c r="AL126" s="100">
        <v>0.807116</v>
      </c>
      <c r="AM126" s="100">
        <v>0.547198</v>
      </c>
      <c r="AN126" s="100">
        <v>0.56701</v>
      </c>
      <c r="AO126" s="98">
        <v>1181.4282489276845</v>
      </c>
      <c r="AP126" s="158">
        <v>0.6479378509999999</v>
      </c>
      <c r="AQ126" s="100">
        <v>0.16560509554140126</v>
      </c>
      <c r="AR126" s="100">
        <v>0.48148148148148145</v>
      </c>
      <c r="AS126" s="98">
        <v>180.6004966513658</v>
      </c>
      <c r="AT126" s="98">
        <v>203.17555873278653</v>
      </c>
      <c r="AU126" s="98">
        <v>75.25020693806908</v>
      </c>
      <c r="AV126" s="98">
        <v>233.27564150801416</v>
      </c>
      <c r="AW126" s="98">
        <v>647.1517796673941</v>
      </c>
      <c r="AX126" s="98">
        <v>511.7014071788697</v>
      </c>
      <c r="AY126" s="98">
        <v>887.9524418692151</v>
      </c>
      <c r="AZ126" s="98">
        <v>421.40115885318687</v>
      </c>
      <c r="BA126" s="100" t="s">
        <v>726</v>
      </c>
      <c r="BB126" s="100" t="s">
        <v>726</v>
      </c>
      <c r="BC126" s="100" t="s">
        <v>726</v>
      </c>
      <c r="BD126" s="158">
        <v>0.5505496979</v>
      </c>
      <c r="BE126" s="158">
        <v>0.7575897217</v>
      </c>
      <c r="BF126" s="162">
        <v>1492</v>
      </c>
      <c r="BG126" s="162">
        <v>18</v>
      </c>
      <c r="BH126" s="162">
        <v>3401</v>
      </c>
      <c r="BI126" s="162">
        <v>1356</v>
      </c>
      <c r="BJ126" s="162">
        <v>485</v>
      </c>
      <c r="BK126" s="97"/>
      <c r="BL126" s="97"/>
      <c r="BM126" s="97"/>
      <c r="BN126" s="97"/>
    </row>
    <row r="127" spans="1:66" ht="12.75">
      <c r="A127" s="79" t="s">
        <v>690</v>
      </c>
      <c r="B127" s="79" t="s">
        <v>381</v>
      </c>
      <c r="C127" s="79" t="s">
        <v>580</v>
      </c>
      <c r="D127" s="99">
        <v>10171</v>
      </c>
      <c r="E127" s="99">
        <v>2052</v>
      </c>
      <c r="F127" s="99" t="s">
        <v>433</v>
      </c>
      <c r="G127" s="99">
        <v>40</v>
      </c>
      <c r="H127" s="99">
        <v>34</v>
      </c>
      <c r="I127" s="99">
        <v>167</v>
      </c>
      <c r="J127" s="99">
        <v>895</v>
      </c>
      <c r="K127" s="99">
        <v>8</v>
      </c>
      <c r="L127" s="99">
        <v>2068</v>
      </c>
      <c r="M127" s="99">
        <v>556</v>
      </c>
      <c r="N127" s="99">
        <v>235</v>
      </c>
      <c r="O127" s="99">
        <v>172</v>
      </c>
      <c r="P127" s="159">
        <v>172</v>
      </c>
      <c r="Q127" s="99">
        <v>18</v>
      </c>
      <c r="R127" s="99">
        <v>41</v>
      </c>
      <c r="S127" s="99">
        <v>33</v>
      </c>
      <c r="T127" s="99">
        <v>27</v>
      </c>
      <c r="U127" s="99" t="s">
        <v>726</v>
      </c>
      <c r="V127" s="99">
        <v>32</v>
      </c>
      <c r="W127" s="99">
        <v>63</v>
      </c>
      <c r="X127" s="99">
        <v>45</v>
      </c>
      <c r="Y127" s="99">
        <v>109</v>
      </c>
      <c r="Z127" s="99">
        <v>86</v>
      </c>
      <c r="AA127" s="99" t="s">
        <v>726</v>
      </c>
      <c r="AB127" s="99" t="s">
        <v>726</v>
      </c>
      <c r="AC127" s="99" t="s">
        <v>726</v>
      </c>
      <c r="AD127" s="98" t="s">
        <v>411</v>
      </c>
      <c r="AE127" s="100">
        <v>0.20175007373906204</v>
      </c>
      <c r="AF127" s="100">
        <v>0.13</v>
      </c>
      <c r="AG127" s="98">
        <v>393.27499754203126</v>
      </c>
      <c r="AH127" s="98">
        <v>334.28374791072656</v>
      </c>
      <c r="AI127" s="100">
        <v>0.016</v>
      </c>
      <c r="AJ127" s="100">
        <v>0.721774</v>
      </c>
      <c r="AK127" s="100">
        <v>0.347826</v>
      </c>
      <c r="AL127" s="100">
        <v>0.820309</v>
      </c>
      <c r="AM127" s="100">
        <v>0.53513</v>
      </c>
      <c r="AN127" s="100">
        <v>0.604113</v>
      </c>
      <c r="AO127" s="98">
        <v>1691.0824894307345</v>
      </c>
      <c r="AP127" s="158">
        <v>0.8344790648999999</v>
      </c>
      <c r="AQ127" s="100">
        <v>0.10465116279069768</v>
      </c>
      <c r="AR127" s="100">
        <v>0.43902439024390244</v>
      </c>
      <c r="AS127" s="98">
        <v>324.4518729721758</v>
      </c>
      <c r="AT127" s="98">
        <v>265.4606233408711</v>
      </c>
      <c r="AU127" s="98" t="s">
        <v>726</v>
      </c>
      <c r="AV127" s="98">
        <v>314.619998033625</v>
      </c>
      <c r="AW127" s="98">
        <v>619.4081211286992</v>
      </c>
      <c r="AX127" s="98">
        <v>442.4343722347852</v>
      </c>
      <c r="AY127" s="98">
        <v>1071.6743683020352</v>
      </c>
      <c r="AZ127" s="98">
        <v>845.5412447153673</v>
      </c>
      <c r="BA127" s="100" t="s">
        <v>726</v>
      </c>
      <c r="BB127" s="100" t="s">
        <v>726</v>
      </c>
      <c r="BC127" s="100" t="s">
        <v>726</v>
      </c>
      <c r="BD127" s="158">
        <v>0.7144264984</v>
      </c>
      <c r="BE127" s="158">
        <v>0.9689321136</v>
      </c>
      <c r="BF127" s="162">
        <v>1240</v>
      </c>
      <c r="BG127" s="162">
        <v>23</v>
      </c>
      <c r="BH127" s="162">
        <v>2521</v>
      </c>
      <c r="BI127" s="162">
        <v>1039</v>
      </c>
      <c r="BJ127" s="162">
        <v>389</v>
      </c>
      <c r="BK127" s="97"/>
      <c r="BL127" s="97"/>
      <c r="BM127" s="97"/>
      <c r="BN127" s="97"/>
    </row>
    <row r="128" spans="1:66" ht="12.75">
      <c r="A128" s="79" t="s">
        <v>689</v>
      </c>
      <c r="B128" s="79" t="s">
        <v>380</v>
      </c>
      <c r="C128" s="79" t="s">
        <v>580</v>
      </c>
      <c r="D128" s="99">
        <v>4636</v>
      </c>
      <c r="E128" s="99">
        <v>696</v>
      </c>
      <c r="F128" s="99" t="s">
        <v>434</v>
      </c>
      <c r="G128" s="99">
        <v>24</v>
      </c>
      <c r="H128" s="99">
        <v>10</v>
      </c>
      <c r="I128" s="99">
        <v>83</v>
      </c>
      <c r="J128" s="99">
        <v>437</v>
      </c>
      <c r="K128" s="99">
        <v>7</v>
      </c>
      <c r="L128" s="99">
        <v>1002</v>
      </c>
      <c r="M128" s="99">
        <v>306</v>
      </c>
      <c r="N128" s="99">
        <v>129</v>
      </c>
      <c r="O128" s="99">
        <v>24</v>
      </c>
      <c r="P128" s="159">
        <v>24</v>
      </c>
      <c r="Q128" s="99" t="s">
        <v>726</v>
      </c>
      <c r="R128" s="99">
        <v>24</v>
      </c>
      <c r="S128" s="99" t="s">
        <v>726</v>
      </c>
      <c r="T128" s="99" t="s">
        <v>726</v>
      </c>
      <c r="U128" s="99" t="s">
        <v>726</v>
      </c>
      <c r="V128" s="99" t="s">
        <v>726</v>
      </c>
      <c r="W128" s="99">
        <v>18</v>
      </c>
      <c r="X128" s="99">
        <v>10</v>
      </c>
      <c r="Y128" s="99">
        <v>31</v>
      </c>
      <c r="Z128" s="99">
        <v>20</v>
      </c>
      <c r="AA128" s="99" t="s">
        <v>726</v>
      </c>
      <c r="AB128" s="99" t="s">
        <v>726</v>
      </c>
      <c r="AC128" s="99" t="s">
        <v>726</v>
      </c>
      <c r="AD128" s="98" t="s">
        <v>411</v>
      </c>
      <c r="AE128" s="100">
        <v>0.15012942191544434</v>
      </c>
      <c r="AF128" s="100">
        <v>0.07</v>
      </c>
      <c r="AG128" s="98">
        <v>517.6876617773943</v>
      </c>
      <c r="AH128" s="98">
        <v>215.70319240724763</v>
      </c>
      <c r="AI128" s="100">
        <v>0.018000000000000002</v>
      </c>
      <c r="AJ128" s="100">
        <v>0.734454</v>
      </c>
      <c r="AK128" s="100">
        <v>0.7</v>
      </c>
      <c r="AL128" s="100">
        <v>0.849873</v>
      </c>
      <c r="AM128" s="100">
        <v>0.546429</v>
      </c>
      <c r="AN128" s="100">
        <v>0.668394</v>
      </c>
      <c r="AO128" s="98">
        <v>517.6876617773943</v>
      </c>
      <c r="AP128" s="158">
        <v>0.27921205520000003</v>
      </c>
      <c r="AQ128" s="100" t="s">
        <v>726</v>
      </c>
      <c r="AR128" s="100" t="s">
        <v>726</v>
      </c>
      <c r="AS128" s="98" t="s">
        <v>726</v>
      </c>
      <c r="AT128" s="98" t="s">
        <v>726</v>
      </c>
      <c r="AU128" s="98" t="s">
        <v>726</v>
      </c>
      <c r="AV128" s="98" t="s">
        <v>726</v>
      </c>
      <c r="AW128" s="98">
        <v>388.26574633304574</v>
      </c>
      <c r="AX128" s="98">
        <v>215.70319240724763</v>
      </c>
      <c r="AY128" s="98">
        <v>668.6798964624677</v>
      </c>
      <c r="AZ128" s="98">
        <v>431.40638481449525</v>
      </c>
      <c r="BA128" s="100" t="s">
        <v>726</v>
      </c>
      <c r="BB128" s="100" t="s">
        <v>726</v>
      </c>
      <c r="BC128" s="100" t="s">
        <v>726</v>
      </c>
      <c r="BD128" s="158">
        <v>0.1788964272</v>
      </c>
      <c r="BE128" s="158">
        <v>0.4154454041</v>
      </c>
      <c r="BF128" s="162">
        <v>595</v>
      </c>
      <c r="BG128" s="162">
        <v>10</v>
      </c>
      <c r="BH128" s="162">
        <v>1179</v>
      </c>
      <c r="BI128" s="162">
        <v>560</v>
      </c>
      <c r="BJ128" s="162">
        <v>193</v>
      </c>
      <c r="BK128" s="97"/>
      <c r="BL128" s="97"/>
      <c r="BM128" s="97"/>
      <c r="BN128" s="97"/>
    </row>
    <row r="129" spans="1:66" ht="12.75">
      <c r="A129" s="79" t="s">
        <v>701</v>
      </c>
      <c r="B129" s="79" t="s">
        <v>392</v>
      </c>
      <c r="C129" s="79" t="s">
        <v>580</v>
      </c>
      <c r="D129" s="99">
        <v>2480</v>
      </c>
      <c r="E129" s="99">
        <v>393</v>
      </c>
      <c r="F129" s="99" t="s">
        <v>434</v>
      </c>
      <c r="G129" s="99">
        <v>11</v>
      </c>
      <c r="H129" s="99">
        <v>6</v>
      </c>
      <c r="I129" s="99">
        <v>47</v>
      </c>
      <c r="J129" s="99">
        <v>232</v>
      </c>
      <c r="K129" s="99" t="s">
        <v>726</v>
      </c>
      <c r="L129" s="99">
        <v>526</v>
      </c>
      <c r="M129" s="99">
        <v>175</v>
      </c>
      <c r="N129" s="99">
        <v>55</v>
      </c>
      <c r="O129" s="99">
        <v>28</v>
      </c>
      <c r="P129" s="159">
        <v>28</v>
      </c>
      <c r="Q129" s="99">
        <v>11</v>
      </c>
      <c r="R129" s="99">
        <v>16</v>
      </c>
      <c r="S129" s="99" t="s">
        <v>726</v>
      </c>
      <c r="T129" s="99">
        <v>6</v>
      </c>
      <c r="U129" s="99" t="s">
        <v>726</v>
      </c>
      <c r="V129" s="99">
        <v>6</v>
      </c>
      <c r="W129" s="99">
        <v>15</v>
      </c>
      <c r="X129" s="99">
        <v>7</v>
      </c>
      <c r="Y129" s="99">
        <v>16</v>
      </c>
      <c r="Z129" s="99">
        <v>11</v>
      </c>
      <c r="AA129" s="99" t="s">
        <v>726</v>
      </c>
      <c r="AB129" s="99" t="s">
        <v>726</v>
      </c>
      <c r="AC129" s="99" t="s">
        <v>726</v>
      </c>
      <c r="AD129" s="98" t="s">
        <v>411</v>
      </c>
      <c r="AE129" s="100">
        <v>0.15846774193548388</v>
      </c>
      <c r="AF129" s="100">
        <v>0.07</v>
      </c>
      <c r="AG129" s="98">
        <v>443.5483870967742</v>
      </c>
      <c r="AH129" s="98">
        <v>241.93548387096774</v>
      </c>
      <c r="AI129" s="100">
        <v>0.019</v>
      </c>
      <c r="AJ129" s="100">
        <v>0.7557</v>
      </c>
      <c r="AK129" s="100" t="s">
        <v>726</v>
      </c>
      <c r="AL129" s="100">
        <v>0.847021</v>
      </c>
      <c r="AM129" s="100">
        <v>0.570033</v>
      </c>
      <c r="AN129" s="100">
        <v>0.572917</v>
      </c>
      <c r="AO129" s="98">
        <v>1129.032258064516</v>
      </c>
      <c r="AP129" s="158">
        <v>0.5983595657</v>
      </c>
      <c r="AQ129" s="100">
        <v>0.39285714285714285</v>
      </c>
      <c r="AR129" s="100">
        <v>0.6875</v>
      </c>
      <c r="AS129" s="98" t="s">
        <v>726</v>
      </c>
      <c r="AT129" s="98">
        <v>241.93548387096774</v>
      </c>
      <c r="AU129" s="98" t="s">
        <v>726</v>
      </c>
      <c r="AV129" s="98">
        <v>241.93548387096774</v>
      </c>
      <c r="AW129" s="98">
        <v>604.8387096774194</v>
      </c>
      <c r="AX129" s="98">
        <v>282.258064516129</v>
      </c>
      <c r="AY129" s="98">
        <v>645.1612903225806</v>
      </c>
      <c r="AZ129" s="98">
        <v>443.5483870967742</v>
      </c>
      <c r="BA129" s="100" t="s">
        <v>726</v>
      </c>
      <c r="BB129" s="100" t="s">
        <v>726</v>
      </c>
      <c r="BC129" s="100" t="s">
        <v>726</v>
      </c>
      <c r="BD129" s="158">
        <v>0.3976055908</v>
      </c>
      <c r="BE129" s="158">
        <v>0.8647961426</v>
      </c>
      <c r="BF129" s="162">
        <v>307</v>
      </c>
      <c r="BG129" s="162" t="s">
        <v>726</v>
      </c>
      <c r="BH129" s="162">
        <v>621</v>
      </c>
      <c r="BI129" s="162">
        <v>307</v>
      </c>
      <c r="BJ129" s="162">
        <v>96</v>
      </c>
      <c r="BK129" s="97"/>
      <c r="BL129" s="97"/>
      <c r="BM129" s="97"/>
      <c r="BN129" s="97"/>
    </row>
    <row r="130" spans="1:66" ht="12.75">
      <c r="A130" s="79" t="s">
        <v>651</v>
      </c>
      <c r="B130" s="79" t="s">
        <v>341</v>
      </c>
      <c r="C130" s="79" t="s">
        <v>580</v>
      </c>
      <c r="D130" s="99">
        <v>2588</v>
      </c>
      <c r="E130" s="99">
        <v>183</v>
      </c>
      <c r="F130" s="99" t="s">
        <v>433</v>
      </c>
      <c r="G130" s="99" t="s">
        <v>726</v>
      </c>
      <c r="H130" s="99" t="s">
        <v>726</v>
      </c>
      <c r="I130" s="99">
        <v>16</v>
      </c>
      <c r="J130" s="99">
        <v>132</v>
      </c>
      <c r="K130" s="99">
        <v>131</v>
      </c>
      <c r="L130" s="99">
        <v>524</v>
      </c>
      <c r="M130" s="99">
        <v>87</v>
      </c>
      <c r="N130" s="99">
        <v>36</v>
      </c>
      <c r="O130" s="99">
        <v>25</v>
      </c>
      <c r="P130" s="159">
        <v>25</v>
      </c>
      <c r="Q130" s="99" t="s">
        <v>726</v>
      </c>
      <c r="R130" s="99" t="s">
        <v>726</v>
      </c>
      <c r="S130" s="99">
        <v>14</v>
      </c>
      <c r="T130" s="99" t="s">
        <v>726</v>
      </c>
      <c r="U130" s="99" t="s">
        <v>726</v>
      </c>
      <c r="V130" s="99" t="s">
        <v>726</v>
      </c>
      <c r="W130" s="99">
        <v>8</v>
      </c>
      <c r="X130" s="99">
        <v>7</v>
      </c>
      <c r="Y130" s="99">
        <v>20</v>
      </c>
      <c r="Z130" s="99">
        <v>9</v>
      </c>
      <c r="AA130" s="99" t="s">
        <v>726</v>
      </c>
      <c r="AB130" s="99" t="s">
        <v>726</v>
      </c>
      <c r="AC130" s="99" t="s">
        <v>726</v>
      </c>
      <c r="AD130" s="98" t="s">
        <v>411</v>
      </c>
      <c r="AE130" s="100">
        <v>0.07071097372488408</v>
      </c>
      <c r="AF130" s="100">
        <v>0.13</v>
      </c>
      <c r="AG130" s="98" t="s">
        <v>726</v>
      </c>
      <c r="AH130" s="98" t="s">
        <v>726</v>
      </c>
      <c r="AI130" s="100">
        <v>0.006</v>
      </c>
      <c r="AJ130" s="100">
        <v>0.634615</v>
      </c>
      <c r="AK130" s="100">
        <v>0.635922</v>
      </c>
      <c r="AL130" s="100">
        <v>0.784431</v>
      </c>
      <c r="AM130" s="100">
        <v>0.47541</v>
      </c>
      <c r="AN130" s="100">
        <v>0.537313</v>
      </c>
      <c r="AO130" s="98">
        <v>965.9969088098918</v>
      </c>
      <c r="AP130" s="158">
        <v>0.7089605713</v>
      </c>
      <c r="AQ130" s="100" t="s">
        <v>726</v>
      </c>
      <c r="AR130" s="100" t="s">
        <v>726</v>
      </c>
      <c r="AS130" s="98">
        <v>540.9582689335394</v>
      </c>
      <c r="AT130" s="98" t="s">
        <v>726</v>
      </c>
      <c r="AU130" s="98" t="s">
        <v>726</v>
      </c>
      <c r="AV130" s="98" t="s">
        <v>726</v>
      </c>
      <c r="AW130" s="98">
        <v>309.1190108191654</v>
      </c>
      <c r="AX130" s="98">
        <v>270.4791344667697</v>
      </c>
      <c r="AY130" s="98">
        <v>772.7975270479135</v>
      </c>
      <c r="AZ130" s="98">
        <v>347.75888717156107</v>
      </c>
      <c r="BA130" s="100" t="s">
        <v>726</v>
      </c>
      <c r="BB130" s="100" t="s">
        <v>726</v>
      </c>
      <c r="BC130" s="100" t="s">
        <v>726</v>
      </c>
      <c r="BD130" s="158">
        <v>0.45880187990000004</v>
      </c>
      <c r="BE130" s="158">
        <v>1.046565628</v>
      </c>
      <c r="BF130" s="162">
        <v>208</v>
      </c>
      <c r="BG130" s="162">
        <v>206</v>
      </c>
      <c r="BH130" s="162">
        <v>668</v>
      </c>
      <c r="BI130" s="162">
        <v>183</v>
      </c>
      <c r="BJ130" s="162">
        <v>67</v>
      </c>
      <c r="BK130" s="97"/>
      <c r="BL130" s="97"/>
      <c r="BM130" s="97"/>
      <c r="BN130" s="97"/>
    </row>
    <row r="131" spans="1:66" ht="12.75">
      <c r="A131" s="79" t="s">
        <v>597</v>
      </c>
      <c r="B131" s="79" t="s">
        <v>284</v>
      </c>
      <c r="C131" s="79" t="s">
        <v>580</v>
      </c>
      <c r="D131" s="99">
        <v>9362</v>
      </c>
      <c r="E131" s="99">
        <v>1542</v>
      </c>
      <c r="F131" s="99" t="s">
        <v>432</v>
      </c>
      <c r="G131" s="99">
        <v>53</v>
      </c>
      <c r="H131" s="99">
        <v>37</v>
      </c>
      <c r="I131" s="99">
        <v>189</v>
      </c>
      <c r="J131" s="99">
        <v>595</v>
      </c>
      <c r="K131" s="99" t="s">
        <v>726</v>
      </c>
      <c r="L131" s="99">
        <v>1737</v>
      </c>
      <c r="M131" s="99">
        <v>389</v>
      </c>
      <c r="N131" s="99">
        <v>141</v>
      </c>
      <c r="O131" s="99">
        <v>143</v>
      </c>
      <c r="P131" s="159">
        <v>143</v>
      </c>
      <c r="Q131" s="99">
        <v>19</v>
      </c>
      <c r="R131" s="99">
        <v>52</v>
      </c>
      <c r="S131" s="99">
        <v>10</v>
      </c>
      <c r="T131" s="99">
        <v>30</v>
      </c>
      <c r="U131" s="99">
        <v>12</v>
      </c>
      <c r="V131" s="99">
        <v>42</v>
      </c>
      <c r="W131" s="99">
        <v>48</v>
      </c>
      <c r="X131" s="99">
        <v>29</v>
      </c>
      <c r="Y131" s="99">
        <v>79</v>
      </c>
      <c r="Z131" s="99">
        <v>39</v>
      </c>
      <c r="AA131" s="99" t="s">
        <v>726</v>
      </c>
      <c r="AB131" s="99" t="s">
        <v>726</v>
      </c>
      <c r="AC131" s="99" t="s">
        <v>726</v>
      </c>
      <c r="AD131" s="98" t="s">
        <v>411</v>
      </c>
      <c r="AE131" s="100">
        <v>0.16470839564195686</v>
      </c>
      <c r="AF131" s="100">
        <v>0.11</v>
      </c>
      <c r="AG131" s="98">
        <v>566.118350779748</v>
      </c>
      <c r="AH131" s="98">
        <v>395.21469771416366</v>
      </c>
      <c r="AI131" s="100">
        <v>0.02</v>
      </c>
      <c r="AJ131" s="100">
        <v>0.648148</v>
      </c>
      <c r="AK131" s="100" t="s">
        <v>726</v>
      </c>
      <c r="AL131" s="100">
        <v>0.784553</v>
      </c>
      <c r="AM131" s="100">
        <v>0.476132</v>
      </c>
      <c r="AN131" s="100">
        <v>0.496479</v>
      </c>
      <c r="AO131" s="98">
        <v>1527.4513992736595</v>
      </c>
      <c r="AP131" s="158">
        <v>0.8609273528999999</v>
      </c>
      <c r="AQ131" s="100">
        <v>0.13286713286713286</v>
      </c>
      <c r="AR131" s="100">
        <v>0.36538461538461536</v>
      </c>
      <c r="AS131" s="98">
        <v>106.81478316599018</v>
      </c>
      <c r="AT131" s="98">
        <v>320.4443494979705</v>
      </c>
      <c r="AU131" s="98">
        <v>128.1777397991882</v>
      </c>
      <c r="AV131" s="98">
        <v>448.6220892971587</v>
      </c>
      <c r="AW131" s="98">
        <v>512.7109591967528</v>
      </c>
      <c r="AX131" s="98">
        <v>309.7628711813715</v>
      </c>
      <c r="AY131" s="98">
        <v>843.8367870113224</v>
      </c>
      <c r="AZ131" s="98">
        <v>416.57765434736166</v>
      </c>
      <c r="BA131" s="100" t="s">
        <v>726</v>
      </c>
      <c r="BB131" s="100" t="s">
        <v>726</v>
      </c>
      <c r="BC131" s="100" t="s">
        <v>726</v>
      </c>
      <c r="BD131" s="158">
        <v>0.7256068419999999</v>
      </c>
      <c r="BE131" s="158">
        <v>1.014160004</v>
      </c>
      <c r="BF131" s="162">
        <v>918</v>
      </c>
      <c r="BG131" s="162" t="s">
        <v>726</v>
      </c>
      <c r="BH131" s="162">
        <v>2214</v>
      </c>
      <c r="BI131" s="162">
        <v>817</v>
      </c>
      <c r="BJ131" s="162">
        <v>284</v>
      </c>
      <c r="BK131" s="97"/>
      <c r="BL131" s="97"/>
      <c r="BM131" s="97"/>
      <c r="BN131" s="97"/>
    </row>
    <row r="132" spans="1:66" ht="12.75">
      <c r="A132" s="79" t="s">
        <v>581</v>
      </c>
      <c r="B132" s="94" t="s">
        <v>580</v>
      </c>
      <c r="C132" s="94" t="s">
        <v>7</v>
      </c>
      <c r="D132" s="99">
        <v>1169302</v>
      </c>
      <c r="E132" s="99">
        <v>181338</v>
      </c>
      <c r="F132" s="99">
        <v>110506.23000000003</v>
      </c>
      <c r="G132" s="99">
        <v>4725</v>
      </c>
      <c r="H132" s="99">
        <v>2556</v>
      </c>
      <c r="I132" s="99">
        <v>18739</v>
      </c>
      <c r="J132" s="99">
        <v>93672</v>
      </c>
      <c r="K132" s="99">
        <v>39140</v>
      </c>
      <c r="L132" s="99">
        <v>226531</v>
      </c>
      <c r="M132" s="99">
        <v>64138</v>
      </c>
      <c r="N132" s="99">
        <v>25945</v>
      </c>
      <c r="O132" s="99">
        <v>17125</v>
      </c>
      <c r="P132" s="99">
        <v>17125</v>
      </c>
      <c r="Q132" s="99">
        <v>1822</v>
      </c>
      <c r="R132" s="99">
        <v>4345</v>
      </c>
      <c r="S132" s="99">
        <v>3801</v>
      </c>
      <c r="T132" s="99">
        <v>2710</v>
      </c>
      <c r="U132" s="99">
        <v>814</v>
      </c>
      <c r="V132" s="99">
        <v>3260</v>
      </c>
      <c r="W132" s="99">
        <v>6362</v>
      </c>
      <c r="X132" s="99">
        <v>4526</v>
      </c>
      <c r="Y132" s="99">
        <v>10511</v>
      </c>
      <c r="Z132" s="99">
        <v>5362</v>
      </c>
      <c r="AA132" s="99">
        <v>0</v>
      </c>
      <c r="AB132" s="99">
        <v>0</v>
      </c>
      <c r="AC132" s="99">
        <v>0</v>
      </c>
      <c r="AD132" s="98">
        <v>0</v>
      </c>
      <c r="AE132" s="101">
        <v>0.15508226275162448</v>
      </c>
      <c r="AF132" s="101">
        <v>0.09450614982271477</v>
      </c>
      <c r="AG132" s="98">
        <v>404.0872246861803</v>
      </c>
      <c r="AH132" s="98">
        <v>218.59194630642895</v>
      </c>
      <c r="AI132" s="101">
        <v>0.016025800007183774</v>
      </c>
      <c r="AJ132" s="101">
        <v>0.7249425367416591</v>
      </c>
      <c r="AK132" s="101">
        <v>0.7569281943182038</v>
      </c>
      <c r="AL132" s="101">
        <v>0.7839907802842053</v>
      </c>
      <c r="AM132" s="101">
        <v>0.5512600130642555</v>
      </c>
      <c r="AN132" s="101">
        <v>0.5891904167139775</v>
      </c>
      <c r="AO132" s="98">
        <v>1464.5489360319234</v>
      </c>
      <c r="AP132" s="98">
        <v>0</v>
      </c>
      <c r="AQ132" s="101">
        <v>0.1063941605839416</v>
      </c>
      <c r="AR132" s="101">
        <v>0.4193325661680092</v>
      </c>
      <c r="AS132" s="98">
        <v>325.0657229697717</v>
      </c>
      <c r="AT132" s="98">
        <v>231.76219659249705</v>
      </c>
      <c r="AU132" s="98">
        <v>69.6141800835028</v>
      </c>
      <c r="AV132" s="98">
        <v>278.798804757026</v>
      </c>
      <c r="AW132" s="98">
        <v>544.0852748049691</v>
      </c>
      <c r="AX132" s="98">
        <v>387.0685246411962</v>
      </c>
      <c r="AY132" s="98">
        <v>898.9123425770246</v>
      </c>
      <c r="AZ132" s="98">
        <v>458.56416905128015</v>
      </c>
      <c r="BA132" s="101">
        <v>0</v>
      </c>
      <c r="BB132" s="101">
        <v>0</v>
      </c>
      <c r="BC132" s="101">
        <v>0</v>
      </c>
      <c r="BD132" s="98">
        <v>0</v>
      </c>
      <c r="BE132" s="98">
        <v>0</v>
      </c>
      <c r="BF132" s="99">
        <v>129213</v>
      </c>
      <c r="BG132" s="99">
        <v>51709</v>
      </c>
      <c r="BH132" s="99">
        <v>288946</v>
      </c>
      <c r="BI132" s="99">
        <v>116348</v>
      </c>
      <c r="BJ132" s="99">
        <v>44035</v>
      </c>
      <c r="BK132" s="97"/>
      <c r="BL132" s="97"/>
      <c r="BM132" s="97"/>
      <c r="BN132" s="97"/>
    </row>
    <row r="133" spans="1:66" ht="12.75">
      <c r="A133" s="79" t="s">
        <v>24</v>
      </c>
      <c r="B133" s="94" t="s">
        <v>7</v>
      </c>
      <c r="C133" s="94" t="s">
        <v>7</v>
      </c>
      <c r="D133" s="99">
        <v>54615830</v>
      </c>
      <c r="E133" s="99">
        <v>8737890</v>
      </c>
      <c r="F133" s="99">
        <v>8198344.169999988</v>
      </c>
      <c r="G133" s="99">
        <v>243379</v>
      </c>
      <c r="H133" s="99">
        <v>127868</v>
      </c>
      <c r="I133" s="99">
        <v>870616</v>
      </c>
      <c r="J133" s="99">
        <v>4592627</v>
      </c>
      <c r="K133" s="99">
        <v>1679592</v>
      </c>
      <c r="L133" s="99">
        <v>10150944</v>
      </c>
      <c r="M133" s="99">
        <v>2959539</v>
      </c>
      <c r="N133" s="99">
        <v>1629320</v>
      </c>
      <c r="O133" s="99">
        <v>989730</v>
      </c>
      <c r="P133" s="99">
        <v>989730</v>
      </c>
      <c r="Q133" s="99">
        <v>108072</v>
      </c>
      <c r="R133" s="99">
        <v>238330</v>
      </c>
      <c r="S133" s="99">
        <v>206300</v>
      </c>
      <c r="T133" s="99">
        <v>154264</v>
      </c>
      <c r="U133" s="99">
        <v>38486</v>
      </c>
      <c r="V133" s="99">
        <v>176535</v>
      </c>
      <c r="W133" s="99">
        <v>307276</v>
      </c>
      <c r="X133" s="99">
        <v>221506</v>
      </c>
      <c r="Y133" s="99">
        <v>578574</v>
      </c>
      <c r="Z133" s="99">
        <v>318377</v>
      </c>
      <c r="AA133" s="99">
        <v>0</v>
      </c>
      <c r="AB133" s="99">
        <v>0</v>
      </c>
      <c r="AC133" s="99">
        <v>0</v>
      </c>
      <c r="AD133" s="98">
        <v>0</v>
      </c>
      <c r="AE133" s="101">
        <v>0.1599882305185145</v>
      </c>
      <c r="AF133" s="101">
        <v>0.15010930292554353</v>
      </c>
      <c r="AG133" s="98">
        <v>445.6198871279627</v>
      </c>
      <c r="AH133" s="98">
        <v>234.12259778895606</v>
      </c>
      <c r="AI133" s="101">
        <v>0.015940726342527432</v>
      </c>
      <c r="AJ133" s="101">
        <v>0.7248631360507991</v>
      </c>
      <c r="AK133" s="101">
        <v>0.7467412166569077</v>
      </c>
      <c r="AL133" s="101">
        <v>0.7559681673907895</v>
      </c>
      <c r="AM133" s="101">
        <v>0.5147293797466616</v>
      </c>
      <c r="AN133" s="101">
        <v>0.5752927626212945</v>
      </c>
      <c r="AO133" s="98">
        <v>1812.1669120472948</v>
      </c>
      <c r="AP133" s="98">
        <v>1</v>
      </c>
      <c r="AQ133" s="101">
        <v>0.10919341638628717</v>
      </c>
      <c r="AR133" s="101">
        <v>0.4534552930810221</v>
      </c>
      <c r="AS133" s="98">
        <v>377.7293140102421</v>
      </c>
      <c r="AT133" s="98">
        <v>282.45290788403287</v>
      </c>
      <c r="AU133" s="98">
        <v>70.46674929228394</v>
      </c>
      <c r="AV133" s="98">
        <v>323.23046266988894</v>
      </c>
      <c r="AW133" s="98">
        <v>562.6134400960308</v>
      </c>
      <c r="AX133" s="98">
        <v>405.57105879375996</v>
      </c>
      <c r="AY133" s="98">
        <v>1059.3522061277838</v>
      </c>
      <c r="AZ133" s="98">
        <v>582.9390489900089</v>
      </c>
      <c r="BA133" s="101">
        <v>0</v>
      </c>
      <c r="BB133" s="101">
        <v>0</v>
      </c>
      <c r="BC133" s="101">
        <v>0</v>
      </c>
      <c r="BD133" s="98">
        <v>0</v>
      </c>
      <c r="BE133" s="98">
        <v>0</v>
      </c>
      <c r="BF133" s="99">
        <v>6335854</v>
      </c>
      <c r="BG133" s="99">
        <v>2249229</v>
      </c>
      <c r="BH133" s="99">
        <v>13427740</v>
      </c>
      <c r="BI133" s="99">
        <v>5749699</v>
      </c>
      <c r="BJ133" s="99">
        <v>2832158</v>
      </c>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460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416</v>
      </c>
      <c r="O4" s="75" t="s">
        <v>415</v>
      </c>
      <c r="P4" s="75" t="s">
        <v>542</v>
      </c>
      <c r="Q4" s="75" t="s">
        <v>543</v>
      </c>
      <c r="R4" s="75" t="s">
        <v>544</v>
      </c>
      <c r="S4" s="75" t="s">
        <v>545</v>
      </c>
      <c r="T4" s="39" t="s">
        <v>278</v>
      </c>
      <c r="U4" s="40" t="s">
        <v>279</v>
      </c>
      <c r="V4" s="41" t="s">
        <v>7</v>
      </c>
      <c r="W4" s="24" t="s">
        <v>2</v>
      </c>
      <c r="X4" s="24" t="s">
        <v>3</v>
      </c>
      <c r="Y4" s="75" t="s">
        <v>734</v>
      </c>
      <c r="Z4" s="75" t="s">
        <v>733</v>
      </c>
      <c r="AA4" s="26" t="s">
        <v>280</v>
      </c>
      <c r="AB4" s="24" t="s">
        <v>5</v>
      </c>
      <c r="AC4" s="75" t="s">
        <v>35</v>
      </c>
      <c r="AD4" s="24" t="s">
        <v>6</v>
      </c>
      <c r="AE4" s="24" t="s">
        <v>281</v>
      </c>
      <c r="AF4" s="24" t="s">
        <v>16</v>
      </c>
      <c r="AG4" s="24" t="s">
        <v>15</v>
      </c>
      <c r="AH4" s="24" t="s">
        <v>14</v>
      </c>
      <c r="AI4" s="25" t="s">
        <v>30</v>
      </c>
      <c r="AJ4" s="47" t="s">
        <v>10</v>
      </c>
      <c r="AK4" s="26" t="s">
        <v>21</v>
      </c>
      <c r="AL4" s="25" t="s">
        <v>22</v>
      </c>
      <c r="AQ4" s="102" t="s">
        <v>457</v>
      </c>
      <c r="AR4" s="102" t="s">
        <v>459</v>
      </c>
      <c r="AS4" s="102" t="s">
        <v>458</v>
      </c>
      <c r="AY4" s="102" t="s">
        <v>539</v>
      </c>
      <c r="AZ4" s="102" t="s">
        <v>540</v>
      </c>
      <c r="BA4" s="102" t="s">
        <v>541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480</v>
      </c>
      <c r="BA5" s="103" t="s">
        <v>411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465</v>
      </c>
      <c r="BA6" s="103" t="s">
        <v>411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1145</v>
      </c>
      <c r="E7" s="38">
        <f>IF(LEFT(VLOOKUP($B7,'Indicator chart'!$D$1:$J$36,5,FALSE),1)=" "," ",VLOOKUP($B7,'Indicator chart'!$D$1:$J$36,5,FALSE))</f>
        <v>0.16462976276060387</v>
      </c>
      <c r="F7" s="38">
        <f>IF(LEFT(VLOOKUP($B7,'Indicator chart'!$D$1:$J$36,6,FALSE),1)=" "," ",VLOOKUP($B7,'Indicator chart'!$D$1:$J$36,6,FALSE))</f>
        <v>0.15609966383077672</v>
      </c>
      <c r="G7" s="38">
        <f>IF(LEFT(VLOOKUP($B7,'Indicator chart'!$D$1:$J$36,7,FALSE),1)=" "," ",VLOOKUP($B7,'Indicator chart'!$D$1:$J$36,7,FALSE))</f>
        <v>0.17353014122183436</v>
      </c>
      <c r="H7" s="50">
        <f aca="true" t="shared" si="0" ref="H7:H31">IF(LEFT(F7,1)=" ",4,IF(AND(ABS(N7-E7)&gt;SQRT((E7-G7)^2+(N7-R7)^2),E7&lt;N7),1,IF(AND(ABS(N7-E7)&gt;SQRT((E7-F7)^2+(N7-S7)^2),E7&gt;N7),3,2)))</f>
        <v>3</v>
      </c>
      <c r="I7" s="38">
        <v>0.05093833804130554</v>
      </c>
      <c r="J7" s="38">
        <v>0.13286514580249786</v>
      </c>
      <c r="K7" s="38">
        <v>0.15723496675491333</v>
      </c>
      <c r="L7" s="38">
        <v>0.17420467734336853</v>
      </c>
      <c r="M7" s="38">
        <v>0.22365210950374603</v>
      </c>
      <c r="N7" s="80">
        <f>VLOOKUP('Hide - Control'!B$3,'All practice data'!A:CA,A7+29,FALSE)</f>
        <v>0.15508226275162448</v>
      </c>
      <c r="O7" s="80">
        <f>VLOOKUP('Hide - Control'!C$3,'All practice data'!A:CA,A7+29,FALSE)</f>
        <v>0.1599882305185145</v>
      </c>
      <c r="P7" s="38">
        <f>VLOOKUP('Hide - Control'!$B$4,'All practice data'!B:BC,A7+2,FALSE)</f>
        <v>181338</v>
      </c>
      <c r="Q7" s="38">
        <f>VLOOKUP('Hide - Control'!$B$4,'All practice data'!B:BC,3,FALSE)</f>
        <v>1169302</v>
      </c>
      <c r="R7" s="38">
        <f>+((2*P7+1.96^2-1.96*SQRT(1.96^2+4*P7*(1-P7/Q7)))/(2*(Q7+1.96^2)))</f>
        <v>0.1544272794664729</v>
      </c>
      <c r="S7" s="38">
        <f>+((2*P7+1.96^2+1.96*SQRT(1.96^2+4*P7*(1-P7/Q7)))/(2*(Q7+1.96^2)))</f>
        <v>0.15573951240017264</v>
      </c>
      <c r="T7" s="53">
        <f>IF($C7=1,M7,I7)</f>
        <v>0.22365210950374603</v>
      </c>
      <c r="U7" s="51">
        <f aca="true" t="shared" si="1" ref="U7:U15">IF($C7=1,I7,M7)</f>
        <v>0.05093833804130554</v>
      </c>
      <c r="V7" s="7">
        <v>1</v>
      </c>
      <c r="W7" s="27">
        <f aca="true" t="shared" si="2" ref="W7:W31">IF((K7-I7)&gt;(M7-K7),I7,(K7-(M7-K7)))</f>
        <v>0.05093833804130554</v>
      </c>
      <c r="X7" s="27">
        <f aca="true" t="shared" si="3" ref="X7:X31">IF(W7=I7,K7+(K7-I7),M7)</f>
        <v>0.2635315954685211</v>
      </c>
      <c r="Y7" s="27">
        <f aca="true" t="shared" si="4" ref="Y7:Y31">IF(C7=1,W7,X7)</f>
        <v>0.05093833804130554</v>
      </c>
      <c r="Z7" s="27">
        <f aca="true" t="shared" si="5" ref="Z7:Z31">IF(C7=1,X7,W7)</f>
        <v>0.2635315954685211</v>
      </c>
      <c r="AA7" s="32">
        <f aca="true" t="shared" si="6" ref="AA7:AA31">IF(ISERROR(IF(C7=1,(I7-$Y7)/($Z7-$Y7),(U7-$Y7)/($Z7-$Y7))),"",IF(C7=1,(I7-$Y7)/($Z7-$Y7),(U7-$Y7)/($Z7-$Y7)))</f>
        <v>0</v>
      </c>
      <c r="AB7" s="33">
        <f aca="true" t="shared" si="7" ref="AB7:AB31">IF(ISERROR(IF(C7=1,(J7-$Y7)/($Z7-$Y7),(L7-$Y7)/($Z7-$Y7))),"",IF(C7=1,(J7-$Y7)/($Z7-$Y7),(L7-$Y7)/($Z7-$Y7)))</f>
        <v>0.3853687965115317</v>
      </c>
      <c r="AC7" s="33">
        <v>0.5</v>
      </c>
      <c r="AD7" s="33">
        <f aca="true" t="shared" si="8" ref="AD7:AD31">IF(ISERROR(IF(C7=1,(L7-$Y7)/($Z7-$Y7),(J7-$Y7)/($Z7-$Y7))),"",IF(C7=1,(L7-$Y7)/($Z7-$Y7),(J7-$Y7)/($Z7-$Y7)))</f>
        <v>0.5798224308419802</v>
      </c>
      <c r="AE7" s="33">
        <f aca="true" t="shared" si="9" ref="AE7:AE31">IF(ISERROR(IF(C7=1,(M7-$Y7)/($Z7-$Y7),(I7-$Y7)/($Z7-$Y7))),"",IF(C7=1,(M7-$Y7)/($Z7-$Y7),(I7-$Y7)/($Z7-$Y7)))</f>
        <v>0.8124141543932624</v>
      </c>
      <c r="AF7" s="33">
        <f aca="true" t="shared" si="10" ref="AF7:AF30">IF(E7=" ",-999,IF(H7=4,(E7-$Y7)/($Z7-$Y7),-999))</f>
        <v>-999</v>
      </c>
      <c r="AG7" s="33">
        <f aca="true" t="shared" si="11" ref="AG7:AG31">IF(E7=" ",-999,IF(H7=2,(E7-$Y7)/($Z7-$Y7),-999))</f>
        <v>-999</v>
      </c>
      <c r="AH7" s="33">
        <f aca="true" t="shared" si="12" ref="AH7:AH31">IF(E7=" ",-999,IF(MAX(AK7:AL7)&gt;-999,MAX(AK7:AL7),-999))</f>
        <v>0.5347837748721747</v>
      </c>
      <c r="AI7" s="34">
        <f aca="true" t="shared" si="13" ref="AI7:AI31">IF(ISERROR((O7-$Y7)/($Z7-$Y7)),-999,(O7-$Y7)/($Z7-$Y7))</f>
        <v>0.5129508517669888</v>
      </c>
      <c r="AJ7" s="4">
        <v>2.7020512924389086</v>
      </c>
      <c r="AK7" s="32">
        <f aca="true" t="shared" si="14" ref="AK7:AK31">IF(H7=1,(E7-$Y7)/($Z7-$Y7),-999)</f>
        <v>-999</v>
      </c>
      <c r="AL7" s="34">
        <f aca="true" t="shared" si="15" ref="AL7:AL31">IF(H7=3,(E7-$Y7)/($Z7-$Y7),-999)</f>
        <v>0.5347837748721747</v>
      </c>
      <c r="AQ7" s="103">
        <v>2</v>
      </c>
      <c r="AR7" s="103">
        <v>0.2422</v>
      </c>
      <c r="AS7" s="103">
        <v>7.2247</v>
      </c>
      <c r="AY7" s="103" t="s">
        <v>68</v>
      </c>
      <c r="AZ7" s="103" t="s">
        <v>464</v>
      </c>
      <c r="BA7" s="103" t="s">
        <v>411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0.08</v>
      </c>
      <c r="F8" s="38">
        <f>IF(LEFT(VLOOKUP($B8,'Indicator chart'!$D$1:$J$36,6,FALSE),1)=" "," ",VLOOKUP($B8,'Indicator chart'!$D$1:$J$36,6,FALSE))</f>
        <v>0.07385343178995855</v>
      </c>
      <c r="G8" s="38">
        <f>IF(LEFT(VLOOKUP($B8,'Indicator chart'!$D$1:$J$36,7,FALSE),1)=" "," ",VLOOKUP($B8,'Indicator chart'!$D$1:$J$36,7,FALSE))</f>
        <v>0.08661028676917634</v>
      </c>
      <c r="H8" s="50">
        <f t="shared" si="0"/>
        <v>1</v>
      </c>
      <c r="I8" s="38">
        <v>0.029999999329447746</v>
      </c>
      <c r="J8" s="38">
        <v>0.07000000029802322</v>
      </c>
      <c r="K8" s="38">
        <v>0.09000000357627869</v>
      </c>
      <c r="L8" s="38">
        <v>0.11999999731779099</v>
      </c>
      <c r="M8" s="38">
        <v>0.20000000298023224</v>
      </c>
      <c r="N8" s="80">
        <f>VLOOKUP('Hide - Control'!B$3,'All practice data'!A:CA,A8+29,FALSE)</f>
        <v>0.09450614982271477</v>
      </c>
      <c r="O8" s="80">
        <f>VLOOKUP('Hide - Control'!C$3,'All practice data'!A:CA,A8+29,FALSE)</f>
        <v>0.15010930292554353</v>
      </c>
      <c r="P8" s="38">
        <f>VLOOKUP('Hide - Control'!$B$4,'All practice data'!B:BC,A8+2,FALSE)</f>
        <v>110506.23000000003</v>
      </c>
      <c r="Q8" s="38">
        <f>VLOOKUP('Hide - Control'!$B$4,'All practice data'!B:BC,3,FALSE)</f>
        <v>1169302</v>
      </c>
      <c r="R8" s="38">
        <f>+((2*P8+1.96^2-1.96*SQRT(1.96^2+4*P8*(1-P8/Q8)))/(2*(Q8+1.96^2)))</f>
        <v>0.09397724973121656</v>
      </c>
      <c r="S8" s="38">
        <f>+((2*P8+1.96^2+1.96*SQRT(1.96^2+4*P8*(1-P8/Q8)))/(2*(Q8+1.96^2)))</f>
        <v>0.09503771430725616</v>
      </c>
      <c r="T8" s="53">
        <f aca="true" t="shared" si="16" ref="T8:T15">IF($C8=1,M8,I8)</f>
        <v>0.20000000298023224</v>
      </c>
      <c r="U8" s="51">
        <f t="shared" si="1"/>
        <v>0.029999999329447746</v>
      </c>
      <c r="V8" s="7"/>
      <c r="W8" s="27">
        <f t="shared" si="2"/>
        <v>-0.019999995827674866</v>
      </c>
      <c r="X8" s="27">
        <f t="shared" si="3"/>
        <v>0.20000000298023224</v>
      </c>
      <c r="Y8" s="27">
        <f t="shared" si="4"/>
        <v>-0.019999995827674866</v>
      </c>
      <c r="Z8" s="27">
        <f t="shared" si="5"/>
        <v>0.20000000298023224</v>
      </c>
      <c r="AA8" s="32">
        <f t="shared" si="6"/>
        <v>0.22727270649114906</v>
      </c>
      <c r="AB8" s="33">
        <f t="shared" si="7"/>
        <v>0.40909089369714746</v>
      </c>
      <c r="AC8" s="33">
        <v>0.5</v>
      </c>
      <c r="AD8" s="33">
        <f t="shared" si="8"/>
        <v>0.6363636086548654</v>
      </c>
      <c r="AE8" s="33">
        <f t="shared" si="9"/>
        <v>1</v>
      </c>
      <c r="AF8" s="33">
        <f t="shared" si="10"/>
        <v>-999</v>
      </c>
      <c r="AG8" s="33">
        <f t="shared" si="11"/>
        <v>-999</v>
      </c>
      <c r="AH8" s="33">
        <f t="shared" si="12"/>
        <v>0.4545454380433421</v>
      </c>
      <c r="AI8" s="34">
        <f t="shared" si="13"/>
        <v>0.773224089431697</v>
      </c>
      <c r="AJ8" s="4">
        <v>3.778046717820832</v>
      </c>
      <c r="AK8" s="32">
        <f t="shared" si="14"/>
        <v>0.4545454380433421</v>
      </c>
      <c r="AL8" s="34">
        <f t="shared" si="15"/>
        <v>-999</v>
      </c>
      <c r="AQ8" s="103">
        <v>3</v>
      </c>
      <c r="AR8" s="103">
        <v>0.6187</v>
      </c>
      <c r="AS8" s="103">
        <v>8.7673</v>
      </c>
      <c r="AY8" s="103" t="s">
        <v>118</v>
      </c>
      <c r="AZ8" s="103" t="s">
        <v>119</v>
      </c>
      <c r="BA8" s="103" t="s">
        <v>411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244.42846872753415</v>
      </c>
      <c r="F9" s="38">
        <f>IF(LEFT(VLOOKUP($B9,'Indicator chart'!$D$1:$J$36,6,FALSE),1)=" "," ",VLOOKUP($B9,'Indicator chart'!$D$1:$J$36,6,FALSE))</f>
        <v>142.3058745100892</v>
      </c>
      <c r="G9" s="38">
        <f>IF(LEFT(VLOOKUP($B9,'Indicator chart'!$D$1:$J$36,7,FALSE),1)=" "," ",VLOOKUP($B9,'Indicator chart'!$D$1:$J$36,7,FALSE))</f>
        <v>391.3775804114292</v>
      </c>
      <c r="H9" s="50">
        <f t="shared" si="0"/>
        <v>1</v>
      </c>
      <c r="I9" s="38">
        <v>92.60600280761719</v>
      </c>
      <c r="J9" s="38">
        <v>319.9233093261719</v>
      </c>
      <c r="K9" s="38">
        <v>394.3365478515625</v>
      </c>
      <c r="L9" s="38">
        <v>449.14813232421875</v>
      </c>
      <c r="M9" s="38">
        <v>656.0962524414062</v>
      </c>
      <c r="N9" s="80">
        <f>VLOOKUP('Hide - Control'!B$3,'All practice data'!A:CA,A9+29,FALSE)</f>
        <v>404.0872246861803</v>
      </c>
      <c r="O9" s="80">
        <f>VLOOKUP('Hide - Control'!C$3,'All practice data'!A:CA,A9+29,FALSE)</f>
        <v>445.6198871279627</v>
      </c>
      <c r="P9" s="38">
        <f>VLOOKUP('Hide - Control'!$B$4,'All practice data'!B:BC,A9+2,FALSE)</f>
        <v>4725</v>
      </c>
      <c r="Q9" s="38">
        <f>VLOOKUP('Hide - Control'!$B$4,'All practice data'!B:BC,3,FALSE)</f>
        <v>1169302</v>
      </c>
      <c r="R9" s="38">
        <f>100000*(P9*(1-1/(9*P9)-1.96/(3*SQRT(P9)))^3)/Q9</f>
        <v>392.64635924974203</v>
      </c>
      <c r="S9" s="38">
        <f>100000*((P9+1)*(1-1/(9*(P9+1))+1.96/(3*SQRT(P9+1)))^3)/Q9</f>
        <v>415.7768378238741</v>
      </c>
      <c r="T9" s="53">
        <f t="shared" si="16"/>
        <v>656.0962524414062</v>
      </c>
      <c r="U9" s="51">
        <f t="shared" si="1"/>
        <v>92.60600280761719</v>
      </c>
      <c r="V9" s="7"/>
      <c r="W9" s="27">
        <f t="shared" si="2"/>
        <v>92.60600280761719</v>
      </c>
      <c r="X9" s="27">
        <f t="shared" si="3"/>
        <v>696.0670928955078</v>
      </c>
      <c r="Y9" s="27">
        <f t="shared" si="4"/>
        <v>92.60600280761719</v>
      </c>
      <c r="Z9" s="27">
        <f t="shared" si="5"/>
        <v>696.0670928955078</v>
      </c>
      <c r="AA9" s="32">
        <f t="shared" si="6"/>
        <v>0</v>
      </c>
      <c r="AB9" s="33">
        <f t="shared" si="7"/>
        <v>0.37668925180486323</v>
      </c>
      <c r="AC9" s="33">
        <v>0.5</v>
      </c>
      <c r="AD9" s="33">
        <f t="shared" si="8"/>
        <v>0.5908286969499115</v>
      </c>
      <c r="AE9" s="33">
        <f t="shared" si="9"/>
        <v>0.9337640137688412</v>
      </c>
      <c r="AF9" s="33">
        <f t="shared" si="10"/>
        <v>-999</v>
      </c>
      <c r="AG9" s="33">
        <f t="shared" si="11"/>
        <v>-999</v>
      </c>
      <c r="AH9" s="33">
        <f t="shared" si="12"/>
        <v>0.2515861725199298</v>
      </c>
      <c r="AI9" s="34">
        <f t="shared" si="13"/>
        <v>0.5849820147789995</v>
      </c>
      <c r="AJ9" s="4">
        <v>4.854042143202755</v>
      </c>
      <c r="AK9" s="32">
        <f t="shared" si="14"/>
        <v>0.2515861725199298</v>
      </c>
      <c r="AL9" s="34">
        <f t="shared" si="15"/>
        <v>-999</v>
      </c>
      <c r="AQ9" s="103">
        <v>4</v>
      </c>
      <c r="AR9" s="103">
        <v>1.0899</v>
      </c>
      <c r="AS9" s="103">
        <v>10.2416</v>
      </c>
      <c r="AY9" s="103" t="s">
        <v>90</v>
      </c>
      <c r="AZ9" s="103" t="s">
        <v>474</v>
      </c>
      <c r="BA9" s="103" t="s">
        <v>411</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15</v>
      </c>
      <c r="E10" s="38">
        <f>IF(LEFT(VLOOKUP($B10,'Indicator chart'!$D$1:$J$36,5,FALSE),1)=" "," ",VLOOKUP($B10,'Indicator chart'!$D$1:$J$36,5,FALSE))</f>
        <v>215.67217828900073</v>
      </c>
      <c r="F10" s="38">
        <f>IF(LEFT(VLOOKUP($B10,'Indicator chart'!$D$1:$J$36,6,FALSE),1)=" "," ",VLOOKUP($B10,'Indicator chart'!$D$1:$J$36,6,FALSE))</f>
        <v>120.62069484861871</v>
      </c>
      <c r="G10" s="38">
        <f>IF(LEFT(VLOOKUP($B10,'Indicator chart'!$D$1:$J$36,7,FALSE),1)=" "," ",VLOOKUP($B10,'Indicator chart'!$D$1:$J$36,7,FALSE))</f>
        <v>355.7415382790998</v>
      </c>
      <c r="H10" s="50">
        <f t="shared" si="0"/>
        <v>2</v>
      </c>
      <c r="I10" s="38">
        <v>44.173431396484375</v>
      </c>
      <c r="J10" s="38">
        <v>163.9200439453125</v>
      </c>
      <c r="K10" s="38">
        <v>202.10076904296875</v>
      </c>
      <c r="L10" s="38">
        <v>257.8883972167969</v>
      </c>
      <c r="M10" s="38">
        <v>1290.3226318359375</v>
      </c>
      <c r="N10" s="80">
        <f>VLOOKUP('Hide - Control'!B$3,'All practice data'!A:CA,A10+29,FALSE)</f>
        <v>218.59194630642895</v>
      </c>
      <c r="O10" s="80">
        <f>VLOOKUP('Hide - Control'!C$3,'All practice data'!A:CA,A10+29,FALSE)</f>
        <v>234.12259778895606</v>
      </c>
      <c r="P10" s="38">
        <f>VLOOKUP('Hide - Control'!$B$4,'All practice data'!B:BC,A10+2,FALSE)</f>
        <v>2556</v>
      </c>
      <c r="Q10" s="38">
        <f>VLOOKUP('Hide - Control'!$B$4,'All practice data'!B:BC,3,FALSE)</f>
        <v>1169302</v>
      </c>
      <c r="R10" s="38">
        <f>100000*(P10*(1-1/(9*P10)-1.96/(3*SQRT(P10)))^3)/Q10</f>
        <v>210.19879692869992</v>
      </c>
      <c r="S10" s="38">
        <f>100000*((P10+1)*(1-1/(9*(P10+1))+1.96/(3*SQRT(P10+1)))^3)/Q10</f>
        <v>227.23427857066633</v>
      </c>
      <c r="T10" s="53">
        <f t="shared" si="16"/>
        <v>1290.3226318359375</v>
      </c>
      <c r="U10" s="51">
        <f t="shared" si="1"/>
        <v>44.173431396484375</v>
      </c>
      <c r="V10" s="7"/>
      <c r="W10" s="27">
        <f t="shared" si="2"/>
        <v>-886.12109375</v>
      </c>
      <c r="X10" s="27">
        <f t="shared" si="3"/>
        <v>1290.3226318359375</v>
      </c>
      <c r="Y10" s="27">
        <f t="shared" si="4"/>
        <v>-886.12109375</v>
      </c>
      <c r="Z10" s="27">
        <f t="shared" si="5"/>
        <v>1290.3226318359375</v>
      </c>
      <c r="AA10" s="32">
        <f t="shared" si="6"/>
        <v>0.4274378952279285</v>
      </c>
      <c r="AB10" s="33">
        <f t="shared" si="7"/>
        <v>0.4824572881674773</v>
      </c>
      <c r="AC10" s="33">
        <v>0.5</v>
      </c>
      <c r="AD10" s="33">
        <f t="shared" si="8"/>
        <v>0.5256324698488628</v>
      </c>
      <c r="AE10" s="33">
        <f t="shared" si="9"/>
        <v>1</v>
      </c>
      <c r="AF10" s="33">
        <f t="shared" si="10"/>
        <v>-999</v>
      </c>
      <c r="AG10" s="33">
        <f t="shared" si="11"/>
        <v>0.5062355893177888</v>
      </c>
      <c r="AH10" s="33">
        <f t="shared" si="12"/>
        <v>-999</v>
      </c>
      <c r="AI10" s="34">
        <f t="shared" si="13"/>
        <v>0.5147129137177054</v>
      </c>
      <c r="AJ10" s="4">
        <v>5.930037568584676</v>
      </c>
      <c r="AK10" s="32">
        <f t="shared" si="14"/>
        <v>-999</v>
      </c>
      <c r="AL10" s="34">
        <f t="shared" si="15"/>
        <v>-999</v>
      </c>
      <c r="AY10" s="103" t="s">
        <v>96</v>
      </c>
      <c r="AZ10" s="103" t="s">
        <v>97</v>
      </c>
      <c r="BA10" s="103" t="s">
        <v>591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143</v>
      </c>
      <c r="E11" s="38">
        <f>IF(LEFT(VLOOKUP($B11,'Indicator chart'!$D$1:$J$36,5,FALSE),1)=" "," ",VLOOKUP($B11,'Indicator chart'!$D$1:$J$36,5,FALSE))</f>
        <v>0.021</v>
      </c>
      <c r="F11" s="38">
        <f>IF(LEFT(VLOOKUP($B11,'Indicator chart'!$D$1:$J$36,6,FALSE),1)=" "," ",VLOOKUP($B11,'Indicator chart'!$D$1:$J$36,6,FALSE))</f>
        <v>0.017480699857487986</v>
      </c>
      <c r="G11" s="38">
        <f>IF(LEFT(VLOOKUP($B11,'Indicator chart'!$D$1:$J$36,7,FALSE),1)=" "," ",VLOOKUP($B11,'Indicator chart'!$D$1:$J$36,7,FALSE))</f>
        <v>0.024170140420296176</v>
      </c>
      <c r="H11" s="50">
        <f t="shared" si="0"/>
        <v>3</v>
      </c>
      <c r="I11" s="38">
        <v>0.006000000052154064</v>
      </c>
      <c r="J11" s="38">
        <v>0.012749999761581421</v>
      </c>
      <c r="K11" s="38">
        <v>0.01600000075995922</v>
      </c>
      <c r="L11" s="38">
        <v>0.01899999938905239</v>
      </c>
      <c r="M11" s="38">
        <v>0.027000000700354576</v>
      </c>
      <c r="N11" s="80">
        <f>VLOOKUP('Hide - Control'!B$3,'All practice data'!A:CA,A11+29,FALSE)</f>
        <v>0.016025800007183774</v>
      </c>
      <c r="O11" s="80">
        <f>VLOOKUP('Hide - Control'!C$3,'All practice data'!A:CA,A11+29,FALSE)</f>
        <v>0.015940726342527432</v>
      </c>
      <c r="P11" s="38">
        <f>VLOOKUP('Hide - Control'!$B$4,'All practice data'!B:BC,A11+2,FALSE)</f>
        <v>18739</v>
      </c>
      <c r="Q11" s="38">
        <f>VLOOKUP('Hide - Control'!$B$4,'All practice data'!B:BC,3,FALSE)</f>
        <v>1169302</v>
      </c>
      <c r="R11" s="80">
        <f aca="true" t="shared" si="17" ref="R11:R16">+((2*P11+1.96^2-1.96*SQRT(1.96^2+4*P11*(1-P11/Q11)))/(2*(Q11+1.96^2)))</f>
        <v>0.015799773235341593</v>
      </c>
      <c r="S11" s="80">
        <f aca="true" t="shared" si="18" ref="S11:S16">+((2*P11+1.96^2+1.96*SQRT(1.96^2+4*P11*(1-P11/Q11)))/(2*(Q11+1.96^2)))</f>
        <v>0.016255006845729714</v>
      </c>
      <c r="T11" s="53">
        <f t="shared" si="16"/>
        <v>0.027000000700354576</v>
      </c>
      <c r="U11" s="51">
        <f t="shared" si="1"/>
        <v>0.006000000052154064</v>
      </c>
      <c r="V11" s="7"/>
      <c r="W11" s="27">
        <f t="shared" si="2"/>
        <v>0.005000000819563866</v>
      </c>
      <c r="X11" s="27">
        <f t="shared" si="3"/>
        <v>0.027000000700354576</v>
      </c>
      <c r="Y11" s="27">
        <f t="shared" si="4"/>
        <v>0.005000000819563866</v>
      </c>
      <c r="Z11" s="27">
        <f t="shared" si="5"/>
        <v>0.027000000700354576</v>
      </c>
      <c r="AA11" s="32">
        <f t="shared" si="6"/>
        <v>0.04545451081858175</v>
      </c>
      <c r="AB11" s="33">
        <f t="shared" si="7"/>
        <v>0.35227268109144233</v>
      </c>
      <c r="AC11" s="33">
        <v>0.5</v>
      </c>
      <c r="AD11" s="33">
        <f t="shared" si="8"/>
        <v>0.6363635747885897</v>
      </c>
      <c r="AE11" s="33">
        <f t="shared" si="9"/>
        <v>1</v>
      </c>
      <c r="AF11" s="33">
        <f t="shared" si="10"/>
        <v>-999</v>
      </c>
      <c r="AG11" s="33">
        <f t="shared" si="11"/>
        <v>-999</v>
      </c>
      <c r="AH11" s="33">
        <f t="shared" si="12"/>
        <v>0.7272726939606271</v>
      </c>
      <c r="AI11" s="34">
        <f t="shared" si="13"/>
        <v>0.49730570828395576</v>
      </c>
      <c r="AJ11" s="4">
        <v>7.0060329939666</v>
      </c>
      <c r="AK11" s="32">
        <f t="shared" si="14"/>
        <v>-999</v>
      </c>
      <c r="AL11" s="34">
        <f t="shared" si="15"/>
        <v>0.7272726939606271</v>
      </c>
      <c r="AY11" s="103" t="s">
        <v>214</v>
      </c>
      <c r="AZ11" s="103" t="s">
        <v>215</v>
      </c>
      <c r="BA11" s="103" t="s">
        <v>591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674</v>
      </c>
      <c r="E12" s="38">
        <f>IF(LEFT(VLOOKUP($B12,'Indicator chart'!$D$1:$J$36,5,FALSE),1)=" "," ",VLOOKUP($B12,'Indicator chart'!$D$1:$J$36,5,FALSE))</f>
        <v>0.759009</v>
      </c>
      <c r="F12" s="38">
        <f>IF(LEFT(VLOOKUP($B12,'Indicator chart'!$D$1:$J$36,6,FALSE),1)=" "," ",VLOOKUP($B12,'Indicator chart'!$D$1:$J$36,6,FALSE))</f>
        <v>0.7298015757609226</v>
      </c>
      <c r="G12" s="38">
        <f>IF(LEFT(VLOOKUP($B12,'Indicator chart'!$D$1:$J$36,7,FALSE),1)=" "," ",VLOOKUP($B12,'Indicator chart'!$D$1:$J$36,7,FALSE))</f>
        <v>0.7859850841123105</v>
      </c>
      <c r="H12" s="50">
        <f t="shared" si="0"/>
        <v>3</v>
      </c>
      <c r="I12" s="38">
        <v>0.42267999053001404</v>
      </c>
      <c r="J12" s="38">
        <v>0.6649477481842041</v>
      </c>
      <c r="K12" s="38">
        <v>0.7105730175971985</v>
      </c>
      <c r="L12" s="38">
        <v>0.7572097778320312</v>
      </c>
      <c r="M12" s="38">
        <v>0.8635389804840088</v>
      </c>
      <c r="N12" s="80">
        <f>VLOOKUP('Hide - Control'!B$3,'All practice data'!A:CA,A12+29,FALSE)</f>
        <v>0.7249425367416591</v>
      </c>
      <c r="O12" s="80">
        <f>VLOOKUP('Hide - Control'!C$3,'All practice data'!A:CA,A12+29,FALSE)</f>
        <v>0.7248631360507991</v>
      </c>
      <c r="P12" s="38">
        <f>VLOOKUP('Hide - Control'!$B$4,'All practice data'!B:BC,A12+2,FALSE)</f>
        <v>93672</v>
      </c>
      <c r="Q12" s="38">
        <f>VLOOKUP('Hide - Control'!$B$4,'All practice data'!B:BJ,57,FALSE)</f>
        <v>129213</v>
      </c>
      <c r="R12" s="38">
        <f t="shared" si="17"/>
        <v>0.7225010584013267</v>
      </c>
      <c r="S12" s="38">
        <f t="shared" si="18"/>
        <v>0.7273706400569029</v>
      </c>
      <c r="T12" s="53">
        <f t="shared" si="16"/>
        <v>0.8635389804840088</v>
      </c>
      <c r="U12" s="51">
        <f t="shared" si="1"/>
        <v>0.42267999053001404</v>
      </c>
      <c r="V12" s="7"/>
      <c r="W12" s="27">
        <f t="shared" si="2"/>
        <v>0.42267999053001404</v>
      </c>
      <c r="X12" s="27">
        <f t="shared" si="3"/>
        <v>0.9984660446643829</v>
      </c>
      <c r="Y12" s="27">
        <f t="shared" si="4"/>
        <v>0.42267999053001404</v>
      </c>
      <c r="Z12" s="27">
        <f t="shared" si="5"/>
        <v>0.9984660446643829</v>
      </c>
      <c r="AA12" s="32">
        <f t="shared" si="6"/>
        <v>0</v>
      </c>
      <c r="AB12" s="33">
        <f t="shared" si="7"/>
        <v>0.42076003042208626</v>
      </c>
      <c r="AC12" s="33">
        <v>0.5</v>
      </c>
      <c r="AD12" s="33">
        <f t="shared" si="8"/>
        <v>0.5809966825350538</v>
      </c>
      <c r="AE12" s="33">
        <f t="shared" si="9"/>
        <v>0.765664584594321</v>
      </c>
      <c r="AF12" s="33">
        <f t="shared" si="10"/>
        <v>-999</v>
      </c>
      <c r="AG12" s="33">
        <f t="shared" si="11"/>
        <v>-999</v>
      </c>
      <c r="AH12" s="33">
        <f t="shared" si="12"/>
        <v>0.5841214927923528</v>
      </c>
      <c r="AI12" s="34">
        <f t="shared" si="13"/>
        <v>0.5248184518381298</v>
      </c>
      <c r="AJ12" s="4">
        <v>8.082028419348523</v>
      </c>
      <c r="AK12" s="32">
        <f t="shared" si="14"/>
        <v>-999</v>
      </c>
      <c r="AL12" s="34">
        <f t="shared" si="15"/>
        <v>0.5841214927923528</v>
      </c>
      <c r="AY12" s="103" t="s">
        <v>261</v>
      </c>
      <c r="AZ12" s="103" t="s">
        <v>527</v>
      </c>
      <c r="BA12" s="103" t="s">
        <v>411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15</v>
      </c>
      <c r="E13" s="38">
        <f>IF(LEFT(VLOOKUP($B13,'Indicator chart'!$D$1:$J$36,5,FALSE),1)=" "," ",VLOOKUP($B13,'Indicator chart'!$D$1:$J$36,5,FALSE))</f>
        <v>0.681818</v>
      </c>
      <c r="F13" s="38">
        <f>IF(LEFT(VLOOKUP($B13,'Indicator chart'!$D$1:$J$36,6,FALSE),1)=" "," ",VLOOKUP($B13,'Indicator chart'!$D$1:$J$36,6,FALSE))</f>
        <v>0.4731822278283934</v>
      </c>
      <c r="G13" s="38">
        <f>IF(LEFT(VLOOKUP($B13,'Indicator chart'!$D$1:$J$36,7,FALSE),1)=" "," ",VLOOKUP($B13,'Indicator chart'!$D$1:$J$36,7,FALSE))</f>
        <v>0.8363961264530753</v>
      </c>
      <c r="H13" s="50">
        <f t="shared" si="0"/>
        <v>2</v>
      </c>
      <c r="I13" s="38">
        <v>0</v>
      </c>
      <c r="J13" s="38">
        <v>0.5</v>
      </c>
      <c r="K13" s="38">
        <v>0.6637549996376038</v>
      </c>
      <c r="L13" s="38">
        <v>0.7705879807472229</v>
      </c>
      <c r="M13" s="38">
        <v>1</v>
      </c>
      <c r="N13" s="80">
        <f>VLOOKUP('Hide - Control'!B$3,'All practice data'!A:CA,A13+29,FALSE)</f>
        <v>0.7569281943182038</v>
      </c>
      <c r="O13" s="80">
        <f>VLOOKUP('Hide - Control'!C$3,'All practice data'!A:CA,A13+29,FALSE)</f>
        <v>0.7467412166569077</v>
      </c>
      <c r="P13" s="38">
        <f>VLOOKUP('Hide - Control'!$B$4,'All practice data'!B:BC,A13+2,FALSE)</f>
        <v>39140</v>
      </c>
      <c r="Q13" s="38">
        <f>VLOOKUP('Hide - Control'!$B$4,'All practice data'!B:BJ,58,FALSE)</f>
        <v>51709</v>
      </c>
      <c r="R13" s="38">
        <f t="shared" si="17"/>
        <v>0.7532120410984366</v>
      </c>
      <c r="S13" s="38">
        <f t="shared" si="18"/>
        <v>0.7606061746075825</v>
      </c>
      <c r="T13" s="53">
        <f t="shared" si="16"/>
        <v>1</v>
      </c>
      <c r="U13" s="51">
        <f t="shared" si="1"/>
        <v>0</v>
      </c>
      <c r="V13" s="7"/>
      <c r="W13" s="27">
        <f t="shared" si="2"/>
        <v>0</v>
      </c>
      <c r="X13" s="27">
        <f t="shared" si="3"/>
        <v>1.3275099992752075</v>
      </c>
      <c r="Y13" s="27">
        <f t="shared" si="4"/>
        <v>0</v>
      </c>
      <c r="Z13" s="27">
        <f t="shared" si="5"/>
        <v>1.3275099992752075</v>
      </c>
      <c r="AA13" s="32">
        <f t="shared" si="6"/>
        <v>0</v>
      </c>
      <c r="AB13" s="33">
        <f t="shared" si="7"/>
        <v>0.3766449972301448</v>
      </c>
      <c r="AC13" s="33">
        <v>0.5</v>
      </c>
      <c r="AD13" s="33">
        <f t="shared" si="8"/>
        <v>0.5804762157482413</v>
      </c>
      <c r="AE13" s="33">
        <f t="shared" si="9"/>
        <v>0.7532899944602895</v>
      </c>
      <c r="AF13" s="33">
        <f t="shared" si="10"/>
        <v>-999</v>
      </c>
      <c r="AG13" s="33">
        <f t="shared" si="11"/>
        <v>0.5136066774429257</v>
      </c>
      <c r="AH13" s="33">
        <f t="shared" si="12"/>
        <v>-999</v>
      </c>
      <c r="AI13" s="34">
        <f t="shared" si="13"/>
        <v>0.5625126869587519</v>
      </c>
      <c r="AJ13" s="4">
        <v>9.158023844730446</v>
      </c>
      <c r="AK13" s="32">
        <f t="shared" si="14"/>
        <v>-999</v>
      </c>
      <c r="AL13" s="34">
        <f t="shared" si="15"/>
        <v>-999</v>
      </c>
      <c r="AY13" s="103" t="s">
        <v>260</v>
      </c>
      <c r="AZ13" s="103" t="s">
        <v>526</v>
      </c>
      <c r="BA13" s="103" t="s">
        <v>411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1546</v>
      </c>
      <c r="E14" s="38">
        <f>IF(LEFT(VLOOKUP($B14,'Indicator chart'!$D$1:$J$36,5,FALSE),1)=" "," ",VLOOKUP($B14,'Indicator chart'!$D$1:$J$36,5,FALSE))</f>
        <v>0.829844</v>
      </c>
      <c r="F14" s="38">
        <f>IF(LEFT(VLOOKUP($B14,'Indicator chart'!$D$1:$J$36,6,FALSE),1)=" "," ",VLOOKUP($B14,'Indicator chart'!$D$1:$J$36,6,FALSE))</f>
        <v>0.8121060188282541</v>
      </c>
      <c r="G14" s="38">
        <f>IF(LEFT(VLOOKUP($B14,'Indicator chart'!$D$1:$J$36,7,FALSE),1)=" "," ",VLOOKUP($B14,'Indicator chart'!$D$1:$J$36,7,FALSE))</f>
        <v>0.8462251432799828</v>
      </c>
      <c r="H14" s="50">
        <f t="shared" si="0"/>
        <v>3</v>
      </c>
      <c r="I14" s="38">
        <v>0.5812568068504333</v>
      </c>
      <c r="J14" s="38">
        <v>0.749801516532898</v>
      </c>
      <c r="K14" s="38">
        <v>0.784029483795166</v>
      </c>
      <c r="L14" s="38">
        <v>0.8092684745788574</v>
      </c>
      <c r="M14" s="38">
        <v>1</v>
      </c>
      <c r="N14" s="80">
        <f>VLOOKUP('Hide - Control'!B$3,'All practice data'!A:CA,A14+29,FALSE)</f>
        <v>0.7839907802842053</v>
      </c>
      <c r="O14" s="80">
        <f>VLOOKUP('Hide - Control'!C$3,'All practice data'!A:CA,A14+29,FALSE)</f>
        <v>0.7559681673907895</v>
      </c>
      <c r="P14" s="38">
        <f>VLOOKUP('Hide - Control'!$B$4,'All practice data'!B:BC,A14+2,FALSE)</f>
        <v>226531</v>
      </c>
      <c r="Q14" s="38">
        <f>VLOOKUP('Hide - Control'!$B$4,'All practice data'!B:BJ,59,FALSE)</f>
        <v>288946</v>
      </c>
      <c r="R14" s="38">
        <f t="shared" si="17"/>
        <v>0.7824864982651364</v>
      </c>
      <c r="S14" s="38">
        <f t="shared" si="18"/>
        <v>0.7854875109651217</v>
      </c>
      <c r="T14" s="53">
        <f t="shared" si="16"/>
        <v>1</v>
      </c>
      <c r="U14" s="51">
        <f t="shared" si="1"/>
        <v>0.5812568068504333</v>
      </c>
      <c r="V14" s="7"/>
      <c r="W14" s="27">
        <f t="shared" si="2"/>
        <v>0.568058967590332</v>
      </c>
      <c r="X14" s="27">
        <f t="shared" si="3"/>
        <v>1</v>
      </c>
      <c r="Y14" s="27">
        <f t="shared" si="4"/>
        <v>0.568058967590332</v>
      </c>
      <c r="Z14" s="27">
        <f t="shared" si="5"/>
        <v>1</v>
      </c>
      <c r="AA14" s="32">
        <f t="shared" si="6"/>
        <v>0.03055472453375077</v>
      </c>
      <c r="AB14" s="33">
        <f t="shared" si="7"/>
        <v>0.4207577778121226</v>
      </c>
      <c r="AC14" s="33">
        <v>0.5</v>
      </c>
      <c r="AD14" s="33">
        <f t="shared" si="8"/>
        <v>0.558431565630361</v>
      </c>
      <c r="AE14" s="33">
        <f t="shared" si="9"/>
        <v>1</v>
      </c>
      <c r="AF14" s="33">
        <f t="shared" si="10"/>
        <v>-999</v>
      </c>
      <c r="AG14" s="33">
        <f t="shared" si="11"/>
        <v>-999</v>
      </c>
      <c r="AH14" s="33">
        <f t="shared" si="12"/>
        <v>0.6060665988346806</v>
      </c>
      <c r="AI14" s="34">
        <f t="shared" si="13"/>
        <v>0.43503438131860056</v>
      </c>
      <c r="AJ14" s="4">
        <v>10.234019270112368</v>
      </c>
      <c r="AK14" s="32">
        <f t="shared" si="14"/>
        <v>-999</v>
      </c>
      <c r="AL14" s="34">
        <f t="shared" si="15"/>
        <v>0.6060665988346806</v>
      </c>
      <c r="AY14" s="103" t="s">
        <v>53</v>
      </c>
      <c r="AZ14" s="103" t="s">
        <v>534</v>
      </c>
      <c r="BA14" s="103" t="s">
        <v>591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444</v>
      </c>
      <c r="E15" s="38">
        <f>IF(LEFT(VLOOKUP($B15,'Indicator chart'!$D$1:$J$36,5,FALSE),1)=" "," ",VLOOKUP($B15,'Indicator chart'!$D$1:$J$36,5,FALSE))</f>
        <v>0.595174</v>
      </c>
      <c r="F15" s="38">
        <f>IF(LEFT(VLOOKUP($B15,'Indicator chart'!$D$1:$J$36,6,FALSE),1)=" "," ",VLOOKUP($B15,'Indicator chart'!$D$1:$J$36,6,FALSE))</f>
        <v>0.5595492942452275</v>
      </c>
      <c r="G15" s="38">
        <f>IF(LEFT(VLOOKUP($B15,'Indicator chart'!$D$1:$J$36,7,FALSE),1)=" "," ",VLOOKUP($B15,'Indicator chart'!$D$1:$J$36,7,FALSE))</f>
        <v>0.6298240347351864</v>
      </c>
      <c r="H15" s="50">
        <f t="shared" si="0"/>
        <v>3</v>
      </c>
      <c r="I15" s="38">
        <v>0.29838699102401733</v>
      </c>
      <c r="J15" s="38">
        <v>0.4934822618961334</v>
      </c>
      <c r="K15" s="38">
        <v>0.5457490086555481</v>
      </c>
      <c r="L15" s="38">
        <v>0.5815805196762085</v>
      </c>
      <c r="M15" s="38">
        <v>0.6652359962463379</v>
      </c>
      <c r="N15" s="80">
        <f>VLOOKUP('Hide - Control'!B$3,'All practice data'!A:CA,A15+29,FALSE)</f>
        <v>0.5512600130642555</v>
      </c>
      <c r="O15" s="80">
        <f>VLOOKUP('Hide - Control'!C$3,'All practice data'!A:CA,A15+29,FALSE)</f>
        <v>0.5147293797466616</v>
      </c>
      <c r="P15" s="38">
        <f>VLOOKUP('Hide - Control'!$B$4,'All practice data'!B:BC,A15+2,FALSE)</f>
        <v>64138</v>
      </c>
      <c r="Q15" s="38">
        <f>VLOOKUP('Hide - Control'!$B$4,'All practice data'!B:BJ,60,FALSE)</f>
        <v>116348</v>
      </c>
      <c r="R15" s="38">
        <f t="shared" si="17"/>
        <v>0.5484004329837004</v>
      </c>
      <c r="S15" s="38">
        <f t="shared" si="18"/>
        <v>0.5541162082311989</v>
      </c>
      <c r="T15" s="53">
        <f t="shared" si="16"/>
        <v>0.6652359962463379</v>
      </c>
      <c r="U15" s="51">
        <f t="shared" si="1"/>
        <v>0.29838699102401733</v>
      </c>
      <c r="V15" s="7"/>
      <c r="W15" s="27">
        <f t="shared" si="2"/>
        <v>0.29838699102401733</v>
      </c>
      <c r="X15" s="27">
        <f t="shared" si="3"/>
        <v>0.7931110262870789</v>
      </c>
      <c r="Y15" s="27">
        <f t="shared" si="4"/>
        <v>0.29838699102401733</v>
      </c>
      <c r="Z15" s="27">
        <f t="shared" si="5"/>
        <v>0.7931110262870789</v>
      </c>
      <c r="AA15" s="32">
        <f t="shared" si="6"/>
        <v>0</v>
      </c>
      <c r="AB15" s="33">
        <f t="shared" si="7"/>
        <v>0.39435171320992585</v>
      </c>
      <c r="AC15" s="33">
        <v>0.5</v>
      </c>
      <c r="AD15" s="33">
        <f t="shared" si="8"/>
        <v>0.5724272694808684</v>
      </c>
      <c r="AE15" s="33">
        <f t="shared" si="9"/>
        <v>0.7415225036059842</v>
      </c>
      <c r="AF15" s="33">
        <f t="shared" si="10"/>
        <v>-999</v>
      </c>
      <c r="AG15" s="33">
        <f t="shared" si="11"/>
        <v>-999</v>
      </c>
      <c r="AH15" s="33">
        <f t="shared" si="12"/>
        <v>0.5999041643856478</v>
      </c>
      <c r="AI15" s="34">
        <f t="shared" si="13"/>
        <v>0.4372991269922991</v>
      </c>
      <c r="AJ15" s="4">
        <v>11.310014695494289</v>
      </c>
      <c r="AK15" s="32">
        <f t="shared" si="14"/>
        <v>-999</v>
      </c>
      <c r="AL15" s="34">
        <f t="shared" si="15"/>
        <v>0.5999041643856478</v>
      </c>
      <c r="AY15" s="103" t="s">
        <v>229</v>
      </c>
      <c r="AZ15" s="103" t="s">
        <v>230</v>
      </c>
      <c r="BA15" s="103" t="s">
        <v>411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193</v>
      </c>
      <c r="E16" s="38">
        <f>IF(LEFT(VLOOKUP($B16,'Indicator chart'!$D$1:$J$36,5,FALSE),1)=" "," ",VLOOKUP($B16,'Indicator chart'!$D$1:$J$36,5,FALSE))</f>
        <v>0.639073</v>
      </c>
      <c r="F16" s="38">
        <f>IF(LEFT(VLOOKUP($B16,'Indicator chart'!$D$1:$J$36,6,FALSE),1)=" "," ",VLOOKUP($B16,'Indicator chart'!$D$1:$J$36,6,FALSE))</f>
        <v>0.5834715696248887</v>
      </c>
      <c r="G16" s="38">
        <f>IF(LEFT(VLOOKUP($B16,'Indicator chart'!$D$1:$J$36,7,FALSE),1)=" "," ",VLOOKUP($B16,'Indicator chart'!$D$1:$J$36,7,FALSE))</f>
        <v>0.6911804070846238</v>
      </c>
      <c r="H16" s="50">
        <f t="shared" si="0"/>
        <v>2</v>
      </c>
      <c r="I16" s="38">
        <v>0.2432429939508438</v>
      </c>
      <c r="J16" s="38">
        <v>0.5363732576370239</v>
      </c>
      <c r="K16" s="38">
        <v>0.5879470109939575</v>
      </c>
      <c r="L16" s="38">
        <v>0.6233519911766052</v>
      </c>
      <c r="M16" s="38">
        <v>0.7226889729499817</v>
      </c>
      <c r="N16" s="80">
        <f>VLOOKUP('Hide - Control'!B$3,'All practice data'!A:CA,A16+29,FALSE)</f>
        <v>0.5891904167139775</v>
      </c>
      <c r="O16" s="80">
        <f>VLOOKUP('Hide - Control'!C$3,'All practice data'!A:CA,A16+29,FALSE)</f>
        <v>0.5752927626212945</v>
      </c>
      <c r="P16" s="38">
        <f>VLOOKUP('Hide - Control'!$B$4,'All practice data'!B:BC,A16+2,FALSE)</f>
        <v>25945</v>
      </c>
      <c r="Q16" s="38">
        <f>VLOOKUP('Hide - Control'!$B$4,'All practice data'!B:BJ,61,FALSE)</f>
        <v>44035</v>
      </c>
      <c r="R16" s="38">
        <f t="shared" si="17"/>
        <v>0.5845876221107155</v>
      </c>
      <c r="S16" s="38">
        <f t="shared" si="18"/>
        <v>0.5937776507851094</v>
      </c>
      <c r="T16" s="53">
        <f aca="true" t="shared" si="19" ref="T16:T31">IF($C16=1,M16,I16)</f>
        <v>0.7226889729499817</v>
      </c>
      <c r="U16" s="51">
        <f aca="true" t="shared" si="20" ref="U16:U31">IF($C16=1,I16,M16)</f>
        <v>0.2432429939508438</v>
      </c>
      <c r="V16" s="7"/>
      <c r="W16" s="27">
        <f t="shared" si="2"/>
        <v>0.2432429939508438</v>
      </c>
      <c r="X16" s="27">
        <f t="shared" si="3"/>
        <v>0.9326510280370712</v>
      </c>
      <c r="Y16" s="27">
        <f t="shared" si="4"/>
        <v>0.2432429939508438</v>
      </c>
      <c r="Z16" s="27">
        <f t="shared" si="5"/>
        <v>0.9326510280370712</v>
      </c>
      <c r="AA16" s="32">
        <f t="shared" si="6"/>
        <v>0</v>
      </c>
      <c r="AB16" s="33">
        <f t="shared" si="7"/>
        <v>0.4251912498738258</v>
      </c>
      <c r="AC16" s="33">
        <v>0.5</v>
      </c>
      <c r="AD16" s="33">
        <f t="shared" si="8"/>
        <v>0.5513556245824363</v>
      </c>
      <c r="AE16" s="33">
        <f t="shared" si="9"/>
        <v>0.6954458829807768</v>
      </c>
      <c r="AF16" s="33">
        <f t="shared" si="10"/>
        <v>-999</v>
      </c>
      <c r="AG16" s="33">
        <f t="shared" si="11"/>
        <v>0.5741592590718894</v>
      </c>
      <c r="AH16" s="33">
        <f t="shared" si="12"/>
        <v>-999</v>
      </c>
      <c r="AI16" s="34">
        <f t="shared" si="13"/>
        <v>0.48164476224963704</v>
      </c>
      <c r="AJ16" s="4">
        <v>12.386010120876215</v>
      </c>
      <c r="AK16" s="32">
        <f t="shared" si="14"/>
        <v>-999</v>
      </c>
      <c r="AL16" s="34">
        <f t="shared" si="15"/>
        <v>-999</v>
      </c>
      <c r="AY16" s="103" t="s">
        <v>409</v>
      </c>
      <c r="AZ16" s="103" t="s">
        <v>430</v>
      </c>
      <c r="BA16" s="103" t="s">
        <v>591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75</v>
      </c>
      <c r="E17" s="38">
        <f>IF(LEFT(VLOOKUP($B17,'Indicator chart'!$D$1:$J$36,5,FALSE),1)=" "," ",VLOOKUP($B17,'Indicator chart'!$D$1:$J$36,5,FALSE))</f>
        <v>1078.3608914450035</v>
      </c>
      <c r="F17" s="38">
        <f>IF(LEFT(VLOOKUP($B17,'Indicator chart'!$D$1:$J$36,6,FALSE),1)=" "," ",VLOOKUP($B17,'Indicator chart'!$D$1:$J$36,6,FALSE))</f>
        <v>848.1632440111207</v>
      </c>
      <c r="G17" s="38">
        <f>IF(LEFT(VLOOKUP($B17,'Indicator chart'!$D$1:$J$36,7,FALSE),1)=" "," ",VLOOKUP($B17,'Indicator chart'!$D$1:$J$36,7,FALSE))</f>
        <v>1351.7579076507795</v>
      </c>
      <c r="H17" s="50">
        <f t="shared" si="0"/>
        <v>1</v>
      </c>
      <c r="I17" s="38">
        <v>311.36480712890625</v>
      </c>
      <c r="J17" s="38">
        <v>1097.218994140625</v>
      </c>
      <c r="K17" s="38">
        <v>1377.8099365234375</v>
      </c>
      <c r="L17" s="38">
        <v>1716.41943359375</v>
      </c>
      <c r="M17" s="38">
        <v>3560.288330078125</v>
      </c>
      <c r="N17" s="80">
        <f>VLOOKUP('Hide - Control'!B$3,'All practice data'!A:CA,A17+29,FALSE)</f>
        <v>1464.5489360319234</v>
      </c>
      <c r="O17" s="80">
        <f>VLOOKUP('Hide - Control'!C$3,'All practice data'!A:CA,A17+29,FALSE)</f>
        <v>1812.1669120472948</v>
      </c>
      <c r="P17" s="38">
        <f>VLOOKUP('Hide - Control'!$B$4,'All practice data'!B:BC,A17+2,FALSE)</f>
        <v>17125</v>
      </c>
      <c r="Q17" s="38">
        <f>VLOOKUP('Hide - Control'!$B$4,'All practice data'!B:BC,3,FALSE)</f>
        <v>1169302</v>
      </c>
      <c r="R17" s="38">
        <f>100000*(P17*(1-1/(9*P17)-1.96/(3*SQRT(P17)))^3)/Q17</f>
        <v>1442.6946884145636</v>
      </c>
      <c r="S17" s="38">
        <f>100000*((P17+1)*(1-1/(9*(P17+1))+1.96/(3*SQRT(P17+1)))^3)/Q17</f>
        <v>1486.651355328602</v>
      </c>
      <c r="T17" s="53">
        <f t="shared" si="19"/>
        <v>3560.288330078125</v>
      </c>
      <c r="U17" s="51">
        <f t="shared" si="20"/>
        <v>311.36480712890625</v>
      </c>
      <c r="V17" s="7"/>
      <c r="W17" s="27">
        <f t="shared" si="2"/>
        <v>-804.66845703125</v>
      </c>
      <c r="X17" s="27">
        <f t="shared" si="3"/>
        <v>3560.288330078125</v>
      </c>
      <c r="Y17" s="27">
        <f t="shared" si="4"/>
        <v>-804.66845703125</v>
      </c>
      <c r="Z17" s="27">
        <f t="shared" si="5"/>
        <v>3560.288330078125</v>
      </c>
      <c r="AA17" s="32">
        <f t="shared" si="6"/>
        <v>0.255680254946861</v>
      </c>
      <c r="AB17" s="33">
        <f t="shared" si="7"/>
        <v>0.43571736077400447</v>
      </c>
      <c r="AC17" s="33">
        <v>0.5</v>
      </c>
      <c r="AD17" s="33">
        <f t="shared" si="8"/>
        <v>0.5775745359198736</v>
      </c>
      <c r="AE17" s="33">
        <f t="shared" si="9"/>
        <v>1</v>
      </c>
      <c r="AF17" s="33">
        <f t="shared" si="10"/>
        <v>-999</v>
      </c>
      <c r="AG17" s="33">
        <f t="shared" si="11"/>
        <v>-999</v>
      </c>
      <c r="AH17" s="33">
        <f t="shared" si="12"/>
        <v>0.4313970195620792</v>
      </c>
      <c r="AI17" s="34">
        <f t="shared" si="13"/>
        <v>0.5995100287834702</v>
      </c>
      <c r="AJ17" s="4">
        <v>13.462005546258133</v>
      </c>
      <c r="AK17" s="32">
        <f t="shared" si="14"/>
        <v>0.4313970195620792</v>
      </c>
      <c r="AL17" s="34">
        <f t="shared" si="15"/>
        <v>-999</v>
      </c>
      <c r="AY17" s="103" t="s">
        <v>103</v>
      </c>
      <c r="AZ17" s="103" t="s">
        <v>104</v>
      </c>
      <c r="BA17" s="103" t="s">
        <v>411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75</v>
      </c>
      <c r="E18" s="80">
        <f>IF(LEFT(VLOOKUP($B18,'Indicator chart'!$D$1:$J$36,5,FALSE),1)=" "," ",VLOOKUP($B18,'Indicator chart'!$D$1:$J$36,5,FALSE))</f>
        <v>0.5661789703</v>
      </c>
      <c r="F18" s="81">
        <f>IF(LEFT(VLOOKUP($B18,'Indicator chart'!$D$1:$J$36,6,FALSE),1)=" "," ",VLOOKUP($B18,'Indicator chart'!$D$1:$J$36,6,FALSE))</f>
        <v>0.4453356552</v>
      </c>
      <c r="G18" s="38">
        <f>IF(LEFT(VLOOKUP($B18,'Indicator chart'!$D$1:$J$36,7,FALSE),1)=" "," ",VLOOKUP($B18,'Indicator chart'!$D$1:$J$36,7,FALSE))</f>
        <v>0.7097102356</v>
      </c>
      <c r="H18" s="50">
        <f>IF(LEFT(F18,1)=" ",4,IF(AND(ABS(N18-E18)&gt;SQRT((E18-G18)^2+(N18-R18)^2),E18&lt;N18),1,IF(AND(ABS(N18-E18)&gt;SQRT((E18-F18)^2+(N18-S18)^2),E18&gt;N18),3,2)))</f>
        <v>1</v>
      </c>
      <c r="I18" s="38">
        <v>0.22439201176166534</v>
      </c>
      <c r="J18" s="38"/>
      <c r="K18" s="38">
        <v>1</v>
      </c>
      <c r="L18" s="38"/>
      <c r="M18" s="38">
        <v>1.8270646333694458</v>
      </c>
      <c r="N18" s="80">
        <v>1</v>
      </c>
      <c r="O18" s="80">
        <f>VLOOKUP('Hide - Control'!C$3,'All practice data'!A:CA,A18+29,FALSE)</f>
        <v>1</v>
      </c>
      <c r="P18" s="38">
        <f>VLOOKUP('Hide - Control'!$B$4,'All practice data'!B:BC,A18+2,FALSE)</f>
        <v>17125</v>
      </c>
      <c r="Q18" s="38">
        <f>VLOOKUP('Hide - Control'!$B$4,'All practice data'!B:BC,14,FALSE)</f>
        <v>17125</v>
      </c>
      <c r="R18" s="81">
        <v>1</v>
      </c>
      <c r="S18" s="38">
        <v>1</v>
      </c>
      <c r="T18" s="53">
        <f t="shared" si="19"/>
        <v>1.8270646333694458</v>
      </c>
      <c r="U18" s="51">
        <f t="shared" si="20"/>
        <v>0.22439201176166534</v>
      </c>
      <c r="V18" s="7"/>
      <c r="W18" s="27">
        <f>IF((K18-I18)&gt;(M18-K18),I18,(K18-(M18-K18)))</f>
        <v>0.1729353666305542</v>
      </c>
      <c r="X18" s="27">
        <f t="shared" si="3"/>
        <v>1.8270646333694458</v>
      </c>
      <c r="Y18" s="27">
        <f t="shared" si="4"/>
        <v>0.1729353666305542</v>
      </c>
      <c r="Z18" s="27">
        <f t="shared" si="5"/>
        <v>1.8270646333694458</v>
      </c>
      <c r="AA18" s="32" t="s">
        <v>411</v>
      </c>
      <c r="AB18" s="33" t="s">
        <v>411</v>
      </c>
      <c r="AC18" s="33">
        <v>0.5</v>
      </c>
      <c r="AD18" s="33" t="s">
        <v>411</v>
      </c>
      <c r="AE18" s="33" t="s">
        <v>411</v>
      </c>
      <c r="AF18" s="33">
        <f t="shared" si="10"/>
        <v>-999</v>
      </c>
      <c r="AG18" s="33">
        <f t="shared" si="11"/>
        <v>-999</v>
      </c>
      <c r="AH18" s="33">
        <f t="shared" si="12"/>
        <v>0.23773450574677502</v>
      </c>
      <c r="AI18" s="34">
        <v>0.5</v>
      </c>
      <c r="AJ18" s="4">
        <v>14.538000971640056</v>
      </c>
      <c r="AK18" s="32">
        <f t="shared" si="14"/>
        <v>0.23773450574677502</v>
      </c>
      <c r="AL18" s="34">
        <f t="shared" si="15"/>
        <v>-999</v>
      </c>
      <c r="AY18" s="103" t="s">
        <v>105</v>
      </c>
      <c r="AZ18" s="103" t="s">
        <v>106</v>
      </c>
      <c r="BA18" s="103" t="s">
        <v>411</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0.13333333333333333</v>
      </c>
      <c r="F19" s="38">
        <f>IF(LEFT(VLOOKUP($B19,'Indicator chart'!$D$1:$J$36,6,FALSE),1)=" "," ",VLOOKUP($B19,'Indicator chart'!$D$1:$J$36,6,FALSE))</f>
        <v>0.07406505099414731</v>
      </c>
      <c r="G19" s="38">
        <f>IF(LEFT(VLOOKUP($B19,'Indicator chart'!$D$1:$J$36,7,FALSE),1)=" "," ",VLOOKUP($B19,'Indicator chart'!$D$1:$J$36,7,FALSE))</f>
        <v>0.22833368266929938</v>
      </c>
      <c r="H19" s="50">
        <f t="shared" si="0"/>
        <v>2</v>
      </c>
      <c r="I19" s="38">
        <v>0.02070442959666252</v>
      </c>
      <c r="J19" s="38">
        <v>0.07305555790662766</v>
      </c>
      <c r="K19" s="38">
        <v>0.10164141654968262</v>
      </c>
      <c r="L19" s="38">
        <v>0.1449604034423828</v>
      </c>
      <c r="M19" s="38">
        <v>0.3928571343421936</v>
      </c>
      <c r="N19" s="80">
        <f>VLOOKUP('Hide - Control'!B$3,'All practice data'!A:CA,A19+29,FALSE)</f>
        <v>0.1063941605839416</v>
      </c>
      <c r="O19" s="80">
        <f>VLOOKUP('Hide - Control'!C$3,'All practice data'!A:CA,A19+29,FALSE)</f>
        <v>0.10919341638628717</v>
      </c>
      <c r="P19" s="38">
        <f>VLOOKUP('Hide - Control'!$B$4,'All practice data'!B:BC,A19+2,FALSE)</f>
        <v>1822</v>
      </c>
      <c r="Q19" s="38">
        <f>VLOOKUP('Hide - Control'!$B$4,'All practice data'!B:BC,15,FALSE)</f>
        <v>17125</v>
      </c>
      <c r="R19" s="38">
        <f>+((2*P19+1.96^2-1.96*SQRT(1.96^2+4*P19*(1-P19/Q19)))/(2*(Q19+1.96^2)))</f>
        <v>0.10186391203078268</v>
      </c>
      <c r="S19" s="38">
        <f>+((2*P19+1.96^2+1.96*SQRT(1.96^2+4*P19*(1-P19/Q19)))/(2*(Q19+1.96^2)))</f>
        <v>0.11110096237146529</v>
      </c>
      <c r="T19" s="53">
        <f t="shared" si="19"/>
        <v>0.3928571343421936</v>
      </c>
      <c r="U19" s="51">
        <f t="shared" si="20"/>
        <v>0.02070442959666252</v>
      </c>
      <c r="V19" s="7"/>
      <c r="W19" s="27">
        <f t="shared" si="2"/>
        <v>-0.18957430124282837</v>
      </c>
      <c r="X19" s="27">
        <f t="shared" si="3"/>
        <v>0.3928571343421936</v>
      </c>
      <c r="Y19" s="27">
        <f t="shared" si="4"/>
        <v>-0.18957430124282837</v>
      </c>
      <c r="Z19" s="27">
        <f t="shared" si="5"/>
        <v>0.3928571343421936</v>
      </c>
      <c r="AA19" s="32">
        <f t="shared" si="6"/>
        <v>0.3610360258598969</v>
      </c>
      <c r="AB19" s="33">
        <f t="shared" si="7"/>
        <v>0.450919787469332</v>
      </c>
      <c r="AC19" s="33">
        <v>0.5</v>
      </c>
      <c r="AD19" s="33">
        <f t="shared" si="8"/>
        <v>0.5743761140728755</v>
      </c>
      <c r="AE19" s="33">
        <f t="shared" si="9"/>
        <v>1</v>
      </c>
      <c r="AF19" s="33">
        <f t="shared" si="10"/>
        <v>-999</v>
      </c>
      <c r="AG19" s="33">
        <f t="shared" si="11"/>
        <v>0.55441312890644</v>
      </c>
      <c r="AH19" s="33">
        <f t="shared" si="12"/>
        <v>-999</v>
      </c>
      <c r="AI19" s="34">
        <f t="shared" si="13"/>
        <v>0.5129663328165296</v>
      </c>
      <c r="AJ19" s="4">
        <v>15.61399639702198</v>
      </c>
      <c r="AK19" s="32">
        <f t="shared" si="14"/>
        <v>-999</v>
      </c>
      <c r="AL19" s="34">
        <f t="shared" si="15"/>
        <v>-999</v>
      </c>
      <c r="AY19" s="103" t="s">
        <v>270</v>
      </c>
      <c r="AZ19" s="103" t="s">
        <v>530</v>
      </c>
      <c r="BA19" s="103" t="s">
        <v>411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0.5263157894736842</v>
      </c>
      <c r="F20" s="38">
        <f>IF(LEFT(VLOOKUP($B20,'Indicator chart'!$D$1:$J$36,6,FALSE),1)=" "," ",VLOOKUP($B20,'Indicator chart'!$D$1:$J$36,6,FALSE))</f>
        <v>0.3170748251182512</v>
      </c>
      <c r="G20" s="38">
        <f>IF(LEFT(VLOOKUP($B20,'Indicator chart'!$D$1:$J$36,7,FALSE),1)=" "," ",VLOOKUP($B20,'Indicator chart'!$D$1:$J$36,7,FALSE))</f>
        <v>0.7267049451255146</v>
      </c>
      <c r="H20" s="50">
        <f t="shared" si="0"/>
        <v>2</v>
      </c>
      <c r="I20" s="38">
        <v>0.09238772839307785</v>
      </c>
      <c r="J20" s="38">
        <v>0.325549453496933</v>
      </c>
      <c r="K20" s="38">
        <v>0.40862709283828735</v>
      </c>
      <c r="L20" s="38">
        <v>0.47735753655433655</v>
      </c>
      <c r="M20" s="38">
        <v>0.7222222089767456</v>
      </c>
      <c r="N20" s="80">
        <f>VLOOKUP('Hide - Control'!B$3,'All practice data'!A:CA,A20+29,FALSE)</f>
        <v>0.4193325661680092</v>
      </c>
      <c r="O20" s="80">
        <f>VLOOKUP('Hide - Control'!C$3,'All practice data'!A:CA,A20+29,FALSE)</f>
        <v>0.4534552930810221</v>
      </c>
      <c r="P20" s="38">
        <f>VLOOKUP('Hide - Control'!$B$4,'All practice data'!B:BC,A20+1,FALSE)</f>
        <v>1822</v>
      </c>
      <c r="Q20" s="38">
        <f>VLOOKUP('Hide - Control'!$B$4,'All practice data'!B:BC,A20+2,FALSE)</f>
        <v>4345</v>
      </c>
      <c r="R20" s="38">
        <f>+((2*P20+1.96^2-1.96*SQRT(1.96^2+4*P20*(1-P20/Q20)))/(2*(Q20+1.96^2)))</f>
        <v>0.4047376304088745</v>
      </c>
      <c r="S20" s="38">
        <f>+((2*P20+1.96^2+1.96*SQRT(1.96^2+4*P20*(1-P20/Q20)))/(2*(Q20+1.96^2)))</f>
        <v>0.4340700189660764</v>
      </c>
      <c r="T20" s="53">
        <f t="shared" si="19"/>
        <v>0.7222222089767456</v>
      </c>
      <c r="U20" s="51">
        <f t="shared" si="20"/>
        <v>0.09238772839307785</v>
      </c>
      <c r="V20" s="7"/>
      <c r="W20" s="27">
        <f t="shared" si="2"/>
        <v>0.09238772839307785</v>
      </c>
      <c r="X20" s="27">
        <f t="shared" si="3"/>
        <v>0.7248664572834969</v>
      </c>
      <c r="Y20" s="27">
        <f t="shared" si="4"/>
        <v>0.09238772839307785</v>
      </c>
      <c r="Z20" s="27">
        <f t="shared" si="5"/>
        <v>0.7248664572834969</v>
      </c>
      <c r="AA20" s="32">
        <f t="shared" si="6"/>
        <v>0</v>
      </c>
      <c r="AB20" s="33">
        <f t="shared" si="7"/>
        <v>0.3686475361992006</v>
      </c>
      <c r="AC20" s="33">
        <v>0.5</v>
      </c>
      <c r="AD20" s="33">
        <f t="shared" si="8"/>
        <v>0.6086683876889039</v>
      </c>
      <c r="AE20" s="33">
        <f t="shared" si="9"/>
        <v>0.99581922966581</v>
      </c>
      <c r="AF20" s="33">
        <f t="shared" si="10"/>
        <v>-999</v>
      </c>
      <c r="AG20" s="33">
        <f t="shared" si="11"/>
        <v>0.6860753433429493</v>
      </c>
      <c r="AH20" s="33">
        <f t="shared" si="12"/>
        <v>-999</v>
      </c>
      <c r="AI20" s="34">
        <f t="shared" si="13"/>
        <v>0.570877008498576</v>
      </c>
      <c r="AJ20" s="4">
        <v>16.689991822403904</v>
      </c>
      <c r="AK20" s="32">
        <f t="shared" si="14"/>
        <v>-999</v>
      </c>
      <c r="AL20" s="34">
        <f t="shared" si="15"/>
        <v>-999</v>
      </c>
      <c r="AY20" s="103" t="s">
        <v>211</v>
      </c>
      <c r="AZ20" s="103" t="s">
        <v>511</v>
      </c>
      <c r="BA20" s="103" t="s">
        <v>411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22</v>
      </c>
      <c r="E21" s="38">
        <f>IF(LEFT(VLOOKUP($B21,'Indicator chart'!$D$1:$J$36,5,FALSE),1)=" "," ",VLOOKUP($B21,'Indicator chart'!$D$1:$J$36,5,FALSE))</f>
        <v>316.31919482386775</v>
      </c>
      <c r="F21" s="38">
        <f>IF(LEFT(VLOOKUP($B21,'Indicator chart'!$D$1:$J$36,6,FALSE),1)=" "," ",VLOOKUP($B21,'Indicator chart'!$D$1:$J$36,6,FALSE))</f>
        <v>198.16490367765277</v>
      </c>
      <c r="G21" s="38">
        <f>IF(LEFT(VLOOKUP($B21,'Indicator chart'!$D$1:$J$36,7,FALSE),1)=" "," ",VLOOKUP($B21,'Indicator chart'!$D$1:$J$36,7,FALSE))</f>
        <v>478.93601548063396</v>
      </c>
      <c r="H21" s="50">
        <f t="shared" si="0"/>
        <v>2</v>
      </c>
      <c r="I21" s="38">
        <v>61.46357345581055</v>
      </c>
      <c r="J21" s="38">
        <v>218.935302734375</v>
      </c>
      <c r="K21" s="38">
        <v>311.60943603515625</v>
      </c>
      <c r="L21" s="38">
        <v>418.490478515625</v>
      </c>
      <c r="M21" s="38">
        <v>831.1461181640625</v>
      </c>
      <c r="N21" s="80">
        <f>VLOOKUP('Hide - Control'!B$3,'All practice data'!A:CA,A21+29,FALSE)</f>
        <v>325.0657229697717</v>
      </c>
      <c r="O21" s="80">
        <f>VLOOKUP('Hide - Control'!C$3,'All practice data'!A:CA,A21+29,FALSE)</f>
        <v>377.7293140102421</v>
      </c>
      <c r="P21" s="38">
        <f>VLOOKUP('Hide - Control'!$B$4,'All practice data'!B:BC,A21+2,FALSE)</f>
        <v>3801</v>
      </c>
      <c r="Q21" s="38">
        <f>VLOOKUP('Hide - Control'!$B$4,'All practice data'!B:BC,3,FALSE)</f>
        <v>1169302</v>
      </c>
      <c r="R21" s="38">
        <f aca="true" t="shared" si="21" ref="R21:R27">100000*(P21*(1-1/(9*P21)-1.96/(3*SQRT(P21)))^3)/Q21</f>
        <v>314.8127089930287</v>
      </c>
      <c r="S21" s="38">
        <f aca="true" t="shared" si="22" ref="S21:S27">100000*((P21+1)*(1-1/(9*(P21+1))+1.96/(3*SQRT(P21+1)))^3)/Q21</f>
        <v>335.56762384883626</v>
      </c>
      <c r="T21" s="53">
        <f t="shared" si="19"/>
        <v>831.1461181640625</v>
      </c>
      <c r="U21" s="51">
        <f t="shared" si="20"/>
        <v>61.46357345581055</v>
      </c>
      <c r="V21" s="7"/>
      <c r="W21" s="27">
        <f t="shared" si="2"/>
        <v>-207.92724609375</v>
      </c>
      <c r="X21" s="27">
        <f t="shared" si="3"/>
        <v>831.1461181640625</v>
      </c>
      <c r="Y21" s="27">
        <f t="shared" si="4"/>
        <v>-207.92724609375</v>
      </c>
      <c r="Z21" s="27">
        <f t="shared" si="5"/>
        <v>831.1461181640625</v>
      </c>
      <c r="AA21" s="32">
        <f t="shared" si="6"/>
        <v>0.25926063434604596</v>
      </c>
      <c r="AB21" s="33">
        <f t="shared" si="7"/>
        <v>0.41081078921989655</v>
      </c>
      <c r="AC21" s="33">
        <v>0.5</v>
      </c>
      <c r="AD21" s="33">
        <f t="shared" si="8"/>
        <v>0.6028618826706347</v>
      </c>
      <c r="AE21" s="33">
        <f t="shared" si="9"/>
        <v>1</v>
      </c>
      <c r="AF21" s="33">
        <f t="shared" si="10"/>
        <v>-999</v>
      </c>
      <c r="AG21" s="33">
        <f t="shared" si="11"/>
        <v>0.5045326527949984</v>
      </c>
      <c r="AH21" s="33">
        <f t="shared" si="12"/>
        <v>-999</v>
      </c>
      <c r="AI21" s="34">
        <f t="shared" si="13"/>
        <v>0.5636335029358719</v>
      </c>
      <c r="AJ21" s="4">
        <v>17.765987247785823</v>
      </c>
      <c r="AK21" s="32">
        <f t="shared" si="14"/>
        <v>-999</v>
      </c>
      <c r="AL21" s="34">
        <f t="shared" si="15"/>
        <v>-999</v>
      </c>
      <c r="AY21" s="103" t="s">
        <v>123</v>
      </c>
      <c r="AZ21" s="103" t="s">
        <v>485</v>
      </c>
      <c r="BA21" s="103" t="s">
        <v>411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86.2688713156003</v>
      </c>
      <c r="F22" s="38">
        <f>IF(LEFT(VLOOKUP($B22,'Indicator chart'!$D$1:$J$36,6,FALSE),1)=" "," ",VLOOKUP($B22,'Indicator chart'!$D$1:$J$36,6,FALSE))</f>
        <v>31.50166413635772</v>
      </c>
      <c r="G22" s="38">
        <f>IF(LEFT(VLOOKUP($B22,'Indicator chart'!$D$1:$J$36,7,FALSE),1)=" "," ",VLOOKUP($B22,'Indicator chart'!$D$1:$J$36,7,FALSE))</f>
        <v>187.7770707214631</v>
      </c>
      <c r="H22" s="50">
        <f t="shared" si="0"/>
        <v>1</v>
      </c>
      <c r="I22" s="38">
        <v>18.07059669494629</v>
      </c>
      <c r="J22" s="38">
        <v>138.93959045410156</v>
      </c>
      <c r="K22" s="38">
        <v>205.2742919921875</v>
      </c>
      <c r="L22" s="38">
        <v>299.1878967285156</v>
      </c>
      <c r="M22" s="38">
        <v>654.413818359375</v>
      </c>
      <c r="N22" s="80">
        <f>VLOOKUP('Hide - Control'!B$3,'All practice data'!A:CA,A22+29,FALSE)</f>
        <v>231.76219659249705</v>
      </c>
      <c r="O22" s="80">
        <f>VLOOKUP('Hide - Control'!C$3,'All practice data'!A:CA,A22+29,FALSE)</f>
        <v>282.45290788403287</v>
      </c>
      <c r="P22" s="38">
        <f>VLOOKUP('Hide - Control'!$B$4,'All practice data'!B:BC,A22+2,FALSE)</f>
        <v>2710</v>
      </c>
      <c r="Q22" s="38">
        <f>VLOOKUP('Hide - Control'!$B$4,'All practice data'!B:BC,3,FALSE)</f>
        <v>1169302</v>
      </c>
      <c r="R22" s="38">
        <f t="shared" si="21"/>
        <v>223.11748004717938</v>
      </c>
      <c r="S22" s="38">
        <f t="shared" si="22"/>
        <v>240.65604864266277</v>
      </c>
      <c r="T22" s="53">
        <f t="shared" si="19"/>
        <v>654.413818359375</v>
      </c>
      <c r="U22" s="51">
        <f t="shared" si="20"/>
        <v>18.07059669494629</v>
      </c>
      <c r="V22" s="7"/>
      <c r="W22" s="27">
        <f t="shared" si="2"/>
        <v>-243.865234375</v>
      </c>
      <c r="X22" s="27">
        <f t="shared" si="3"/>
        <v>654.413818359375</v>
      </c>
      <c r="Y22" s="27">
        <f t="shared" si="4"/>
        <v>-243.865234375</v>
      </c>
      <c r="Z22" s="27">
        <f t="shared" si="5"/>
        <v>654.413818359375</v>
      </c>
      <c r="AA22" s="32">
        <f t="shared" si="6"/>
        <v>0.2915973942313468</v>
      </c>
      <c r="AB22" s="33">
        <f t="shared" si="7"/>
        <v>0.4261535696105101</v>
      </c>
      <c r="AC22" s="33">
        <v>0.5</v>
      </c>
      <c r="AD22" s="33">
        <f t="shared" si="8"/>
        <v>0.6045483632847206</v>
      </c>
      <c r="AE22" s="33">
        <f t="shared" si="9"/>
        <v>1</v>
      </c>
      <c r="AF22" s="33">
        <f t="shared" si="10"/>
        <v>-999</v>
      </c>
      <c r="AG22" s="33">
        <f t="shared" si="11"/>
        <v>-999</v>
      </c>
      <c r="AH22" s="33">
        <f t="shared" si="12"/>
        <v>0.36751842836106113</v>
      </c>
      <c r="AI22" s="34">
        <f t="shared" si="13"/>
        <v>0.5859183075202661</v>
      </c>
      <c r="AJ22" s="4">
        <v>18.841982673167745</v>
      </c>
      <c r="AK22" s="32">
        <f t="shared" si="14"/>
        <v>0.36751842836106113</v>
      </c>
      <c r="AL22" s="34">
        <f t="shared" si="15"/>
        <v>-999</v>
      </c>
      <c r="AY22" s="103" t="s">
        <v>149</v>
      </c>
      <c r="AZ22" s="103" t="s">
        <v>495</v>
      </c>
      <c r="BA22" s="103" t="s">
        <v>411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40.18021011352539</v>
      </c>
      <c r="K23" s="38">
        <v>67.0112533569336</v>
      </c>
      <c r="L23" s="38">
        <v>91.50825500488281</v>
      </c>
      <c r="M23" s="38">
        <v>164.02406311035156</v>
      </c>
      <c r="N23" s="80">
        <f>VLOOKUP('Hide - Control'!B$3,'All practice data'!A:CA,A23+29,FALSE)</f>
        <v>69.6141800835028</v>
      </c>
      <c r="O23" s="80">
        <f>VLOOKUP('Hide - Control'!C$3,'All practice data'!A:CA,A23+29,FALSE)</f>
        <v>70.46674929228394</v>
      </c>
      <c r="P23" s="38">
        <f>VLOOKUP('Hide - Control'!$B$4,'All practice data'!B:BC,A23+2,FALSE)</f>
        <v>814</v>
      </c>
      <c r="Q23" s="38">
        <f>VLOOKUP('Hide - Control'!$B$4,'All practice data'!B:BC,3,FALSE)</f>
        <v>1169302</v>
      </c>
      <c r="R23" s="38">
        <f t="shared" si="21"/>
        <v>64.91329172172051</v>
      </c>
      <c r="S23" s="38">
        <f t="shared" si="22"/>
        <v>74.56551558179939</v>
      </c>
      <c r="T23" s="53">
        <f t="shared" si="19"/>
        <v>164.02406311035156</v>
      </c>
      <c r="U23" s="51">
        <f t="shared" si="20"/>
        <v>3.248678207397461</v>
      </c>
      <c r="V23" s="7"/>
      <c r="W23" s="27">
        <f t="shared" si="2"/>
        <v>-30.001556396484375</v>
      </c>
      <c r="X23" s="27">
        <f t="shared" si="3"/>
        <v>164.02406311035156</v>
      </c>
      <c r="Y23" s="27">
        <f t="shared" si="4"/>
        <v>-30.001556396484375</v>
      </c>
      <c r="Z23" s="27">
        <f t="shared" si="5"/>
        <v>164.02406311035156</v>
      </c>
      <c r="AA23" s="32">
        <f t="shared" si="6"/>
        <v>0.17137033082742126</v>
      </c>
      <c r="AB23" s="33">
        <f t="shared" si="7"/>
        <v>0.3617139153499114</v>
      </c>
      <c r="AC23" s="33">
        <v>0.5</v>
      </c>
      <c r="AD23" s="33">
        <f t="shared" si="8"/>
        <v>0.6262565310200499</v>
      </c>
      <c r="AE23" s="33">
        <f t="shared" si="9"/>
        <v>1</v>
      </c>
      <c r="AF23" s="33">
        <f t="shared" si="10"/>
        <v>-999</v>
      </c>
      <c r="AG23" s="33">
        <f t="shared" si="11"/>
        <v>-999</v>
      </c>
      <c r="AH23" s="33">
        <f t="shared" si="12"/>
        <v>-999</v>
      </c>
      <c r="AI23" s="34">
        <f t="shared" si="13"/>
        <v>0.5178094828102254</v>
      </c>
      <c r="AJ23" s="4">
        <v>19.917978098549675</v>
      </c>
      <c r="AK23" s="32">
        <f t="shared" si="14"/>
        <v>-999</v>
      </c>
      <c r="AL23" s="34">
        <f t="shared" si="15"/>
        <v>-999</v>
      </c>
      <c r="AY23" s="103" t="s">
        <v>264</v>
      </c>
      <c r="AZ23" s="103" t="s">
        <v>265</v>
      </c>
      <c r="BA23" s="103" t="s">
        <v>411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23</v>
      </c>
      <c r="E24" s="38">
        <f>IF(LEFT(VLOOKUP($B24,'Indicator chart'!$D$1:$J$36,5,FALSE),1)=" "," ",VLOOKUP($B24,'Indicator chart'!$D$1:$J$36,5,FALSE))</f>
        <v>330.69734004313443</v>
      </c>
      <c r="F24" s="38">
        <f>IF(LEFT(VLOOKUP($B24,'Indicator chart'!$D$1:$J$36,6,FALSE),1)=" "," ",VLOOKUP($B24,'Indicator chart'!$D$1:$J$36,6,FALSE))</f>
        <v>209.5649640018705</v>
      </c>
      <c r="G24" s="38">
        <f>IF(LEFT(VLOOKUP($B24,'Indicator chart'!$D$1:$J$36,7,FALSE),1)=" "," ",VLOOKUP($B24,'Indicator chart'!$D$1:$J$36,7,FALSE))</f>
        <v>496.2334302210869</v>
      </c>
      <c r="H24" s="50">
        <f t="shared" si="0"/>
        <v>2</v>
      </c>
      <c r="I24" s="38">
        <v>27.3076171875</v>
      </c>
      <c r="J24" s="38">
        <v>151.78515625</v>
      </c>
      <c r="K24" s="38">
        <v>252.9705810546875</v>
      </c>
      <c r="L24" s="38">
        <v>375.2123718261719</v>
      </c>
      <c r="M24" s="38">
        <v>806.7118530273438</v>
      </c>
      <c r="N24" s="80">
        <f>VLOOKUP('Hide - Control'!B$3,'All practice data'!A:CA,A24+29,FALSE)</f>
        <v>278.798804757026</v>
      </c>
      <c r="O24" s="80">
        <f>VLOOKUP('Hide - Control'!C$3,'All practice data'!A:CA,A24+29,FALSE)</f>
        <v>323.23046266988894</v>
      </c>
      <c r="P24" s="38">
        <f>VLOOKUP('Hide - Control'!$B$4,'All practice data'!B:BC,A24+2,FALSE)</f>
        <v>3260</v>
      </c>
      <c r="Q24" s="38">
        <f>VLOOKUP('Hide - Control'!$B$4,'All practice data'!B:BC,3,FALSE)</f>
        <v>1169302</v>
      </c>
      <c r="R24" s="38">
        <f t="shared" si="21"/>
        <v>269.3094640035757</v>
      </c>
      <c r="S24" s="38">
        <f t="shared" si="22"/>
        <v>288.5371400814733</v>
      </c>
      <c r="T24" s="53">
        <f t="shared" si="19"/>
        <v>806.7118530273438</v>
      </c>
      <c r="U24" s="51">
        <f t="shared" si="20"/>
        <v>27.3076171875</v>
      </c>
      <c r="V24" s="7"/>
      <c r="W24" s="27">
        <f t="shared" si="2"/>
        <v>-300.77069091796875</v>
      </c>
      <c r="X24" s="27">
        <f t="shared" si="3"/>
        <v>806.7118530273438</v>
      </c>
      <c r="Y24" s="27">
        <f t="shared" si="4"/>
        <v>-300.77069091796875</v>
      </c>
      <c r="Z24" s="27">
        <f t="shared" si="5"/>
        <v>806.7118530273438</v>
      </c>
      <c r="AA24" s="32">
        <f t="shared" si="6"/>
        <v>0.2962379045151517</v>
      </c>
      <c r="AB24" s="33">
        <f t="shared" si="7"/>
        <v>0.4086347452085132</v>
      </c>
      <c r="AC24" s="33">
        <v>0.5</v>
      </c>
      <c r="AD24" s="33">
        <f t="shared" si="8"/>
        <v>0.610378074525679</v>
      </c>
      <c r="AE24" s="33">
        <f t="shared" si="9"/>
        <v>1</v>
      </c>
      <c r="AF24" s="33">
        <f t="shared" si="10"/>
        <v>-999</v>
      </c>
      <c r="AG24" s="33">
        <f t="shared" si="11"/>
        <v>0.5701832813649161</v>
      </c>
      <c r="AH24" s="33">
        <f t="shared" si="12"/>
        <v>-999</v>
      </c>
      <c r="AI24" s="34">
        <f t="shared" si="13"/>
        <v>0.5634410736307469</v>
      </c>
      <c r="AJ24" s="4">
        <v>20.99397352393159</v>
      </c>
      <c r="AK24" s="32">
        <f t="shared" si="14"/>
        <v>-999</v>
      </c>
      <c r="AL24" s="34">
        <f t="shared" si="15"/>
        <v>-999</v>
      </c>
      <c r="AY24" s="103" t="s">
        <v>65</v>
      </c>
      <c r="AZ24" s="103" t="s">
        <v>66</v>
      </c>
      <c r="BA24" s="103" t="s">
        <v>591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35</v>
      </c>
      <c r="E25" s="38">
        <f>IF(LEFT(VLOOKUP($B25,'Indicator chart'!$D$1:$J$36,5,FALSE),1)=" "," ",VLOOKUP($B25,'Indicator chart'!$D$1:$J$36,5,FALSE))</f>
        <v>503.235082674335</v>
      </c>
      <c r="F25" s="38">
        <f>IF(LEFT(VLOOKUP($B25,'Indicator chart'!$D$1:$J$36,6,FALSE),1)=" "," ",VLOOKUP($B25,'Indicator chart'!$D$1:$J$36,6,FALSE))</f>
        <v>350.467908917053</v>
      </c>
      <c r="G25" s="38">
        <f>IF(LEFT(VLOOKUP($B25,'Indicator chart'!$D$1:$J$36,7,FALSE),1)=" "," ",VLOOKUP($B25,'Indicator chart'!$D$1:$J$36,7,FALSE))</f>
        <v>699.903285910339</v>
      </c>
      <c r="H25" s="50">
        <f t="shared" si="0"/>
        <v>2</v>
      </c>
      <c r="I25" s="38">
        <v>185.5142822265625</v>
      </c>
      <c r="J25" s="38">
        <v>444.03955078125</v>
      </c>
      <c r="K25" s="38">
        <v>527.361572265625</v>
      </c>
      <c r="L25" s="38">
        <v>642.4611206054688</v>
      </c>
      <c r="M25" s="38">
        <v>882.0049438476562</v>
      </c>
      <c r="N25" s="80">
        <f>VLOOKUP('Hide - Control'!B$3,'All practice data'!A:CA,A25+29,FALSE)</f>
        <v>544.0852748049691</v>
      </c>
      <c r="O25" s="80">
        <f>VLOOKUP('Hide - Control'!C$3,'All practice data'!A:CA,A25+29,FALSE)</f>
        <v>562.6134400960308</v>
      </c>
      <c r="P25" s="38">
        <f>VLOOKUP('Hide - Control'!$B$4,'All practice data'!B:BC,A25+2,FALSE)</f>
        <v>6362</v>
      </c>
      <c r="Q25" s="38">
        <f>VLOOKUP('Hide - Control'!$B$4,'All practice data'!B:BC,3,FALSE)</f>
        <v>1169302</v>
      </c>
      <c r="R25" s="38">
        <f t="shared" si="21"/>
        <v>530.7966069359128</v>
      </c>
      <c r="S25" s="38">
        <f t="shared" si="22"/>
        <v>557.6225228627808</v>
      </c>
      <c r="T25" s="53">
        <f t="shared" si="19"/>
        <v>882.0049438476562</v>
      </c>
      <c r="U25" s="51">
        <f t="shared" si="20"/>
        <v>185.5142822265625</v>
      </c>
      <c r="V25" s="7"/>
      <c r="W25" s="27">
        <f t="shared" si="2"/>
        <v>172.71820068359375</v>
      </c>
      <c r="X25" s="27">
        <f t="shared" si="3"/>
        <v>882.0049438476562</v>
      </c>
      <c r="Y25" s="27">
        <f t="shared" si="4"/>
        <v>172.71820068359375</v>
      </c>
      <c r="Z25" s="27">
        <f t="shared" si="5"/>
        <v>882.0049438476562</v>
      </c>
      <c r="AA25" s="32">
        <f t="shared" si="6"/>
        <v>0.01804077358881207</v>
      </c>
      <c r="AB25" s="33">
        <f t="shared" si="7"/>
        <v>0.3825270283317531</v>
      </c>
      <c r="AC25" s="33">
        <v>0.5</v>
      </c>
      <c r="AD25" s="33">
        <f t="shared" si="8"/>
        <v>0.6622750593453859</v>
      </c>
      <c r="AE25" s="33">
        <f t="shared" si="9"/>
        <v>1</v>
      </c>
      <c r="AF25" s="33">
        <f t="shared" si="10"/>
        <v>-999</v>
      </c>
      <c r="AG25" s="33">
        <f t="shared" si="11"/>
        <v>0.4659848575716163</v>
      </c>
      <c r="AH25" s="33">
        <f t="shared" si="12"/>
        <v>-999</v>
      </c>
      <c r="AI25" s="34">
        <f t="shared" si="13"/>
        <v>0.5497004464980558</v>
      </c>
      <c r="AJ25" s="4">
        <v>22.06996894931352</v>
      </c>
      <c r="AK25" s="32">
        <f t="shared" si="14"/>
        <v>-999</v>
      </c>
      <c r="AL25" s="34">
        <f t="shared" si="15"/>
        <v>-999</v>
      </c>
      <c r="AY25" s="103" t="s">
        <v>257</v>
      </c>
      <c r="AZ25" s="103" t="s">
        <v>258</v>
      </c>
      <c r="BA25" s="103" t="s">
        <v>591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34</v>
      </c>
      <c r="E26" s="38">
        <f>IF(LEFT(VLOOKUP($B26,'Indicator chart'!$D$1:$J$36,5,FALSE),1)=" "," ",VLOOKUP($B26,'Indicator chart'!$D$1:$J$36,5,FALSE))</f>
        <v>488.8569374550683</v>
      </c>
      <c r="F26" s="38">
        <f>IF(LEFT(VLOOKUP($B26,'Indicator chart'!$D$1:$J$36,6,FALSE),1)=" "," ",VLOOKUP($B26,'Indicator chart'!$D$1:$J$36,6,FALSE))</f>
        <v>338.49297885492825</v>
      </c>
      <c r="G26" s="38">
        <f>IF(LEFT(VLOOKUP($B26,'Indicator chart'!$D$1:$J$36,7,FALSE),1)=" "," ",VLOOKUP($B26,'Indicator chart'!$D$1:$J$36,7,FALSE))</f>
        <v>683.1537128251049</v>
      </c>
      <c r="H26" s="50">
        <f t="shared" si="0"/>
        <v>2</v>
      </c>
      <c r="I26" s="38">
        <v>112.1823501586914</v>
      </c>
      <c r="J26" s="38">
        <v>288.83734130859375</v>
      </c>
      <c r="K26" s="38">
        <v>380.34942626953125</v>
      </c>
      <c r="L26" s="38">
        <v>448.1804504394531</v>
      </c>
      <c r="M26" s="38">
        <v>719.4244384765625</v>
      </c>
      <c r="N26" s="80">
        <f>VLOOKUP('Hide - Control'!B$3,'All practice data'!A:CA,A26+29,FALSE)</f>
        <v>387.0685246411962</v>
      </c>
      <c r="O26" s="80">
        <f>VLOOKUP('Hide - Control'!C$3,'All practice data'!A:CA,A26+29,FALSE)</f>
        <v>405.57105879375996</v>
      </c>
      <c r="P26" s="38">
        <f>VLOOKUP('Hide - Control'!$B$4,'All practice data'!B:BC,A26+2,FALSE)</f>
        <v>4526</v>
      </c>
      <c r="Q26" s="38">
        <f>VLOOKUP('Hide - Control'!$B$4,'All practice data'!B:BC,3,FALSE)</f>
        <v>1169302</v>
      </c>
      <c r="R26" s="38">
        <f t="shared" si="21"/>
        <v>375.87290727560907</v>
      </c>
      <c r="S26" s="38">
        <f t="shared" si="22"/>
        <v>398.51291605376434</v>
      </c>
      <c r="T26" s="53">
        <f t="shared" si="19"/>
        <v>719.4244384765625</v>
      </c>
      <c r="U26" s="51">
        <f t="shared" si="20"/>
        <v>112.1823501586914</v>
      </c>
      <c r="V26" s="7"/>
      <c r="W26" s="27">
        <f t="shared" si="2"/>
        <v>41.2744140625</v>
      </c>
      <c r="X26" s="27">
        <f t="shared" si="3"/>
        <v>719.4244384765625</v>
      </c>
      <c r="Y26" s="27">
        <f t="shared" si="4"/>
        <v>41.2744140625</v>
      </c>
      <c r="Z26" s="27">
        <f t="shared" si="5"/>
        <v>719.4244384765625</v>
      </c>
      <c r="AA26" s="32">
        <f t="shared" si="6"/>
        <v>0.1045608398487599</v>
      </c>
      <c r="AB26" s="33">
        <f t="shared" si="7"/>
        <v>0.36505628302527</v>
      </c>
      <c r="AC26" s="33">
        <v>0.5</v>
      </c>
      <c r="AD26" s="33">
        <f t="shared" si="8"/>
        <v>0.6000236256402548</v>
      </c>
      <c r="AE26" s="33">
        <f t="shared" si="9"/>
        <v>1</v>
      </c>
      <c r="AF26" s="33">
        <f t="shared" si="10"/>
        <v>-999</v>
      </c>
      <c r="AG26" s="33">
        <f t="shared" si="11"/>
        <v>0.6600051718339022</v>
      </c>
      <c r="AH26" s="33">
        <f t="shared" si="12"/>
        <v>-999</v>
      </c>
      <c r="AI26" s="34">
        <f t="shared" si="13"/>
        <v>0.5371918183532041</v>
      </c>
      <c r="AJ26" s="4">
        <v>23.145964374695435</v>
      </c>
      <c r="AK26" s="32">
        <f t="shared" si="14"/>
        <v>-999</v>
      </c>
      <c r="AL26" s="34">
        <f t="shared" si="15"/>
        <v>-999</v>
      </c>
      <c r="AY26" s="103" t="s">
        <v>120</v>
      </c>
      <c r="AZ26" s="103" t="s">
        <v>484</v>
      </c>
      <c r="BA26" s="103" t="s">
        <v>411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54</v>
      </c>
      <c r="E27" s="38">
        <f>IF(LEFT(VLOOKUP($B27,'Indicator chart'!$D$1:$J$36,5,FALSE),1)=" "," ",VLOOKUP($B27,'Indicator chart'!$D$1:$J$36,5,FALSE))</f>
        <v>776.4198418404026</v>
      </c>
      <c r="F27" s="38">
        <f>IF(LEFT(VLOOKUP($B27,'Indicator chart'!$D$1:$J$36,6,FALSE),1)=" "," ",VLOOKUP($B27,'Indicator chart'!$D$1:$J$36,6,FALSE))</f>
        <v>583.2280641748414</v>
      </c>
      <c r="G27" s="38">
        <f>IF(LEFT(VLOOKUP($B27,'Indicator chart'!$D$1:$J$36,7,FALSE),1)=" "," ",VLOOKUP($B27,'Indicator chart'!$D$1:$J$36,7,FALSE))</f>
        <v>1013.0836394413548</v>
      </c>
      <c r="H27" s="50">
        <f t="shared" si="0"/>
        <v>2</v>
      </c>
      <c r="I27" s="38">
        <v>434.7826232910156</v>
      </c>
      <c r="J27" s="38">
        <v>756.1012573242188</v>
      </c>
      <c r="K27" s="38">
        <v>888.1317749023438</v>
      </c>
      <c r="L27" s="38">
        <v>1020.8682861328125</v>
      </c>
      <c r="M27" s="38">
        <v>1583.8099365234375</v>
      </c>
      <c r="N27" s="80">
        <f>VLOOKUP('Hide - Control'!B$3,'All practice data'!A:CA,A27+29,FALSE)</f>
        <v>898.9123425770246</v>
      </c>
      <c r="O27" s="80">
        <f>VLOOKUP('Hide - Control'!C$3,'All practice data'!A:CA,A27+29,FALSE)</f>
        <v>1059.3522061277838</v>
      </c>
      <c r="P27" s="38">
        <f>VLOOKUP('Hide - Control'!$B$4,'All practice data'!B:BC,A27+2,FALSE)</f>
        <v>10511</v>
      </c>
      <c r="Q27" s="38">
        <f>VLOOKUP('Hide - Control'!$B$4,'All practice data'!B:BC,3,FALSE)</f>
        <v>1169302</v>
      </c>
      <c r="R27" s="38">
        <f t="shared" si="21"/>
        <v>881.8084043933962</v>
      </c>
      <c r="S27" s="38">
        <f t="shared" si="22"/>
        <v>916.2646288038209</v>
      </c>
      <c r="T27" s="53">
        <f t="shared" si="19"/>
        <v>1583.8099365234375</v>
      </c>
      <c r="U27" s="51">
        <f t="shared" si="20"/>
        <v>434.7826232910156</v>
      </c>
      <c r="V27" s="7"/>
      <c r="W27" s="27">
        <f t="shared" si="2"/>
        <v>192.45361328125</v>
      </c>
      <c r="X27" s="27">
        <f t="shared" si="3"/>
        <v>1583.8099365234375</v>
      </c>
      <c r="Y27" s="27">
        <f t="shared" si="4"/>
        <v>192.45361328125</v>
      </c>
      <c r="Z27" s="27">
        <f t="shared" si="5"/>
        <v>1583.8099365234375</v>
      </c>
      <c r="AA27" s="32">
        <f t="shared" si="6"/>
        <v>0.17416746951282905</v>
      </c>
      <c r="AB27" s="33">
        <f t="shared" si="7"/>
        <v>0.4051066104544213</v>
      </c>
      <c r="AC27" s="33">
        <v>0.5</v>
      </c>
      <c r="AD27" s="33">
        <f t="shared" si="8"/>
        <v>0.5954008035275691</v>
      </c>
      <c r="AE27" s="33">
        <f t="shared" si="9"/>
        <v>1</v>
      </c>
      <c r="AF27" s="33">
        <f t="shared" si="10"/>
        <v>-999</v>
      </c>
      <c r="AG27" s="33">
        <f t="shared" si="11"/>
        <v>0.41971004753000574</v>
      </c>
      <c r="AH27" s="33">
        <f t="shared" si="12"/>
        <v>-999</v>
      </c>
      <c r="AI27" s="34">
        <f t="shared" si="13"/>
        <v>0.6230600877469376</v>
      </c>
      <c r="AJ27" s="4">
        <v>24.221959800077364</v>
      </c>
      <c r="AK27" s="32">
        <f t="shared" si="14"/>
        <v>-999</v>
      </c>
      <c r="AL27" s="34">
        <f t="shared" si="15"/>
        <v>-999</v>
      </c>
      <c r="AY27" s="103" t="s">
        <v>115</v>
      </c>
      <c r="AZ27" s="103" t="s">
        <v>483</v>
      </c>
      <c r="BA27" s="103" t="s">
        <v>591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31</v>
      </c>
      <c r="E28" s="38">
        <f>IF(LEFT(VLOOKUP($B28,'Indicator chart'!$D$1:$J$36,5,FALSE),1)=" "," ",VLOOKUP($B28,'Indicator chart'!$D$1:$J$36,5,FALSE))</f>
        <v>445.72250179726814</v>
      </c>
      <c r="F28" s="38">
        <f>IF(LEFT(VLOOKUP($B28,'Indicator chart'!$D$1:$J$36,6,FALSE),1)=" "," ",VLOOKUP($B28,'Indicator chart'!$D$1:$J$36,6,FALSE))</f>
        <v>302.789166012843</v>
      </c>
      <c r="G28" s="38">
        <f>IF(LEFT(VLOOKUP($B28,'Indicator chart'!$D$1:$J$36,7,FALSE),1)=" "," ",VLOOKUP($B28,'Indicator chart'!$D$1:$J$36,7,FALSE))</f>
        <v>632.6927350211815</v>
      </c>
      <c r="H28" s="50">
        <f t="shared" si="0"/>
        <v>2</v>
      </c>
      <c r="I28" s="38">
        <v>151.51515197753906</v>
      </c>
      <c r="J28" s="38">
        <v>383.67803955078125</v>
      </c>
      <c r="K28" s="38">
        <v>442.1629333496094</v>
      </c>
      <c r="L28" s="38">
        <v>534.9960327148438</v>
      </c>
      <c r="M28" s="38">
        <v>1058.2010498046875</v>
      </c>
      <c r="N28" s="80">
        <f>VLOOKUP('Hide - Control'!B$3,'All practice data'!A:CA,A28+29,FALSE)</f>
        <v>458.56416905128015</v>
      </c>
      <c r="O28" s="80">
        <f>VLOOKUP('Hide - Control'!C$3,'All practice data'!A:CA,A28+29,FALSE)</f>
        <v>582.9390489900089</v>
      </c>
      <c r="P28" s="38">
        <f>VLOOKUP('Hide - Control'!$B$4,'All practice data'!B:BC,A28+2,FALSE)</f>
        <v>5362</v>
      </c>
      <c r="Q28" s="38">
        <f>VLOOKUP('Hide - Control'!$B$4,'All practice data'!B:BC,3,FALSE)</f>
        <v>1169302</v>
      </c>
      <c r="R28" s="38">
        <f>100000*(P28*(1-1/(9*P28)-1.96/(3*SQRT(P28)))^3)/Q28</f>
        <v>446.3711675922653</v>
      </c>
      <c r="S28" s="38">
        <f>100000*((P28+1)*(1-1/(9*(P28+1))+1.96/(3*SQRT(P28+1)))^3)/Q28</f>
        <v>471.00584395879144</v>
      </c>
      <c r="T28" s="53">
        <f t="shared" si="19"/>
        <v>1058.2010498046875</v>
      </c>
      <c r="U28" s="51">
        <f t="shared" si="20"/>
        <v>151.51515197753906</v>
      </c>
      <c r="V28" s="7"/>
      <c r="W28" s="27">
        <f t="shared" si="2"/>
        <v>-173.87518310546875</v>
      </c>
      <c r="X28" s="27">
        <f t="shared" si="3"/>
        <v>1058.2010498046875</v>
      </c>
      <c r="Y28" s="27">
        <f t="shared" si="4"/>
        <v>-173.87518310546875</v>
      </c>
      <c r="Z28" s="27">
        <f t="shared" si="5"/>
        <v>1058.2010498046875</v>
      </c>
      <c r="AA28" s="32">
        <f t="shared" si="6"/>
        <v>0.2640991899620025</v>
      </c>
      <c r="AB28" s="33">
        <f t="shared" si="7"/>
        <v>0.452531432522899</v>
      </c>
      <c r="AC28" s="33">
        <v>0.5</v>
      </c>
      <c r="AD28" s="33">
        <f t="shared" si="8"/>
        <v>0.575346879426416</v>
      </c>
      <c r="AE28" s="33">
        <f t="shared" si="9"/>
        <v>1</v>
      </c>
      <c r="AF28" s="33">
        <f t="shared" si="10"/>
        <v>-999</v>
      </c>
      <c r="AG28" s="33">
        <f t="shared" si="11"/>
        <v>0.5028890813348871</v>
      </c>
      <c r="AH28" s="33">
        <f t="shared" si="12"/>
        <v>-999</v>
      </c>
      <c r="AI28" s="34">
        <f t="shared" si="13"/>
        <v>0.614259257568736</v>
      </c>
      <c r="AJ28" s="4">
        <v>25.297955225459287</v>
      </c>
      <c r="AK28" s="32">
        <f t="shared" si="14"/>
        <v>-999</v>
      </c>
      <c r="AL28" s="34">
        <f t="shared" si="15"/>
        <v>-999</v>
      </c>
      <c r="AY28" s="103" t="s">
        <v>241</v>
      </c>
      <c r="AZ28" s="103" t="s">
        <v>242</v>
      </c>
      <c r="BA28" s="103" t="s">
        <v>591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486</v>
      </c>
      <c r="BA29" s="103" t="s">
        <v>411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411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507</v>
      </c>
      <c r="BA31" s="103" t="s">
        <v>411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466</v>
      </c>
      <c r="BA32" s="103" t="s">
        <v>411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531</v>
      </c>
      <c r="BA33" s="103" t="s">
        <v>591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411</v>
      </c>
      <c r="BB34" s="10">
        <v>532801</v>
      </c>
      <c r="BE34" s="77"/>
      <c r="BF34" s="253"/>
    </row>
    <row r="35" spans="2:58" ht="12.75">
      <c r="B35" s="17" t="s">
        <v>41</v>
      </c>
      <c r="C35" s="18"/>
      <c r="H35" s="290" t="s">
        <v>728</v>
      </c>
      <c r="I35" s="291"/>
      <c r="Y35" s="43"/>
      <c r="Z35" s="44"/>
      <c r="AA35" s="44"/>
      <c r="AB35" s="43"/>
      <c r="AC35" s="43"/>
      <c r="AY35" s="103" t="s">
        <v>159</v>
      </c>
      <c r="AZ35" s="103" t="s">
        <v>499</v>
      </c>
      <c r="BA35" s="103" t="s">
        <v>411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488</v>
      </c>
      <c r="BA36" s="103" t="s">
        <v>411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505</v>
      </c>
      <c r="BA37" s="103" t="s">
        <v>411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411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411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411</v>
      </c>
      <c r="BB40" s="10">
        <v>714731</v>
      </c>
      <c r="BF40" s="252"/>
    </row>
    <row r="41" spans="1:58" ht="12.75">
      <c r="A41" s="3"/>
      <c r="B41" s="71"/>
      <c r="C41" s="3"/>
      <c r="T41" s="13"/>
      <c r="U41" s="2"/>
      <c r="W41" s="2"/>
      <c r="X41" s="10"/>
      <c r="Y41" s="44"/>
      <c r="Z41" s="44"/>
      <c r="AA41" s="44"/>
      <c r="AB41" s="44"/>
      <c r="AC41" s="44"/>
      <c r="AD41" s="2"/>
      <c r="AE41" s="2"/>
      <c r="AY41" s="103" t="s">
        <v>272</v>
      </c>
      <c r="AZ41" s="103" t="s">
        <v>532</v>
      </c>
      <c r="BA41" s="103" t="s">
        <v>591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411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529</v>
      </c>
      <c r="BA43" s="103" t="s">
        <v>411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517</v>
      </c>
      <c r="BA44" s="103" t="s">
        <v>411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411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508</v>
      </c>
      <c r="BA46" s="103" t="s">
        <v>591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411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512</v>
      </c>
      <c r="BA48" s="103" t="s">
        <v>591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523</v>
      </c>
      <c r="BA49" s="103" t="s">
        <v>591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411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489</v>
      </c>
      <c r="BA51" s="103" t="s">
        <v>411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411</v>
      </c>
      <c r="BB52" s="10">
        <v>611636</v>
      </c>
      <c r="BF52" s="252"/>
    </row>
    <row r="53" spans="1:58" ht="12.75">
      <c r="A53" s="3"/>
      <c r="B53" s="12"/>
      <c r="C53" s="3"/>
      <c r="I53" s="11"/>
      <c r="J53" s="11"/>
      <c r="K53" s="11"/>
      <c r="L53" s="11"/>
      <c r="S53" s="11"/>
      <c r="U53" s="2"/>
      <c r="X53" s="2"/>
      <c r="Y53" s="2"/>
      <c r="Z53" s="2"/>
      <c r="AA53" s="2"/>
      <c r="AB53" s="2"/>
      <c r="AY53" s="103" t="s">
        <v>244</v>
      </c>
      <c r="AZ53" s="103" t="s">
        <v>522</v>
      </c>
      <c r="BA53" s="103" t="s">
        <v>411</v>
      </c>
      <c r="BB53" s="10">
        <v>230998</v>
      </c>
      <c r="BF53" s="252"/>
    </row>
    <row r="54" spans="1:58" ht="12.75">
      <c r="A54" s="3"/>
      <c r="B54" s="12"/>
      <c r="C54" s="3"/>
      <c r="I54" s="11"/>
      <c r="J54" s="11"/>
      <c r="K54" s="11"/>
      <c r="L54" s="11"/>
      <c r="S54" s="11"/>
      <c r="U54" s="2"/>
      <c r="X54" s="2"/>
      <c r="Y54" s="2"/>
      <c r="Z54" s="2"/>
      <c r="AA54" s="2"/>
      <c r="AB54" s="2"/>
      <c r="AY54" s="103" t="s">
        <v>67</v>
      </c>
      <c r="AZ54" s="103" t="s">
        <v>463</v>
      </c>
      <c r="BA54" s="103" t="s">
        <v>411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509</v>
      </c>
      <c r="BA55" s="103" t="s">
        <v>411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479</v>
      </c>
      <c r="BA56" s="103" t="s">
        <v>411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524</v>
      </c>
      <c r="BA57" s="103" t="s">
        <v>411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469</v>
      </c>
      <c r="BA58" s="103" t="s">
        <v>411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411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411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513</v>
      </c>
      <c r="BA61" s="103" t="s">
        <v>591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591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502</v>
      </c>
      <c r="BA63" s="103" t="s">
        <v>411</v>
      </c>
      <c r="BB63" s="10">
        <v>318405</v>
      </c>
      <c r="BE63" s="70"/>
      <c r="BF63" s="239"/>
    </row>
    <row r="64" spans="1:58" ht="12.75">
      <c r="A64" s="3"/>
      <c r="B64" s="12"/>
      <c r="C64" s="3"/>
      <c r="I64" s="11"/>
      <c r="V64" s="3"/>
      <c r="AY64" s="103" t="s">
        <v>78</v>
      </c>
      <c r="AZ64" s="103" t="s">
        <v>470</v>
      </c>
      <c r="BA64" s="103" t="s">
        <v>591</v>
      </c>
      <c r="BB64" s="10">
        <v>181285</v>
      </c>
      <c r="BE64" s="70"/>
      <c r="BF64" s="241"/>
    </row>
    <row r="65" spans="1:58" ht="12.75">
      <c r="A65" s="3"/>
      <c r="B65" s="12"/>
      <c r="C65" s="3"/>
      <c r="AY65" s="103" t="s">
        <v>580</v>
      </c>
      <c r="AZ65" s="103" t="s">
        <v>581</v>
      </c>
      <c r="BA65" s="103" t="s">
        <v>411</v>
      </c>
      <c r="BB65" s="10">
        <v>1169302</v>
      </c>
      <c r="BE65" s="70"/>
      <c r="BF65" s="241"/>
    </row>
    <row r="66" spans="1:58" ht="12.75">
      <c r="A66" s="3"/>
      <c r="B66" s="12"/>
      <c r="C66" s="3"/>
      <c r="E66" s="2"/>
      <c r="F66" s="2"/>
      <c r="G66" s="2"/>
      <c r="V66" s="2"/>
      <c r="AY66" s="103" t="s">
        <v>200</v>
      </c>
      <c r="AZ66" s="103" t="s">
        <v>510</v>
      </c>
      <c r="BA66" s="103" t="s">
        <v>411</v>
      </c>
      <c r="BB66" s="10">
        <v>217916</v>
      </c>
      <c r="BE66" s="70"/>
      <c r="BF66" s="239"/>
    </row>
    <row r="67" spans="1:58" ht="12.75">
      <c r="A67" s="3"/>
      <c r="B67" s="12"/>
      <c r="C67" s="3"/>
      <c r="AY67" s="103" t="s">
        <v>69</v>
      </c>
      <c r="AZ67" s="103" t="s">
        <v>70</v>
      </c>
      <c r="BA67" s="103" t="s">
        <v>411</v>
      </c>
      <c r="BB67" s="10">
        <v>270842</v>
      </c>
      <c r="BE67" s="70"/>
      <c r="BF67" s="239"/>
    </row>
    <row r="68" spans="1:58" ht="12.75">
      <c r="A68" s="3"/>
      <c r="B68" s="12"/>
      <c r="C68" s="3"/>
      <c r="AY68" s="103" t="s">
        <v>109</v>
      </c>
      <c r="AZ68" s="103" t="s">
        <v>110</v>
      </c>
      <c r="BA68" s="103" t="s">
        <v>411</v>
      </c>
      <c r="BB68" s="10">
        <v>251613</v>
      </c>
      <c r="BF68" s="252"/>
    </row>
    <row r="69" spans="1:58" ht="12.75">
      <c r="A69" s="3"/>
      <c r="B69" s="12"/>
      <c r="C69" s="3"/>
      <c r="AY69" s="103" t="s">
        <v>209</v>
      </c>
      <c r="AZ69" s="103" t="s">
        <v>210</v>
      </c>
      <c r="BA69" s="103" t="s">
        <v>411</v>
      </c>
      <c r="BB69" s="10">
        <v>283547</v>
      </c>
      <c r="BE69" s="70"/>
      <c r="BF69" s="241"/>
    </row>
    <row r="70" spans="1:58" ht="12.75">
      <c r="A70" s="3"/>
      <c r="B70" s="12"/>
      <c r="C70" s="3"/>
      <c r="AY70" s="103" t="s">
        <v>275</v>
      </c>
      <c r="AZ70" s="103" t="s">
        <v>533</v>
      </c>
      <c r="BA70" s="103" t="s">
        <v>590</v>
      </c>
      <c r="BB70" s="10">
        <v>141474</v>
      </c>
      <c r="BE70" s="70"/>
      <c r="BF70" s="239"/>
    </row>
    <row r="71" spans="1:58" ht="12.75">
      <c r="A71" s="3"/>
      <c r="B71" s="12"/>
      <c r="C71" s="3"/>
      <c r="AY71" s="103" t="s">
        <v>127</v>
      </c>
      <c r="AZ71" s="103" t="s">
        <v>487</v>
      </c>
      <c r="BA71" s="103" t="s">
        <v>411</v>
      </c>
      <c r="BB71" s="10">
        <v>213326</v>
      </c>
      <c r="BE71" s="70"/>
      <c r="BF71" s="239"/>
    </row>
    <row r="72" spans="1:58" ht="12.75">
      <c r="A72" s="3"/>
      <c r="B72" s="12"/>
      <c r="C72" s="3"/>
      <c r="AY72" s="103" t="s">
        <v>136</v>
      </c>
      <c r="AZ72" s="103" t="s">
        <v>137</v>
      </c>
      <c r="BA72" s="103" t="s">
        <v>411</v>
      </c>
      <c r="BB72" s="10">
        <v>183220</v>
      </c>
      <c r="BE72" s="250"/>
      <c r="BF72" s="239"/>
    </row>
    <row r="73" spans="1:58" ht="12.75">
      <c r="A73" s="3"/>
      <c r="B73" s="12"/>
      <c r="C73" s="3"/>
      <c r="AY73" s="103" t="s">
        <v>64</v>
      </c>
      <c r="AZ73" s="103" t="s">
        <v>462</v>
      </c>
      <c r="BA73" s="103" t="s">
        <v>411</v>
      </c>
      <c r="BB73" s="10">
        <v>190143</v>
      </c>
      <c r="BE73" s="70"/>
      <c r="BF73" s="239"/>
    </row>
    <row r="74" spans="1:58" ht="12.75">
      <c r="A74" s="3"/>
      <c r="B74" s="12"/>
      <c r="C74" s="3"/>
      <c r="AY74" s="103" t="s">
        <v>165</v>
      </c>
      <c r="AZ74" s="103" t="s">
        <v>166</v>
      </c>
      <c r="BA74" s="103" t="s">
        <v>591</v>
      </c>
      <c r="BB74" s="10">
        <v>419928</v>
      </c>
      <c r="BE74" s="70"/>
      <c r="BF74" s="241"/>
    </row>
    <row r="75" spans="1:58" ht="12.75">
      <c r="A75" s="3"/>
      <c r="B75" s="12"/>
      <c r="C75" s="3"/>
      <c r="AY75" s="103" t="s">
        <v>113</v>
      </c>
      <c r="AZ75" s="103" t="s">
        <v>481</v>
      </c>
      <c r="BA75" s="103" t="s">
        <v>411</v>
      </c>
      <c r="BB75" s="10">
        <v>158106</v>
      </c>
      <c r="BE75" s="70"/>
      <c r="BF75" s="241"/>
    </row>
    <row r="76" spans="1:58" ht="12.75">
      <c r="A76" s="3"/>
      <c r="B76" s="12"/>
      <c r="C76" s="3"/>
      <c r="AY76" s="103" t="s">
        <v>140</v>
      </c>
      <c r="AZ76" s="103" t="s">
        <v>141</v>
      </c>
      <c r="BA76" s="103" t="s">
        <v>411</v>
      </c>
      <c r="BB76" s="10">
        <v>377807</v>
      </c>
      <c r="BE76" s="70"/>
      <c r="BF76" s="241"/>
    </row>
    <row r="77" spans="1:58" ht="12.75">
      <c r="A77" s="3"/>
      <c r="B77" s="12"/>
      <c r="C77" s="3"/>
      <c r="AY77" s="103" t="s">
        <v>163</v>
      </c>
      <c r="AZ77" s="103" t="s">
        <v>164</v>
      </c>
      <c r="BA77" s="103" t="s">
        <v>591</v>
      </c>
      <c r="BB77" s="10">
        <v>799634</v>
      </c>
      <c r="BE77" s="70"/>
      <c r="BF77" s="249"/>
    </row>
    <row r="78" spans="1:58" ht="12.75">
      <c r="A78" s="3"/>
      <c r="B78" s="12"/>
      <c r="C78" s="3"/>
      <c r="AY78" s="103" t="s">
        <v>224</v>
      </c>
      <c r="AZ78" s="103" t="s">
        <v>225</v>
      </c>
      <c r="BA78" s="103" t="s">
        <v>411</v>
      </c>
      <c r="BB78" s="10">
        <v>362638</v>
      </c>
      <c r="BE78" s="70"/>
      <c r="BF78" s="239"/>
    </row>
    <row r="79" spans="1:58" ht="12.75">
      <c r="A79" s="3"/>
      <c r="B79" s="12"/>
      <c r="C79" s="3"/>
      <c r="AY79" s="103" t="s">
        <v>223</v>
      </c>
      <c r="AZ79" s="103" t="s">
        <v>515</v>
      </c>
      <c r="BA79" s="103" t="s">
        <v>411</v>
      </c>
      <c r="BB79" s="10">
        <v>678998</v>
      </c>
      <c r="BF79" s="239"/>
    </row>
    <row r="80" spans="1:58" ht="12.75">
      <c r="A80" s="3"/>
      <c r="B80" s="12"/>
      <c r="C80" s="3"/>
      <c r="AY80" s="103" t="s">
        <v>144</v>
      </c>
      <c r="AZ80" s="103" t="s">
        <v>145</v>
      </c>
      <c r="BA80" s="103" t="s">
        <v>411</v>
      </c>
      <c r="BB80" s="10">
        <v>290986</v>
      </c>
      <c r="BF80" s="252"/>
    </row>
    <row r="81" spans="1:58" ht="12.75">
      <c r="A81" s="3"/>
      <c r="B81" s="12"/>
      <c r="C81" s="3"/>
      <c r="AY81" s="103" t="s">
        <v>178</v>
      </c>
      <c r="AZ81" s="103" t="s">
        <v>504</v>
      </c>
      <c r="BA81" s="103" t="s">
        <v>591</v>
      </c>
      <c r="BB81" s="10">
        <v>747976</v>
      </c>
      <c r="BF81" s="252"/>
    </row>
    <row r="82" spans="1:58" ht="12.75">
      <c r="A82" s="3"/>
      <c r="B82" s="12"/>
      <c r="C82" s="3"/>
      <c r="AY82" s="103" t="s">
        <v>193</v>
      </c>
      <c r="AZ82" s="103" t="s">
        <v>194</v>
      </c>
      <c r="BA82" s="103" t="s">
        <v>411</v>
      </c>
      <c r="BB82" s="10">
        <v>489140</v>
      </c>
      <c r="BF82" s="252"/>
    </row>
    <row r="83" spans="1:58" ht="12.75">
      <c r="A83" s="3"/>
      <c r="B83" s="12"/>
      <c r="C83" s="3"/>
      <c r="AY83" s="103" t="s">
        <v>98</v>
      </c>
      <c r="AZ83" s="103" t="s">
        <v>478</v>
      </c>
      <c r="BA83" s="103" t="s">
        <v>591</v>
      </c>
      <c r="BB83" s="10">
        <v>208442</v>
      </c>
      <c r="BE83" s="70"/>
      <c r="BF83" s="241"/>
    </row>
    <row r="84" spans="1:58" ht="12.75">
      <c r="A84" s="3"/>
      <c r="B84" s="12"/>
      <c r="C84" s="3"/>
      <c r="AY84" s="103" t="s">
        <v>203</v>
      </c>
      <c r="AZ84" s="103" t="s">
        <v>204</v>
      </c>
      <c r="BA84" s="103" t="s">
        <v>591</v>
      </c>
      <c r="BB84" s="10">
        <v>545543</v>
      </c>
      <c r="BE84" s="70"/>
      <c r="BF84" s="241"/>
    </row>
    <row r="85" spans="1:58" ht="12.75">
      <c r="A85" s="3"/>
      <c r="B85" s="12"/>
      <c r="C85" s="3"/>
      <c r="AY85" s="103" t="s">
        <v>135</v>
      </c>
      <c r="AZ85" s="103" t="s">
        <v>493</v>
      </c>
      <c r="BA85" s="103" t="s">
        <v>591</v>
      </c>
      <c r="BB85" s="10">
        <v>274067</v>
      </c>
      <c r="BE85" s="70"/>
      <c r="BF85" s="241"/>
    </row>
    <row r="86" spans="1:58" ht="12.75">
      <c r="A86" s="3"/>
      <c r="B86" s="12"/>
      <c r="C86" s="3"/>
      <c r="AY86" s="103" t="s">
        <v>251</v>
      </c>
      <c r="AZ86" s="103" t="s">
        <v>252</v>
      </c>
      <c r="BA86" s="103" t="s">
        <v>591</v>
      </c>
      <c r="BB86" s="10">
        <v>374861</v>
      </c>
      <c r="BE86" s="70"/>
      <c r="BF86" s="249"/>
    </row>
    <row r="87" spans="1:58" ht="12.75">
      <c r="A87" s="3"/>
      <c r="B87" s="12"/>
      <c r="C87" s="3"/>
      <c r="AY87" s="103" t="s">
        <v>132</v>
      </c>
      <c r="AZ87" s="103" t="s">
        <v>133</v>
      </c>
      <c r="BA87" s="103" t="s">
        <v>411</v>
      </c>
      <c r="BB87" s="10">
        <v>153833</v>
      </c>
      <c r="BE87" s="70"/>
      <c r="BF87" s="249"/>
    </row>
    <row r="88" spans="1:58" ht="12.75">
      <c r="A88" s="3"/>
      <c r="B88" s="12"/>
      <c r="C88" s="3"/>
      <c r="AY88" s="103" t="s">
        <v>79</v>
      </c>
      <c r="AZ88" s="103" t="s">
        <v>80</v>
      </c>
      <c r="BA88" s="103" t="s">
        <v>591</v>
      </c>
      <c r="BB88" s="10">
        <v>258492</v>
      </c>
      <c r="BE88" s="70"/>
      <c r="BF88" s="241"/>
    </row>
    <row r="89" spans="1:58" ht="12.75">
      <c r="A89" s="3"/>
      <c r="B89" s="12"/>
      <c r="C89" s="3"/>
      <c r="AY89" s="103" t="s">
        <v>81</v>
      </c>
      <c r="AZ89" s="103" t="s">
        <v>471</v>
      </c>
      <c r="BA89" s="103" t="s">
        <v>411</v>
      </c>
      <c r="BB89" s="10">
        <v>283085</v>
      </c>
      <c r="BE89" s="70"/>
      <c r="BF89" s="241"/>
    </row>
    <row r="90" spans="1:58" ht="12.75">
      <c r="A90" s="3"/>
      <c r="B90" s="12"/>
      <c r="C90" s="3"/>
      <c r="AY90" s="103" t="s">
        <v>76</v>
      </c>
      <c r="AZ90" s="103" t="s">
        <v>468</v>
      </c>
      <c r="BA90" s="103" t="s">
        <v>411</v>
      </c>
      <c r="BB90" s="10">
        <v>357346</v>
      </c>
      <c r="BE90" s="70"/>
      <c r="BF90" s="241"/>
    </row>
    <row r="91" spans="1:58" ht="12.75">
      <c r="A91" s="3"/>
      <c r="B91" s="12"/>
      <c r="C91" s="3"/>
      <c r="AY91" s="103" t="s">
        <v>243</v>
      </c>
      <c r="AZ91" s="103" t="s">
        <v>521</v>
      </c>
      <c r="BA91" s="103" t="s">
        <v>591</v>
      </c>
      <c r="BB91" s="10">
        <v>748575</v>
      </c>
      <c r="BE91" s="247"/>
      <c r="BF91" s="249"/>
    </row>
    <row r="92" spans="1:58" ht="12.75">
      <c r="A92" s="3"/>
      <c r="B92" s="12"/>
      <c r="C92" s="3"/>
      <c r="AY92" s="103" t="s">
        <v>249</v>
      </c>
      <c r="AZ92" s="103" t="s">
        <v>250</v>
      </c>
      <c r="BA92" s="103" t="s">
        <v>591</v>
      </c>
      <c r="BB92" s="10">
        <v>322673</v>
      </c>
      <c r="BE92" s="247"/>
      <c r="BF92" s="249"/>
    </row>
    <row r="93" spans="1:58" ht="12.75">
      <c r="A93" s="3"/>
      <c r="B93" s="12"/>
      <c r="C93" s="3"/>
      <c r="AY93" s="103" t="s">
        <v>58</v>
      </c>
      <c r="AZ93" s="103" t="s">
        <v>59</v>
      </c>
      <c r="BA93" s="103" t="s">
        <v>411</v>
      </c>
      <c r="BB93" s="10">
        <v>165284</v>
      </c>
      <c r="BF93" s="252"/>
    </row>
    <row r="94" spans="1:58" ht="12.75">
      <c r="A94" s="3"/>
      <c r="B94" s="12"/>
      <c r="C94" s="3"/>
      <c r="AY94" s="103" t="s">
        <v>186</v>
      </c>
      <c r="AZ94" s="103" t="s">
        <v>506</v>
      </c>
      <c r="BA94" s="103" t="s">
        <v>411</v>
      </c>
      <c r="BB94" s="10">
        <v>339272</v>
      </c>
      <c r="BE94" s="70"/>
      <c r="BF94" s="241"/>
    </row>
    <row r="95" spans="1:58" ht="12.75">
      <c r="A95" s="3"/>
      <c r="B95" s="12"/>
      <c r="C95" s="3"/>
      <c r="AY95" s="103" t="s">
        <v>86</v>
      </c>
      <c r="AZ95" s="103" t="s">
        <v>87</v>
      </c>
      <c r="BA95" s="103" t="s">
        <v>411</v>
      </c>
      <c r="BB95" s="10">
        <v>165642</v>
      </c>
      <c r="BE95" s="247"/>
      <c r="BF95" s="249"/>
    </row>
    <row r="96" spans="1:58" ht="12.75">
      <c r="A96" s="3"/>
      <c r="B96" s="12"/>
      <c r="C96" s="3"/>
      <c r="AY96" s="103" t="s">
        <v>157</v>
      </c>
      <c r="AZ96" s="103" t="s">
        <v>158</v>
      </c>
      <c r="BA96" s="103" t="s">
        <v>411</v>
      </c>
      <c r="BB96" s="10">
        <v>208351</v>
      </c>
      <c r="BE96" s="243"/>
      <c r="BF96" s="238"/>
    </row>
    <row r="97" spans="1:58" ht="12.75">
      <c r="A97" s="3"/>
      <c r="B97" s="12"/>
      <c r="C97" s="3"/>
      <c r="AY97" s="103" t="s">
        <v>231</v>
      </c>
      <c r="AZ97" s="103" t="s">
        <v>232</v>
      </c>
      <c r="BA97" s="103" t="s">
        <v>411</v>
      </c>
      <c r="BB97" s="10">
        <v>203178</v>
      </c>
      <c r="BE97" s="243"/>
      <c r="BF97" s="238"/>
    </row>
    <row r="98" spans="1:58" ht="12.75">
      <c r="A98" s="3"/>
      <c r="B98" s="12"/>
      <c r="C98" s="3"/>
      <c r="AY98" s="103" t="s">
        <v>82</v>
      </c>
      <c r="AZ98" s="103" t="s">
        <v>472</v>
      </c>
      <c r="BA98" s="103" t="s">
        <v>411</v>
      </c>
      <c r="BB98" s="10">
        <v>214052</v>
      </c>
      <c r="BE98" s="248"/>
      <c r="BF98" s="241"/>
    </row>
    <row r="99" spans="1:58" ht="12.75">
      <c r="A99" s="3"/>
      <c r="B99" s="12"/>
      <c r="C99" s="3"/>
      <c r="AY99" s="103" t="s">
        <v>205</v>
      </c>
      <c r="AZ99" s="103" t="s">
        <v>206</v>
      </c>
      <c r="BA99" s="103" t="s">
        <v>591</v>
      </c>
      <c r="BB99" s="10">
        <v>795503</v>
      </c>
      <c r="BE99" s="70"/>
      <c r="BF99" s="249"/>
    </row>
    <row r="100" spans="1:58" ht="12.75">
      <c r="A100" s="3"/>
      <c r="B100" s="12"/>
      <c r="C100" s="3"/>
      <c r="AY100" s="103" t="s">
        <v>226</v>
      </c>
      <c r="AZ100" s="103" t="s">
        <v>516</v>
      </c>
      <c r="BA100" s="103" t="s">
        <v>411</v>
      </c>
      <c r="BB100" s="10">
        <v>648340</v>
      </c>
      <c r="BE100" s="70"/>
      <c r="BF100" s="249"/>
    </row>
    <row r="101" spans="51:58" ht="12.75">
      <c r="AY101" s="103" t="s">
        <v>51</v>
      </c>
      <c r="AZ101" s="103" t="s">
        <v>52</v>
      </c>
      <c r="BA101" s="103" t="s">
        <v>411</v>
      </c>
      <c r="BB101" s="10">
        <v>320818</v>
      </c>
      <c r="BE101" s="237"/>
      <c r="BF101" s="238"/>
    </row>
    <row r="102" spans="51:58" ht="12.75">
      <c r="AY102" s="103" t="s">
        <v>88</v>
      </c>
      <c r="AZ102" s="103" t="s">
        <v>89</v>
      </c>
      <c r="BA102" s="103" t="s">
        <v>411</v>
      </c>
      <c r="BB102" s="10">
        <v>339920</v>
      </c>
      <c r="BE102" s="237"/>
      <c r="BF102" s="238"/>
    </row>
    <row r="103" spans="51:58" ht="12.75">
      <c r="AY103" s="103" t="s">
        <v>177</v>
      </c>
      <c r="AZ103" s="103" t="s">
        <v>503</v>
      </c>
      <c r="BA103" s="103" t="s">
        <v>411</v>
      </c>
      <c r="BB103" s="10">
        <v>656875</v>
      </c>
      <c r="BE103" s="70"/>
      <c r="BF103" s="239"/>
    </row>
    <row r="104" spans="51:58" ht="12.75">
      <c r="AY104" s="103" t="s">
        <v>114</v>
      </c>
      <c r="AZ104" s="103" t="s">
        <v>482</v>
      </c>
      <c r="BA104" s="103" t="s">
        <v>411</v>
      </c>
      <c r="BB104" s="10">
        <v>236592</v>
      </c>
      <c r="BF104" s="252"/>
    </row>
    <row r="105" spans="51:58" ht="12.75">
      <c r="AY105" s="103" t="s">
        <v>259</v>
      </c>
      <c r="AZ105" s="103" t="s">
        <v>525</v>
      </c>
      <c r="BA105" s="103" t="s">
        <v>591</v>
      </c>
      <c r="BB105" s="10">
        <v>671572</v>
      </c>
      <c r="BE105" s="237"/>
      <c r="BF105" s="238"/>
    </row>
    <row r="106" spans="51:58" ht="12.75">
      <c r="AY106" s="103" t="s">
        <v>239</v>
      </c>
      <c r="AZ106" s="103" t="s">
        <v>240</v>
      </c>
      <c r="BA106" s="103" t="s">
        <v>591</v>
      </c>
      <c r="BB106" s="10">
        <v>177882</v>
      </c>
      <c r="BF106" s="252"/>
    </row>
    <row r="107" spans="51:58" ht="12.75">
      <c r="AY107" s="103" t="s">
        <v>91</v>
      </c>
      <c r="AZ107" s="103" t="s">
        <v>475</v>
      </c>
      <c r="BA107" s="103" t="s">
        <v>411</v>
      </c>
      <c r="BB107" s="10">
        <v>274443</v>
      </c>
      <c r="BF107" s="252"/>
    </row>
    <row r="108" spans="51:58" ht="12.75">
      <c r="AY108" s="103" t="s">
        <v>95</v>
      </c>
      <c r="AZ108" s="103" t="s">
        <v>477</v>
      </c>
      <c r="BA108" s="103" t="s">
        <v>411</v>
      </c>
      <c r="BB108" s="10">
        <v>213174</v>
      </c>
      <c r="BE108" s="70"/>
      <c r="BF108" s="239"/>
    </row>
    <row r="109" spans="51:58" ht="12.75">
      <c r="AY109" s="103" t="s">
        <v>179</v>
      </c>
      <c r="AZ109" s="103" t="s">
        <v>180</v>
      </c>
      <c r="BA109" s="103" t="s">
        <v>411</v>
      </c>
      <c r="BB109" s="10">
        <v>278950</v>
      </c>
      <c r="BE109" s="237"/>
      <c r="BF109" s="238"/>
    </row>
    <row r="110" spans="51:58" ht="12.75">
      <c r="AY110" s="103" t="s">
        <v>273</v>
      </c>
      <c r="AZ110" s="103" t="s">
        <v>274</v>
      </c>
      <c r="BA110" s="103" t="s">
        <v>411</v>
      </c>
      <c r="BB110" s="10">
        <v>133304</v>
      </c>
      <c r="BE110" s="70"/>
      <c r="BF110" s="249"/>
    </row>
    <row r="111" spans="51:58" ht="12.75">
      <c r="AY111" s="103" t="s">
        <v>155</v>
      </c>
      <c r="AZ111" s="103" t="s">
        <v>497</v>
      </c>
      <c r="BA111" s="103" t="s">
        <v>411</v>
      </c>
      <c r="BB111" s="10">
        <v>197060</v>
      </c>
      <c r="BE111" s="70"/>
      <c r="BF111" s="239"/>
    </row>
    <row r="112" spans="51:58" ht="12.75">
      <c r="AY112" s="103" t="s">
        <v>100</v>
      </c>
      <c r="AZ112" s="103" t="s">
        <v>101</v>
      </c>
      <c r="BA112" s="103" t="s">
        <v>411</v>
      </c>
      <c r="BB112" s="10">
        <v>253140</v>
      </c>
      <c r="BE112" s="250"/>
      <c r="BF112" s="249"/>
    </row>
    <row r="113" spans="51:58" ht="12.75">
      <c r="AY113" s="103" t="s">
        <v>92</v>
      </c>
      <c r="AZ113" s="103" t="s">
        <v>93</v>
      </c>
      <c r="BA113" s="103" t="s">
        <v>411</v>
      </c>
      <c r="BB113" s="10">
        <v>240983</v>
      </c>
      <c r="BE113" s="70"/>
      <c r="BF113" s="241"/>
    </row>
    <row r="114" spans="51:58" ht="12.75">
      <c r="AY114" s="103" t="s">
        <v>228</v>
      </c>
      <c r="AZ114" s="103" t="s">
        <v>518</v>
      </c>
      <c r="BA114" s="103" t="s">
        <v>411</v>
      </c>
      <c r="BB114" s="10">
        <v>340451</v>
      </c>
      <c r="BF114" s="241"/>
    </row>
    <row r="115" spans="51:58" ht="12.75">
      <c r="AY115" s="103" t="s">
        <v>189</v>
      </c>
      <c r="AZ115" s="103" t="s">
        <v>190</v>
      </c>
      <c r="BA115" s="103" t="s">
        <v>411</v>
      </c>
      <c r="BB115" s="10">
        <v>280673</v>
      </c>
      <c r="BE115" s="248"/>
      <c r="BF115" s="241"/>
    </row>
    <row r="116" spans="51:58" ht="12.75">
      <c r="AY116" s="103" t="s">
        <v>169</v>
      </c>
      <c r="AZ116" s="103" t="s">
        <v>170</v>
      </c>
      <c r="BA116" s="103" t="s">
        <v>411</v>
      </c>
      <c r="BB116" s="10">
        <v>565874</v>
      </c>
      <c r="BE116" s="70"/>
      <c r="BF116" s="239"/>
    </row>
    <row r="117" spans="51:58" ht="12.75">
      <c r="AY117" s="103" t="s">
        <v>152</v>
      </c>
      <c r="AZ117" s="103" t="s">
        <v>496</v>
      </c>
      <c r="BA117" s="103" t="s">
        <v>591</v>
      </c>
      <c r="BB117" s="10">
        <v>295379</v>
      </c>
      <c r="BE117" s="237"/>
      <c r="BF117" s="238"/>
    </row>
    <row r="118" spans="51:58" ht="12.75">
      <c r="AY118" s="103" t="s">
        <v>56</v>
      </c>
      <c r="AZ118" s="103" t="s">
        <v>57</v>
      </c>
      <c r="BA118" s="103" t="s">
        <v>411</v>
      </c>
      <c r="BB118" s="10">
        <v>217094</v>
      </c>
      <c r="BE118" s="70"/>
      <c r="BF118" s="239"/>
    </row>
    <row r="119" spans="51:58" ht="12.75">
      <c r="AY119" s="103" t="s">
        <v>268</v>
      </c>
      <c r="AZ119" s="103" t="s">
        <v>528</v>
      </c>
      <c r="BA119" s="103" t="s">
        <v>411</v>
      </c>
      <c r="BB119" s="10">
        <v>538131</v>
      </c>
      <c r="BE119" s="70"/>
      <c r="BF119" s="239"/>
    </row>
    <row r="120" spans="51:58" ht="12.75">
      <c r="AY120" s="103" t="s">
        <v>150</v>
      </c>
      <c r="AZ120" s="103" t="s">
        <v>151</v>
      </c>
      <c r="BA120" s="103" t="s">
        <v>591</v>
      </c>
      <c r="BB120" s="10">
        <v>389725</v>
      </c>
      <c r="BE120" s="70"/>
      <c r="BF120" s="239"/>
    </row>
    <row r="121" spans="51:58" ht="12.75">
      <c r="AY121" s="103" t="s">
        <v>212</v>
      </c>
      <c r="AZ121" s="103" t="s">
        <v>213</v>
      </c>
      <c r="BA121" s="103" t="s">
        <v>591</v>
      </c>
      <c r="BB121" s="10">
        <v>356812</v>
      </c>
      <c r="BE121" s="237"/>
      <c r="BF121" s="238"/>
    </row>
    <row r="122" spans="51:58" ht="12.75">
      <c r="AY122" s="103" t="s">
        <v>60</v>
      </c>
      <c r="AZ122" s="103" t="s">
        <v>61</v>
      </c>
      <c r="BA122" s="103" t="s">
        <v>411</v>
      </c>
      <c r="BB122" s="10">
        <v>256321</v>
      </c>
      <c r="BE122" s="70"/>
      <c r="BF122" s="249"/>
    </row>
    <row r="123" spans="51:58" ht="12.75">
      <c r="AY123" s="103" t="s">
        <v>234</v>
      </c>
      <c r="AZ123" s="103" t="s">
        <v>520</v>
      </c>
      <c r="BA123" s="103" t="s">
        <v>591</v>
      </c>
      <c r="BB123" s="10">
        <v>615835</v>
      </c>
      <c r="BF123" s="252"/>
    </row>
    <row r="124" spans="51:58" ht="12.75">
      <c r="AY124" s="103" t="s">
        <v>130</v>
      </c>
      <c r="AZ124" s="103" t="s">
        <v>490</v>
      </c>
      <c r="BA124" s="103" t="s">
        <v>411</v>
      </c>
      <c r="BB124" s="10">
        <v>150179</v>
      </c>
      <c r="BF124" s="252"/>
    </row>
    <row r="125" spans="51:58" ht="12.75">
      <c r="AY125" s="103" t="s">
        <v>253</v>
      </c>
      <c r="AZ125" s="103" t="s">
        <v>254</v>
      </c>
      <c r="BA125" s="103" t="s">
        <v>411</v>
      </c>
      <c r="BB125" s="10">
        <v>420503</v>
      </c>
      <c r="BE125" s="70"/>
      <c r="BF125" s="249"/>
    </row>
    <row r="126" spans="51:58" ht="12.75">
      <c r="AY126" s="103" t="s">
        <v>134</v>
      </c>
      <c r="AZ126" s="103" t="s">
        <v>492</v>
      </c>
      <c r="BA126" s="103" t="s">
        <v>411</v>
      </c>
      <c r="BB126" s="10">
        <v>263936</v>
      </c>
      <c r="BE126" s="70"/>
      <c r="BF126" s="239"/>
    </row>
    <row r="127" spans="51:58" ht="12.75">
      <c r="AY127" s="103" t="s">
        <v>142</v>
      </c>
      <c r="AZ127" s="103" t="s">
        <v>143</v>
      </c>
      <c r="BA127" s="103" t="s">
        <v>411</v>
      </c>
      <c r="BB127" s="10">
        <v>308593</v>
      </c>
      <c r="BF127" s="252"/>
    </row>
    <row r="128" spans="51:58" ht="12.75">
      <c r="AY128" s="103" t="s">
        <v>94</v>
      </c>
      <c r="AZ128" s="103" t="s">
        <v>476</v>
      </c>
      <c r="BA128" s="103" t="s">
        <v>591</v>
      </c>
      <c r="BB128" s="10">
        <v>298190</v>
      </c>
      <c r="BE128" s="250"/>
      <c r="BF128" s="249"/>
    </row>
    <row r="129" spans="51:58" ht="12.75">
      <c r="AY129" s="103" t="s">
        <v>85</v>
      </c>
      <c r="AZ129" s="103" t="s">
        <v>473</v>
      </c>
      <c r="BA129" s="103" t="s">
        <v>411</v>
      </c>
      <c r="BB129" s="10">
        <v>191885</v>
      </c>
      <c r="BE129" s="70"/>
      <c r="BF129" s="249"/>
    </row>
    <row r="130" spans="51:58" ht="12.75">
      <c r="AY130" s="103" t="s">
        <v>233</v>
      </c>
      <c r="AZ130" s="103" t="s">
        <v>519</v>
      </c>
      <c r="BA130" s="103" t="s">
        <v>411</v>
      </c>
      <c r="BB130" s="10">
        <v>268223</v>
      </c>
      <c r="BE130" s="70"/>
      <c r="BF130" s="249"/>
    </row>
    <row r="131" spans="51:58" ht="12.75">
      <c r="AY131" s="103" t="s">
        <v>245</v>
      </c>
      <c r="AZ131" s="103" t="s">
        <v>246</v>
      </c>
      <c r="BA131" s="103" t="s">
        <v>591</v>
      </c>
      <c r="BB131" s="10">
        <v>616983</v>
      </c>
      <c r="BE131" s="247"/>
      <c r="BF131" s="249"/>
    </row>
    <row r="132" spans="51:58" ht="12.75">
      <c r="AY132" s="103" t="s">
        <v>131</v>
      </c>
      <c r="AZ132" s="103" t="s">
        <v>491</v>
      </c>
      <c r="BA132" s="103" t="s">
        <v>411</v>
      </c>
      <c r="BB132" s="10">
        <v>283991</v>
      </c>
      <c r="BE132" s="247"/>
      <c r="BF132" s="249"/>
    </row>
    <row r="133" spans="51:58" ht="12.75">
      <c r="AY133" s="103" t="s">
        <v>216</v>
      </c>
      <c r="AZ133" s="103" t="s">
        <v>217</v>
      </c>
      <c r="BA133" s="103" t="s">
        <v>411</v>
      </c>
      <c r="BB133" s="10">
        <v>1156805</v>
      </c>
      <c r="BE133" s="247"/>
      <c r="BF133" s="251"/>
    </row>
    <row r="134" spans="51:58" ht="12.75">
      <c r="AY134" s="103" t="s">
        <v>156</v>
      </c>
      <c r="AZ134" s="103" t="s">
        <v>498</v>
      </c>
      <c r="BA134" s="103" t="s">
        <v>411</v>
      </c>
      <c r="BB134" s="10">
        <v>390971</v>
      </c>
      <c r="BE134" s="243"/>
      <c r="BF134" s="238"/>
    </row>
    <row r="135" spans="51:58" ht="12.75">
      <c r="AY135" s="103" t="s">
        <v>121</v>
      </c>
      <c r="AZ135" s="103" t="s">
        <v>122</v>
      </c>
      <c r="BA135" s="103" t="s">
        <v>590</v>
      </c>
      <c r="BB135" s="10">
        <v>218182</v>
      </c>
      <c r="BE135" s="250"/>
      <c r="BF135" s="249"/>
    </row>
    <row r="136" spans="51:58" ht="12.75">
      <c r="AY136" s="103" t="s">
        <v>148</v>
      </c>
      <c r="AZ136" s="103" t="s">
        <v>494</v>
      </c>
      <c r="BA136" s="103" t="s">
        <v>591</v>
      </c>
      <c r="BB136" s="10">
        <v>236598</v>
      </c>
      <c r="BE136" s="237"/>
      <c r="BF136" s="238"/>
    </row>
    <row r="137" spans="51:58" ht="12.75">
      <c r="AY137" s="103" t="s">
        <v>160</v>
      </c>
      <c r="AZ137" s="103" t="s">
        <v>500</v>
      </c>
      <c r="BA137" s="103" t="s">
        <v>591</v>
      </c>
      <c r="BB137" s="10">
        <v>165993</v>
      </c>
      <c r="BF137" s="252"/>
    </row>
    <row r="138" spans="51:58" ht="12.75">
      <c r="AY138" s="103" t="s">
        <v>54</v>
      </c>
      <c r="AZ138" s="103" t="s">
        <v>55</v>
      </c>
      <c r="BA138" s="103" t="s">
        <v>411</v>
      </c>
      <c r="BB138" s="10">
        <v>145889</v>
      </c>
      <c r="BE138" s="70"/>
      <c r="BF138" s="239"/>
    </row>
    <row r="139" spans="51:58" ht="12.75">
      <c r="AY139" s="103" t="s">
        <v>75</v>
      </c>
      <c r="AZ139" s="103" t="s">
        <v>467</v>
      </c>
      <c r="BA139" s="103" t="s">
        <v>411</v>
      </c>
      <c r="BB139" s="10">
        <v>267393</v>
      </c>
      <c r="BE139" s="237"/>
      <c r="BF139" s="238"/>
    </row>
    <row r="140" spans="51:58" ht="12.75">
      <c r="AY140" s="103" t="s">
        <v>201</v>
      </c>
      <c r="AZ140" s="103" t="s">
        <v>202</v>
      </c>
      <c r="BA140" s="103" t="s">
        <v>591</v>
      </c>
      <c r="BB140" s="10">
        <v>232551</v>
      </c>
      <c r="BE140" s="70"/>
      <c r="BF140" s="239"/>
    </row>
    <row r="141" spans="51:58" ht="12.75">
      <c r="AY141" s="103" t="s">
        <v>167</v>
      </c>
      <c r="AZ141" s="103" t="s">
        <v>168</v>
      </c>
      <c r="BA141" s="103" t="s">
        <v>591</v>
      </c>
      <c r="BB141" s="10">
        <v>350958</v>
      </c>
      <c r="BE141" s="70"/>
      <c r="BF141" s="239"/>
    </row>
    <row r="142" spans="51:58" ht="12.75">
      <c r="AY142" s="103" t="s">
        <v>153</v>
      </c>
      <c r="AZ142" s="103" t="s">
        <v>154</v>
      </c>
      <c r="BA142" s="103" t="s">
        <v>411</v>
      </c>
      <c r="BB142" s="10">
        <v>265654</v>
      </c>
      <c r="BE142" s="70"/>
      <c r="BF142" s="241"/>
    </row>
    <row r="143" spans="51:58" ht="12.75">
      <c r="AY143" s="103" t="s">
        <v>181</v>
      </c>
      <c r="AZ143" s="103" t="s">
        <v>182</v>
      </c>
      <c r="BA143" s="103" t="s">
        <v>411</v>
      </c>
      <c r="BB143" s="10">
        <v>284466</v>
      </c>
      <c r="BE143" s="70"/>
      <c r="BF143" s="249"/>
    </row>
    <row r="144" spans="51:58" ht="12.75">
      <c r="AY144" s="103" t="s">
        <v>146</v>
      </c>
      <c r="AZ144" s="103" t="s">
        <v>147</v>
      </c>
      <c r="BA144" s="103" t="s">
        <v>411</v>
      </c>
      <c r="BB144" s="10">
        <v>319933</v>
      </c>
      <c r="BE144" s="70"/>
      <c r="BF144" s="241"/>
    </row>
    <row r="145" spans="51:58" ht="12.75">
      <c r="AY145" s="103" t="s">
        <v>111</v>
      </c>
      <c r="AZ145" s="103" t="s">
        <v>112</v>
      </c>
      <c r="BA145" s="103" t="s">
        <v>411</v>
      </c>
      <c r="BB145" s="10">
        <v>192336</v>
      </c>
      <c r="BE145" s="248"/>
      <c r="BF145" s="249"/>
    </row>
    <row r="146" spans="51:58" ht="12.75">
      <c r="AY146" s="103" t="s">
        <v>237</v>
      </c>
      <c r="AZ146" s="103" t="s">
        <v>238</v>
      </c>
      <c r="BA146" s="103" t="s">
        <v>411</v>
      </c>
      <c r="BB146" s="10">
        <v>548313</v>
      </c>
      <c r="BF146" s="252"/>
    </row>
    <row r="147" spans="51:58" ht="12.75">
      <c r="AY147" s="103" t="s">
        <v>247</v>
      </c>
      <c r="AZ147" s="103" t="s">
        <v>248</v>
      </c>
      <c r="BA147" s="103" t="s">
        <v>411</v>
      </c>
      <c r="BB147" s="10">
        <v>287229</v>
      </c>
      <c r="BF147" s="252"/>
    </row>
    <row r="148" spans="51:58" ht="12.75">
      <c r="AY148" s="103" t="s">
        <v>222</v>
      </c>
      <c r="AZ148" s="103" t="s">
        <v>514</v>
      </c>
      <c r="BA148" s="103" t="s">
        <v>591</v>
      </c>
      <c r="BB148" s="10">
        <v>707573</v>
      </c>
      <c r="BF148" s="252"/>
    </row>
    <row r="149" spans="51:58" ht="12.75">
      <c r="AY149" s="103" t="s">
        <v>218</v>
      </c>
      <c r="AZ149" s="103" t="s">
        <v>219</v>
      </c>
      <c r="BA149" s="103" t="s">
        <v>591</v>
      </c>
      <c r="BB149" s="10">
        <v>825533</v>
      </c>
      <c r="BE149" s="248"/>
      <c r="BF149" s="249"/>
    </row>
    <row r="150" spans="51:58" ht="12.75">
      <c r="AY150" s="103" t="s">
        <v>196</v>
      </c>
      <c r="AZ150" s="103" t="s">
        <v>197</v>
      </c>
      <c r="BA150" s="103" t="s">
        <v>411</v>
      </c>
      <c r="BB150" s="10">
        <v>259945</v>
      </c>
      <c r="BF150" s="252"/>
    </row>
    <row r="151" spans="51:58" ht="12.75">
      <c r="AY151" s="103" t="s">
        <v>138</v>
      </c>
      <c r="AZ151" s="103" t="s">
        <v>139</v>
      </c>
      <c r="BA151" s="103" t="s">
        <v>411</v>
      </c>
      <c r="BB151" s="10">
        <v>246573</v>
      </c>
      <c r="BF151" s="252"/>
    </row>
    <row r="152" spans="51:58" ht="12.75">
      <c r="AY152" s="103" t="s">
        <v>266</v>
      </c>
      <c r="AZ152" s="103" t="s">
        <v>267</v>
      </c>
      <c r="BA152" s="103" t="s">
        <v>591</v>
      </c>
      <c r="BB152" s="10">
        <v>462395</v>
      </c>
      <c r="BE152" s="250"/>
      <c r="BF152" s="239"/>
    </row>
    <row r="153" spans="51:58" ht="12.75">
      <c r="AY153" s="103" t="s">
        <v>191</v>
      </c>
      <c r="AZ153" s="103" t="s">
        <v>192</v>
      </c>
      <c r="BA153" s="103" t="s">
        <v>411</v>
      </c>
      <c r="BB153" s="10">
        <v>332176</v>
      </c>
      <c r="BF153" s="252"/>
    </row>
    <row r="154" spans="51:58" ht="12.75">
      <c r="AY154" s="103" t="s">
        <v>161</v>
      </c>
      <c r="AZ154" s="103" t="s">
        <v>501</v>
      </c>
      <c r="BA154" s="103" t="s">
        <v>411</v>
      </c>
      <c r="BB154" s="10">
        <v>246213</v>
      </c>
      <c r="BE154" s="237"/>
      <c r="BF154" s="238"/>
    </row>
    <row r="155" spans="51:58" ht="12.75">
      <c r="AY155" s="103" t="s">
        <v>235</v>
      </c>
      <c r="AZ155" s="103" t="s">
        <v>236</v>
      </c>
      <c r="BA155" s="103" t="s">
        <v>591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729</v>
      </c>
      <c r="B3" s="56" t="s">
        <v>581</v>
      </c>
      <c r="C3" s="56" t="s">
        <v>24</v>
      </c>
    </row>
    <row r="4" spans="1:2" ht="12.75">
      <c r="A4" s="76">
        <v>1</v>
      </c>
      <c r="B4" s="78" t="s">
        <v>580</v>
      </c>
    </row>
    <row r="5" ht="12.75">
      <c r="A5" s="280" t="s">
        <v>729</v>
      </c>
    </row>
    <row r="6" ht="12.75">
      <c r="A6" s="280" t="s">
        <v>710</v>
      </c>
    </row>
    <row r="7" ht="12.75">
      <c r="A7" s="280" t="s">
        <v>639</v>
      </c>
    </row>
    <row r="8" ht="12.75">
      <c r="A8" s="280" t="s">
        <v>626</v>
      </c>
    </row>
    <row r="9" ht="12.75">
      <c r="A9" s="280" t="s">
        <v>681</v>
      </c>
    </row>
    <row r="10" ht="12.75">
      <c r="A10" s="280" t="s">
        <v>643</v>
      </c>
    </row>
    <row r="11" ht="12.75">
      <c r="A11" s="280" t="s">
        <v>676</v>
      </c>
    </row>
    <row r="12" ht="12.75">
      <c r="A12" s="280" t="s">
        <v>707</v>
      </c>
    </row>
    <row r="13" ht="12.75">
      <c r="A13" s="280" t="s">
        <v>595</v>
      </c>
    </row>
    <row r="14" ht="12.75">
      <c r="A14" s="280" t="s">
        <v>677</v>
      </c>
    </row>
    <row r="15" ht="12.75">
      <c r="A15" s="280" t="s">
        <v>691</v>
      </c>
    </row>
    <row r="16" ht="12.75">
      <c r="A16" s="280" t="s">
        <v>632</v>
      </c>
    </row>
    <row r="17" ht="12.75">
      <c r="A17" s="280" t="s">
        <v>603</v>
      </c>
    </row>
    <row r="18" ht="12.75">
      <c r="A18" s="280" t="s">
        <v>673</v>
      </c>
    </row>
    <row r="19" ht="12.75">
      <c r="A19" s="280" t="s">
        <v>620</v>
      </c>
    </row>
    <row r="20" ht="12.75">
      <c r="A20" s="280" t="s">
        <v>663</v>
      </c>
    </row>
    <row r="21" ht="12.75">
      <c r="A21" s="280" t="s">
        <v>657</v>
      </c>
    </row>
    <row r="22" ht="12.75">
      <c r="A22" s="280" t="s">
        <v>610</v>
      </c>
    </row>
    <row r="23" ht="12.75">
      <c r="A23" s="280" t="s">
        <v>614</v>
      </c>
    </row>
    <row r="24" ht="12.75">
      <c r="A24" s="280" t="s">
        <v>636</v>
      </c>
    </row>
    <row r="25" ht="12.75">
      <c r="A25" s="280" t="s">
        <v>700</v>
      </c>
    </row>
    <row r="26" ht="12.75">
      <c r="A26" s="280" t="s">
        <v>698</v>
      </c>
    </row>
    <row r="27" ht="12.75">
      <c r="A27" s="280" t="s">
        <v>699</v>
      </c>
    </row>
    <row r="28" ht="12.75">
      <c r="A28" s="280" t="s">
        <v>703</v>
      </c>
    </row>
    <row r="29" ht="12.75">
      <c r="A29" s="280" t="s">
        <v>713</v>
      </c>
    </row>
    <row r="30" ht="12.75">
      <c r="A30" s="280" t="s">
        <v>684</v>
      </c>
    </row>
    <row r="31" ht="12.75">
      <c r="A31" s="280" t="s">
        <v>678</v>
      </c>
    </row>
    <row r="32" ht="12.75">
      <c r="A32" s="280" t="s">
        <v>669</v>
      </c>
    </row>
    <row r="33" ht="12.75">
      <c r="A33" s="280" t="s">
        <v>646</v>
      </c>
    </row>
    <row r="34" ht="12.75">
      <c r="A34" s="280" t="s">
        <v>648</v>
      </c>
    </row>
    <row r="35" ht="12.75">
      <c r="A35" s="280" t="s">
        <v>679</v>
      </c>
    </row>
    <row r="36" ht="12.75">
      <c r="A36" s="280" t="s">
        <v>605</v>
      </c>
    </row>
    <row r="37" ht="12.75">
      <c r="A37" s="280" t="s">
        <v>708</v>
      </c>
    </row>
    <row r="38" ht="12.75">
      <c r="A38" s="280" t="s">
        <v>686</v>
      </c>
    </row>
    <row r="39" ht="12.75">
      <c r="A39" s="280" t="s">
        <v>611</v>
      </c>
    </row>
    <row r="40" ht="12.75">
      <c r="A40" s="280" t="s">
        <v>635</v>
      </c>
    </row>
    <row r="41" ht="12.75">
      <c r="A41" s="280" t="s">
        <v>660</v>
      </c>
    </row>
    <row r="42" ht="12.75">
      <c r="A42" s="280" t="s">
        <v>662</v>
      </c>
    </row>
    <row r="43" ht="12.75">
      <c r="A43" s="280" t="s">
        <v>658</v>
      </c>
    </row>
    <row r="44" ht="12.75">
      <c r="A44" s="280" t="s">
        <v>672</v>
      </c>
    </row>
    <row r="45" ht="12.75">
      <c r="A45" s="280" t="s">
        <v>730</v>
      </c>
    </row>
    <row r="46" ht="12.75">
      <c r="A46" s="280" t="s">
        <v>652</v>
      </c>
    </row>
    <row r="47" ht="12.75">
      <c r="A47" s="280" t="s">
        <v>634</v>
      </c>
    </row>
    <row r="48" ht="12.75">
      <c r="A48" s="280" t="s">
        <v>604</v>
      </c>
    </row>
    <row r="49" ht="12.75">
      <c r="A49" s="280" t="s">
        <v>613</v>
      </c>
    </row>
    <row r="50" ht="12.75">
      <c r="A50" s="280" t="s">
        <v>649</v>
      </c>
    </row>
    <row r="51" ht="12.75">
      <c r="A51" s="280" t="s">
        <v>608</v>
      </c>
    </row>
    <row r="52" ht="12.75">
      <c r="A52" s="280" t="s">
        <v>709</v>
      </c>
    </row>
    <row r="53" ht="12.75">
      <c r="A53" s="280" t="s">
        <v>641</v>
      </c>
    </row>
    <row r="54" ht="12.75">
      <c r="A54" s="280" t="s">
        <v>633</v>
      </c>
    </row>
    <row r="55" ht="12.75">
      <c r="A55" s="280" t="s">
        <v>668</v>
      </c>
    </row>
    <row r="56" ht="12.75">
      <c r="A56" s="280" t="s">
        <v>644</v>
      </c>
    </row>
    <row r="57" ht="12.75">
      <c r="A57" s="280" t="s">
        <v>600</v>
      </c>
    </row>
    <row r="58" ht="12.75">
      <c r="A58" s="280" t="s">
        <v>665</v>
      </c>
    </row>
    <row r="59" ht="12.75">
      <c r="A59" s="280" t="s">
        <v>598</v>
      </c>
    </row>
    <row r="60" ht="12.75">
      <c r="A60" s="280" t="s">
        <v>647</v>
      </c>
    </row>
    <row r="61" ht="12.75">
      <c r="A61" s="280" t="s">
        <v>697</v>
      </c>
    </row>
    <row r="62" ht="12.75">
      <c r="A62" s="280" t="s">
        <v>705</v>
      </c>
    </row>
    <row r="63" ht="12.75">
      <c r="A63" s="280" t="s">
        <v>659</v>
      </c>
    </row>
    <row r="64" ht="12.75">
      <c r="A64" s="280" t="s">
        <v>715</v>
      </c>
    </row>
    <row r="65" ht="12.75">
      <c r="A65" s="280" t="s">
        <v>667</v>
      </c>
    </row>
    <row r="66" ht="12.75">
      <c r="A66" s="280" t="s">
        <v>693</v>
      </c>
    </row>
    <row r="67" ht="12.75">
      <c r="A67" s="280" t="s">
        <v>731</v>
      </c>
    </row>
    <row r="68" ht="12.75">
      <c r="A68" s="280" t="s">
        <v>683</v>
      </c>
    </row>
    <row r="69" ht="12.75">
      <c r="A69" s="280" t="s">
        <v>602</v>
      </c>
    </row>
    <row r="70" ht="12.75">
      <c r="A70" s="280" t="s">
        <v>609</v>
      </c>
    </row>
    <row r="71" ht="12.75">
      <c r="A71" s="280" t="s">
        <v>714</v>
      </c>
    </row>
    <row r="72" ht="12.75">
      <c r="A72" s="280" t="s">
        <v>606</v>
      </c>
    </row>
    <row r="73" ht="12.75">
      <c r="A73" s="280" t="s">
        <v>619</v>
      </c>
    </row>
    <row r="74" ht="12.75">
      <c r="A74" s="280" t="s">
        <v>706</v>
      </c>
    </row>
    <row r="75" ht="12.75">
      <c r="A75" s="280" t="s">
        <v>654</v>
      </c>
    </row>
    <row r="76" ht="12.75">
      <c r="A76" s="280" t="s">
        <v>637</v>
      </c>
    </row>
    <row r="77" ht="12.75">
      <c r="A77" s="280" t="s">
        <v>618</v>
      </c>
    </row>
    <row r="78" ht="12.75">
      <c r="A78" s="280" t="s">
        <v>612</v>
      </c>
    </row>
    <row r="79" ht="12.75">
      <c r="A79" s="280" t="s">
        <v>682</v>
      </c>
    </row>
    <row r="80" ht="12.75">
      <c r="A80" s="280" t="s">
        <v>692</v>
      </c>
    </row>
    <row r="81" ht="12.75">
      <c r="A81" s="280" t="s">
        <v>661</v>
      </c>
    </row>
    <row r="82" ht="12.75">
      <c r="A82" s="280" t="s">
        <v>616</v>
      </c>
    </row>
    <row r="83" ht="12.75">
      <c r="A83" s="280" t="s">
        <v>670</v>
      </c>
    </row>
    <row r="84" ht="12.75">
      <c r="A84" s="280" t="s">
        <v>642</v>
      </c>
    </row>
    <row r="85" ht="12.75">
      <c r="A85" s="280" t="s">
        <v>617</v>
      </c>
    </row>
    <row r="86" ht="12.75">
      <c r="A86" s="280" t="s">
        <v>671</v>
      </c>
    </row>
    <row r="87" ht="12.75">
      <c r="A87" s="280" t="s">
        <v>711</v>
      </c>
    </row>
    <row r="88" ht="12.75">
      <c r="A88" s="280" t="s">
        <v>718</v>
      </c>
    </row>
    <row r="89" ht="12.75">
      <c r="A89" s="280" t="s">
        <v>624</v>
      </c>
    </row>
    <row r="90" ht="12.75">
      <c r="A90" s="280" t="s">
        <v>640</v>
      </c>
    </row>
    <row r="91" ht="12.75">
      <c r="A91" s="280" t="s">
        <v>732</v>
      </c>
    </row>
    <row r="92" ht="12.75">
      <c r="A92" s="280" t="s">
        <v>656</v>
      </c>
    </row>
    <row r="93" ht="12.75">
      <c r="A93" s="280" t="s">
        <v>596</v>
      </c>
    </row>
    <row r="94" ht="12.75">
      <c r="A94" s="280" t="s">
        <v>696</v>
      </c>
    </row>
    <row r="95" ht="12.75">
      <c r="A95" s="280" t="s">
        <v>627</v>
      </c>
    </row>
    <row r="96" ht="12.75">
      <c r="A96" s="280" t="s">
        <v>675</v>
      </c>
    </row>
    <row r="97" ht="12.75">
      <c r="A97" s="280" t="s">
        <v>638</v>
      </c>
    </row>
    <row r="98" ht="12.75">
      <c r="A98" s="280" t="s">
        <v>655</v>
      </c>
    </row>
    <row r="99" ht="12.75">
      <c r="A99" s="280" t="s">
        <v>712</v>
      </c>
    </row>
    <row r="100" ht="12.75">
      <c r="A100" s="280" t="s">
        <v>623</v>
      </c>
    </row>
    <row r="101" ht="12.75">
      <c r="A101" s="280" t="s">
        <v>704</v>
      </c>
    </row>
    <row r="102" ht="12.75">
      <c r="A102" s="280" t="s">
        <v>687</v>
      </c>
    </row>
    <row r="103" ht="12.75">
      <c r="A103" s="280" t="s">
        <v>607</v>
      </c>
    </row>
    <row r="104" ht="12.75">
      <c r="A104" s="280" t="s">
        <v>664</v>
      </c>
    </row>
    <row r="105" ht="12.75">
      <c r="A105" s="280" t="s">
        <v>650</v>
      </c>
    </row>
    <row r="106" ht="12.75">
      <c r="A106" s="280" t="s">
        <v>625</v>
      </c>
    </row>
    <row r="107" ht="12.75">
      <c r="A107" s="280" t="s">
        <v>716</v>
      </c>
    </row>
    <row r="108" ht="12.75">
      <c r="A108" s="280" t="s">
        <v>688</v>
      </c>
    </row>
    <row r="109" ht="12.75">
      <c r="A109" s="280" t="s">
        <v>653</v>
      </c>
    </row>
    <row r="110" ht="12.75">
      <c r="A110" s="280" t="s">
        <v>599</v>
      </c>
    </row>
    <row r="111" ht="12.75">
      <c r="A111" s="280" t="s">
        <v>702</v>
      </c>
    </row>
    <row r="112" ht="12.75">
      <c r="A112" s="70" t="s">
        <v>674</v>
      </c>
    </row>
    <row r="113" ht="12.75">
      <c r="A113" s="70" t="s">
        <v>645</v>
      </c>
    </row>
    <row r="114" ht="12.75">
      <c r="A114" s="70" t="s">
        <v>694</v>
      </c>
    </row>
    <row r="115" ht="12.75">
      <c r="A115" s="70" t="s">
        <v>601</v>
      </c>
    </row>
    <row r="116" ht="12.75">
      <c r="A116" s="70" t="s">
        <v>695</v>
      </c>
    </row>
    <row r="117" ht="12.75">
      <c r="A117" s="70" t="s">
        <v>628</v>
      </c>
    </row>
    <row r="118" ht="12.75">
      <c r="A118" s="70" t="s">
        <v>666</v>
      </c>
    </row>
    <row r="119" ht="12.75">
      <c r="A119" s="70" t="s">
        <v>680</v>
      </c>
    </row>
    <row r="120" ht="12.75">
      <c r="A120" s="70" t="s">
        <v>717</v>
      </c>
    </row>
    <row r="121" ht="12.75">
      <c r="A121" s="70" t="s">
        <v>685</v>
      </c>
    </row>
    <row r="122" ht="12.75">
      <c r="A122" s="70" t="s">
        <v>631</v>
      </c>
    </row>
    <row r="123" ht="12.75">
      <c r="A123" s="70" t="s">
        <v>621</v>
      </c>
    </row>
    <row r="124" ht="12.75">
      <c r="A124" s="70" t="s">
        <v>629</v>
      </c>
    </row>
    <row r="125" ht="12.75">
      <c r="A125" s="70" t="s">
        <v>622</v>
      </c>
    </row>
    <row r="126" ht="12.75">
      <c r="A126" s="70" t="s">
        <v>630</v>
      </c>
    </row>
    <row r="127" ht="12.75">
      <c r="A127" s="70" t="s">
        <v>615</v>
      </c>
    </row>
    <row r="128" ht="12.75">
      <c r="A128" s="70" t="s">
        <v>690</v>
      </c>
    </row>
    <row r="129" ht="12.75">
      <c r="A129" s="70" t="s">
        <v>689</v>
      </c>
    </row>
    <row r="130" ht="12.75">
      <c r="A130" s="70" t="s">
        <v>701</v>
      </c>
    </row>
    <row r="131" ht="12.75">
      <c r="A131" s="70" t="s">
        <v>651</v>
      </c>
    </row>
    <row r="132" ht="12.75">
      <c r="A132" s="70" t="s">
        <v>597</v>
      </c>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