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<sst xmlns="http://schemas.openxmlformats.org/spreadsheetml/2006/main" count="1374" uniqueCount="570">
  <si>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</si>
  <si>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</si>
  <si>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</si>
  <si>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</si>
  <si>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</si>
  <si>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</si>
  <si>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</si>
  <si>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</si>
  <si>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</si>
  <si>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</si>
  <si>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</si>
  <si>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</si>
  <si>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</si>
  <si>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</si>
  <si>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</si>
  <si>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</si>
  <si>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</si>
  <si>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</si>
  <si>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</si>
  <si>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</si>
  <si>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</si>
  <si>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</si>
  <si>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</si>
  <si>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</si>
  <si>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</si>
  <si>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</si>
  <si>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</si>
  <si>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</si>
  <si>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</si>
  <si>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</si>
  <si>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</si>
  <si>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</si>
  <si>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</si>
  <si>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</si>
  <si>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</si>
  <si>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</si>
  <si>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</si>
  <si>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</si>
  <si>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</si>
  <si>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</si>
  <si>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</si>
  <si>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</si>
  <si>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</si>
  <si>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</si>
  <si>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</si>
  <si>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</si>
  <si>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</si>
  <si>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</si>
  <si>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</si>
  <si>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</si>
  <si>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</si>
  <si>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</si>
  <si>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</si>
  <si>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</si>
  <si>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</si>
  <si>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</si>
  <si>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</si>
  <si>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</si>
  <si>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</si>
  <si>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</si>
  <si>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</si>
  <si>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</si>
  <si>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</si>
  <si>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</si>
  <si>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</si>
  <si>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</si>
  <si>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</si>
  <si>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</si>
  <si>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</si>
  <si>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</si>
  <si>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</si>
  <si>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</si>
  <si>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</si>
  <si>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</si>
  <si>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</si>
  <si>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</si>
  <si>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</si>
  <si>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</si>
  <si>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</si>
  <si>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</si>
  <si>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</si>
  <si>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</si>
  <si>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</si>
  <si>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</si>
  <si>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</si>
  <si>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</si>
  <si>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</si>
  <si>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</si>
  <si>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</si>
  <si>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</si>
  <si>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</si>
  <si>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</si>
  <si>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</si>
  <si>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</si>
  <si>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</si>
  <si>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</si>
  <si>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</si>
  <si>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</si>
  <si>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</si>
  <si>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</si>
  <si>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</si>
  <si>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</si>
  <si>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</si>
  <si>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</si>
  <si>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</si>
  <si>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</si>
  <si>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</si>
  <si>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</si>
  <si>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</si>
  <si>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</si>
  <si>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</si>
  <si>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</si>
  <si>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</si>
  <si>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</si>
  <si>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</si>
  <si>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</si>
  <si>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</si>
  <si>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</si>
  <si>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</si>
  <si>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</si>
  <si>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</si>
  <si>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</si>
  <si>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</si>
  <si>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</si>
  <si>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</si>
  <si>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</si>
  <si>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</si>
  <si>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</si>
  <si>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</si>
  <si>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</si>
  <si>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</si>
  <si>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</si>
  <si>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</si>
  <si>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</si>
  <si>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</si>
  <si>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</si>
  <si>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</si>
  <si>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</si>
  <si>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</si>
  <si>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</si>
  <si>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</si>
  <si>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</si>
  <si>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</si>
  <si>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</si>
  <si>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</si>
  <si>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</si>
  <si>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</si>
  <si>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</si>
  <si>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</si>
  <si>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</si>
  <si>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</si>
  <si>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</si>
  <si>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</si>
  <si>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</si>
  <si>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</si>
  <si>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</si>
  <si>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</si>
  <si>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</si>
  <si>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</si>
  <si>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</si>
  <si>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</si>
  <si>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</si>
  <si>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</si>
  <si>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</si>
  <si>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</si>
  <si>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</si>
  <si>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</si>
  <si>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</si>
  <si>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</si>
  <si>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</si>
  <si>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</si>
  <si>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</si>
  <si>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</si>
  <si>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</si>
  <si>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</si>
  <si>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</si>
  <si>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</si>
  <si>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</si>
  <si>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</si>
  <si>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</si>
  <si>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</si>
  <si>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</si>
  <si>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</si>
  <si>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</si>
  <si>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</si>
  <si>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</si>
  <si>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</si>
  <si>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</si>
  <si>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</si>
  <si>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</si>
  <si>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</si>
  <si>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</si>
  <si>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</si>
  <si>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</si>
  <si>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</si>
  <si>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</si>
  <si>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</si>
  <si>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</si>
  <si>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</si>
  <si>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</si>
  <si>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</si>
  <si>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</si>
  <si>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</si>
  <si>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</si>
  <si>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</si>
  <si>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</si>
  <si>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</si>
  <si>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</si>
  <si>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</si>
  <si>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</si>
  <si>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</si>
  <si>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</si>
  <si>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</si>
  <si>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</si>
  <si>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</si>
  <si>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</si>
  <si>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</si>
  <si>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</si>
  <si>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</si>
  <si>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</si>
  <si>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</si>
  <si>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</si>
  <si>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</si>
  <si>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</si>
  <si>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</si>
  <si>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</si>
  <si>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</si>
  <si>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</si>
  <si>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</si>
  <si>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</si>
  <si>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</si>
  <si>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</si>
  <si>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</si>
  <si>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</si>
  <si>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</si>
  <si>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</si>
  <si>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</si>
  <si>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</si>
  <si>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</si>
  <si>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</si>
  <si>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</si>
  <si>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</si>
  <si>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</si>
  <si>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</si>
  <si>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</si>
  <si>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</si>
  <si>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</si>
  <si>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</si>
  <si>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</si>
  <si>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</si>
  <si>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</si>
  <si>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</si>
  <si>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</si>
  <si>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</si>
  <si>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</si>
  <si>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</si>
  <si>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</si>
  <si>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</si>
  <si>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</si>
  <si>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</si>
  <si>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</si>
  <si>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</si>
  <si>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</si>
  <si>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</si>
  <si>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</si>
  <si>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</si>
  <si>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</si>
  <si>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</si>
  <si>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</si>
  <si>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</si>
  <si>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</si>
  <si>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</si>
  <si>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</si>
  <si>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</si>
  <si>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</si>
  <si>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</si>
  <si>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</si>
  <si>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</si>
  <si>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</si>
  <si>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</si>
  <si>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</si>
  <si>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</si>
  <si>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A84002</t>
  </si>
  <si>
    <t>A84003</t>
  </si>
  <si>
    <t>A84005</t>
  </si>
  <si>
    <t>A84006</t>
  </si>
  <si>
    <t>A84007</t>
  </si>
  <si>
    <t>A84008</t>
  </si>
  <si>
    <t>A84009</t>
  </si>
  <si>
    <t>A84011</t>
  </si>
  <si>
    <t>A84013</t>
  </si>
  <si>
    <t>A84014</t>
  </si>
  <si>
    <t>A84015</t>
  </si>
  <si>
    <t>A84016</t>
  </si>
  <si>
    <t>A84018</t>
  </si>
  <si>
    <t>A84020</t>
  </si>
  <si>
    <t>A84021</t>
  </si>
  <si>
    <t>A84022</t>
  </si>
  <si>
    <t>A84024</t>
  </si>
  <si>
    <t>A84025</t>
  </si>
  <si>
    <t>A84026</t>
  </si>
  <si>
    <t>A84027</t>
  </si>
  <si>
    <t>A84028</t>
  </si>
  <si>
    <t>A84029</t>
  </si>
  <si>
    <t>A84030</t>
  </si>
  <si>
    <t>A84031</t>
  </si>
  <si>
    <t>A84032</t>
  </si>
  <si>
    <t>A84033</t>
  </si>
  <si>
    <t>A84035</t>
  </si>
  <si>
    <t>A84036</t>
  </si>
  <si>
    <t>A84037</t>
  </si>
  <si>
    <t>A84038</t>
  </si>
  <si>
    <t>A84039</t>
  </si>
  <si>
    <t>A84040</t>
  </si>
  <si>
    <t>A84042</t>
  </si>
  <si>
    <t>A84043</t>
  </si>
  <si>
    <t>A84044</t>
  </si>
  <si>
    <t>A84045</t>
  </si>
  <si>
    <t>A84047</t>
  </si>
  <si>
    <t>A84048</t>
  </si>
  <si>
    <t>A84604</t>
  </si>
  <si>
    <t>A84609</t>
  </si>
  <si>
    <t>A84614</t>
  </si>
  <si>
    <t>A84618</t>
  </si>
  <si>
    <t>A84619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</si>
  <si>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</si>
  <si>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</si>
  <si>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</si>
  <si>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</si>
  <si>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</si>
  <si>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</si>
  <si>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</si>
  <si>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</si>
  <si>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</si>
  <si>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</si>
  <si>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</si>
  <si>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</si>
  <si>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</si>
  <si>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</si>
  <si>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</si>
  <si>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</si>
  <si>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</si>
  <si>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</si>
  <si>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</si>
  <si>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</si>
  <si>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</si>
  <si>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</si>
  <si>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</si>
  <si>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</si>
  <si>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</si>
  <si>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</si>
  <si>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</si>
  <si>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</si>
  <si>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</si>
  <si>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</si>
  <si>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</si>
  <si>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</si>
  <si>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</si>
  <si>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</si>
  <si>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</si>
  <si>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</si>
  <si>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</si>
  <si>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</si>
  <si>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</si>
  <si>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</si>
  <si>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</si>
  <si>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</si>
  <si>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</si>
  <si>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</si>
  <si>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</si>
  <si>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</si>
  <si>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</si>
  <si>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</si>
  <si>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</si>
  <si>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</si>
  <si>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</si>
  <si>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</si>
  <si>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</si>
  <si>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</si>
  <si>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</si>
  <si>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</si>
  <si>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</si>
  <si>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</si>
  <si>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</si>
  <si>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</si>
  <si>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</si>
  <si>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</si>
  <si>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</si>
  <si>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</si>
  <si>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</si>
  <si>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</si>
  <si>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</si>
  <si>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</si>
  <si>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</si>
  <si>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</si>
  <si>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</si>
  <si>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</si>
  <si>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</si>
  <si>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</si>
  <si>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</si>
  <si>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</si>
  <si>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</si>
  <si>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</si>
  <si>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</si>
  <si>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</si>
  <si>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</si>
  <si>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</si>
  <si>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</si>
  <si>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</si>
  <si>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</si>
  <si>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</si>
  <si>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</si>
  <si>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</si>
  <si>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</si>
  <si>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</si>
  <si>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</si>
  <si>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</si>
  <si>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</si>
  <si>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</si>
  <si>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</si>
  <si>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</si>
  <si>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</si>
  <si>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</si>
  <si>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</si>
  <si>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</si>
  <si>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</si>
  <si>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</si>
  <si>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</si>
  <si>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</si>
  <si>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</si>
  <si>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</si>
  <si>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</si>
  <si>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</si>
  <si>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</si>
  <si>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</si>
  <si>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</si>
  <si>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</si>
  <si>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</si>
  <si>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</si>
  <si>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</si>
  <si>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</si>
  <si>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</si>
  <si>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</si>
  <si>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</si>
  <si>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</si>
  <si>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</si>
  <si>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</si>
  <si>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</si>
  <si>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</si>
  <si>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</si>
  <si>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</si>
  <si>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</si>
  <si>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</si>
  <si>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</si>
  <si>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</si>
  <si>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</si>
  <si>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</si>
  <si>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</si>
  <si>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</si>
  <si>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</si>
  <si>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</si>
  <si>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</si>
  <si>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</si>
  <si>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</si>
  <si>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</si>
  <si>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</si>
  <si>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</si>
  <si>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</si>
  <si>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</si>
  <si>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</si>
  <si>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</si>
  <si>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</si>
  <si>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</si>
  <si>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</si>
  <si>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</si>
  <si>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</si>
  <si>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</si>
  <si>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</si>
  <si>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</si>
  <si>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</si>
  <si>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</si>
  <si>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</si>
  <si>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</si>
  <si>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</si>
  <si>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</si>
  <si>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</si>
  <si>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</si>
  <si>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</si>
  <si>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</si>
  <si>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</si>
  <si>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</si>
  <si>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</si>
  <si>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</si>
  <si>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</si>
  <si>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</si>
  <si>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</si>
  <si>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</si>
  <si>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</si>
  <si>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</si>
  <si>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</si>
  <si>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</si>
  <si>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</si>
  <si>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</si>
  <si>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</si>
  <si>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</si>
  <si>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</si>
  <si>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</si>
  <si>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</si>
  <si>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A84034</t>
  </si>
  <si>
    <t>Y00151</t>
  </si>
  <si>
    <t>2010/11</t>
  </si>
  <si>
    <t>2008/09-2010/11</t>
  </si>
  <si>
    <t>2005/06-2010/11</t>
  </si>
  <si>
    <t>(A84002) THE ROTHBURY PRACTICE</t>
  </si>
  <si>
    <t>(A84003) LINTONVILLE MEDICAL GROUP</t>
  </si>
  <si>
    <t>(A84005) BEDLINGTONSHIRE MEDICAL GROUP</t>
  </si>
  <si>
    <t>(A84006) THE BONDGATE SURGERY</t>
  </si>
  <si>
    <t>(A84007) PONTELAND MEDICAL GROUP</t>
  </si>
  <si>
    <t>(A84008) BELFORD MEDICAL PRACTICE</t>
  </si>
  <si>
    <t>(A84009) WATERLOO MEDICAL GROUP</t>
  </si>
  <si>
    <t>(A84011) WHITE MEDICAL GROUP</t>
  </si>
  <si>
    <t>(A84013) THE GABLES MEDICAL GROUP</t>
  </si>
  <si>
    <t>(A84014) MARINE MEDICAL GROUP</t>
  </si>
  <si>
    <t>(A84015) LABURNUM SURGERY</t>
  </si>
  <si>
    <t>(A84016) PRUDHOE MEDICAL GROUP</t>
  </si>
  <si>
    <t>(A84018) CORBRIDGE HEALTH CENTRE</t>
  </si>
  <si>
    <t>(A84020) GUIDEPOST MEDICAL GROUP</t>
  </si>
  <si>
    <t>(A84021) THE CONSULTING ROOMS</t>
  </si>
  <si>
    <t>(A84022) COQUET MEDICAL GROUP</t>
  </si>
  <si>
    <t>(A84024) BURN BRAE MEDICAL GROUP</t>
  </si>
  <si>
    <t>(A84025) CRAMLINGTON MEDICAL GROUP</t>
  </si>
  <si>
    <t>(A84026) WELL CLOSE SQUARE SURGERY</t>
  </si>
  <si>
    <t>(A84027) BELLINGHAM PRACTICE</t>
  </si>
  <si>
    <t>(A84028) SEATON PARK MEDICAL GROUP</t>
  </si>
  <si>
    <t>(A84029) WIDDRINGTON SURGERY</t>
  </si>
  <si>
    <t>(A84030) VILLAGE MEDICAL GROUP</t>
  </si>
  <si>
    <t>(A84031) GREYSTOKE SURGERY</t>
  </si>
  <si>
    <t>(A84032) BURNHOUSE SURGERY</t>
  </si>
  <si>
    <t>(A84033) THE SELE MEDICAL PRACTICE</t>
  </si>
  <si>
    <t>(A84034) HALTWHISTLE MEDICAL GROUP</t>
  </si>
  <si>
    <t>(A84035) RIVERSDALE SURGERY</t>
  </si>
  <si>
    <t>(A84036) WELLWAY MEDICAL GROUP</t>
  </si>
  <si>
    <t>(A84037) NETHERFIELD HOUSE</t>
  </si>
  <si>
    <t>(A84038) FORUM FAMILY PRACTICE</t>
  </si>
  <si>
    <t>(A84039) GAS HOUSE LANE SURGERY</t>
  </si>
  <si>
    <t>(A84042) SCOTS GAP MEDICAL GROUP</t>
  </si>
  <si>
    <t>(A84043) BROCKWELL MEDICAL GROUP</t>
  </si>
  <si>
    <t>(A84047) BRANCH END SURGERY</t>
  </si>
  <si>
    <t>(A84048) STATION MEDICAL GROUP</t>
  </si>
  <si>
    <t>(A84604) THE GLENDALE SURGERY</t>
  </si>
  <si>
    <t>(A84609) MIDDLE FARM SURGERY</t>
  </si>
  <si>
    <t>(A84614) THE ADDERLANE SURGERY</t>
  </si>
  <si>
    <t>(A84618) ALLENDALE HEALTH CENTRE</t>
  </si>
  <si>
    <t>(A84619) ELSDON AVENUE SURGERY</t>
  </si>
  <si>
    <t>(Y00151) COLLINGWOOD MEDICAL GROUP</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</si>
  <si>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</si>
  <si>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</si>
  <si>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</si>
  <si>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</si>
  <si>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</si>
  <si>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</si>
  <si>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</si>
  <si>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</si>
  <si>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</si>
  <si>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</si>
  <si>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(A84040) HUMSHAUGH + WARK MEDICAL GROUP</t>
  </si>
  <si>
    <t>(A84044) UNION BRAE + NORHAM PRACTICE</t>
  </si>
  <si>
    <t>(A84045) HAYDON + ALLEN VALLEYS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</si>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</sst>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0.9276609518209853</c:v>
                </c:pt>
                <c:pt idx="3">
                  <c:v>1</c:v>
                </c:pt>
                <c:pt idx="4">
                  <c:v>1</c:v>
                </c:pt>
                <c:pt idx="5">
                  <c:v>1</c:v>
                </c:pt>
                <c:pt idx="6">
                  <c:v>1</c:v>
                </c:pt>
                <c:pt idx="7">
                  <c:v>0.6128123307907035</c:v>
                </c:pt>
                <c:pt idx="8">
                  <c:v>0.8000003862381745</c:v>
                </c:pt>
                <c:pt idx="9">
                  <c:v>0.9312460213720117</c:v>
                </c:pt>
                <c:pt idx="10">
                  <c:v>0.8008885557097758</c:v>
                </c:pt>
                <c:pt idx="11">
                  <c:v>0.8200053253895239</c:v>
                </c:pt>
                <c:pt idx="12">
                  <c:v>1</c:v>
                </c:pt>
                <c:pt idx="13">
                  <c:v>0</c:v>
                </c:pt>
                <c:pt idx="14">
                  <c:v>1</c:v>
                </c:pt>
                <c:pt idx="15">
                  <c:v>0.839410680785422</c:v>
                </c:pt>
                <c:pt idx="16">
                  <c:v>0.986008494680005</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0.5896620349542471</c:v>
                </c:pt>
                <c:pt idx="3">
                  <c:v>0.653846184706548</c:v>
                </c:pt>
                <c:pt idx="4">
                  <c:v>0.6109845581296408</c:v>
                </c:pt>
                <c:pt idx="5">
                  <c:v>0.6349833357893081</c:v>
                </c:pt>
                <c:pt idx="6">
                  <c:v>0.6500000279396778</c:v>
                </c:pt>
                <c:pt idx="7">
                  <c:v>0.5668383720800004</c:v>
                </c:pt>
                <c:pt idx="8">
                  <c:v>0.5942860721472065</c:v>
                </c:pt>
                <c:pt idx="9">
                  <c:v>0.5852705576598382</c:v>
                </c:pt>
                <c:pt idx="10">
                  <c:v>0.6187443042138234</c:v>
                </c:pt>
                <c:pt idx="11">
                  <c:v>0.5784529805500699</c:v>
                </c:pt>
                <c:pt idx="12">
                  <c:v>0.6370585315958324</c:v>
                </c:pt>
                <c:pt idx="13">
                  <c:v>0</c:v>
                </c:pt>
                <c:pt idx="14">
                  <c:v>0.5821231309507473</c:v>
                </c:pt>
                <c:pt idx="15">
                  <c:v>0.625087591387688</c:v>
                </c:pt>
                <c:pt idx="16">
                  <c:v>0.6203017390313363</c:v>
                </c:pt>
                <c:pt idx="17">
                  <c:v>0.7565763641160139</c:v>
                </c:pt>
                <c:pt idx="18">
                  <c:v>0.610975262710198</c:v>
                </c:pt>
                <c:pt idx="19">
                  <c:v>0.5991309030085008</c:v>
                </c:pt>
                <c:pt idx="20">
                  <c:v>0.7007543553670946</c:v>
                </c:pt>
                <c:pt idx="21">
                  <c:v>0.5979090726424793</c:v>
                </c:pt>
                <c:pt idx="22">
                  <c:v>0.5457561576541969</c:v>
                </c:pt>
                <c:pt idx="23">
                  <c:v>0.5682901540301881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0.2943630857197157</c:v>
                </c:pt>
                <c:pt idx="3">
                  <c:v>0.4230769363028063</c:v>
                </c:pt>
                <c:pt idx="4">
                  <c:v>0.39893271108711537</c:v>
                </c:pt>
                <c:pt idx="5">
                  <c:v>0.40450634421888104</c:v>
                </c:pt>
                <c:pt idx="6">
                  <c:v>0.3500000651925817</c:v>
                </c:pt>
                <c:pt idx="7">
                  <c:v>0.43850318470609667</c:v>
                </c:pt>
                <c:pt idx="8">
                  <c:v>0.28571457035693126</c:v>
                </c:pt>
                <c:pt idx="9">
                  <c:v>0.4162737800061138</c:v>
                </c:pt>
                <c:pt idx="10">
                  <c:v>0.44245459355409916</c:v>
                </c:pt>
                <c:pt idx="11">
                  <c:v>0.4066041192012102</c:v>
                </c:pt>
                <c:pt idx="12">
                  <c:v>0.41952030029731036</c:v>
                </c:pt>
                <c:pt idx="13">
                  <c:v>0</c:v>
                </c:pt>
                <c:pt idx="14">
                  <c:v>0.41239111137305906</c:v>
                </c:pt>
                <c:pt idx="15">
                  <c:v>0.4223888180446228</c:v>
                </c:pt>
                <c:pt idx="16">
                  <c:v>0.40531484790450106</c:v>
                </c:pt>
                <c:pt idx="17">
                  <c:v>0.37191986411047134</c:v>
                </c:pt>
                <c:pt idx="18">
                  <c:v>0.41091326369420506</c:v>
                </c:pt>
                <c:pt idx="19">
                  <c:v>0.3548666739225076</c:v>
                </c:pt>
                <c:pt idx="20">
                  <c:v>0.40195732211337726</c:v>
                </c:pt>
                <c:pt idx="21">
                  <c:v>0.4101936676124482</c:v>
                </c:pt>
                <c:pt idx="22">
                  <c:v>0.4731652484469845</c:v>
                </c:pt>
                <c:pt idx="23">
                  <c:v>0.3915429019063947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0.3076922977728953</c:v>
                </c:pt>
                <c:pt idx="4">
                  <c:v>0.04563338505217933</c:v>
                </c:pt>
                <c:pt idx="5">
                  <c:v>0.08153795116158638</c:v>
                </c:pt>
                <c:pt idx="6">
                  <c:v>0.10000001862645191</c:v>
                </c:pt>
                <c:pt idx="7">
                  <c:v>0</c:v>
                </c:pt>
                <c:pt idx="8">
                  <c:v>0</c:v>
                </c:pt>
                <c:pt idx="9">
                  <c:v>0</c:v>
                </c:pt>
                <c:pt idx="10">
                  <c:v>0</c:v>
                </c:pt>
                <c:pt idx="11">
                  <c:v>0</c:v>
                </c:pt>
                <c:pt idx="12">
                  <c:v>0.1526554438382135</c:v>
                </c:pt>
                <c:pt idx="13">
                  <c:v>0</c:v>
                </c:pt>
                <c:pt idx="14">
                  <c:v>0.20487011002345518</c:v>
                </c:pt>
                <c:pt idx="15">
                  <c:v>0</c:v>
                </c:pt>
                <c:pt idx="16">
                  <c:v>0</c:v>
                </c:pt>
                <c:pt idx="17">
                  <c:v>0.25745244993656835</c:v>
                </c:pt>
                <c:pt idx="18">
                  <c:v>0.2668822729807102</c:v>
                </c:pt>
                <c:pt idx="19">
                  <c:v>0.08710491946016544</c:v>
                </c:pt>
                <c:pt idx="20">
                  <c:v>0.16735806195443867</c:v>
                </c:pt>
                <c:pt idx="21">
                  <c:v>0.15834770592169484</c:v>
                </c:pt>
                <c:pt idx="22">
                  <c:v>0.41127080935553256</c:v>
                </c:pt>
                <c:pt idx="23">
                  <c:v>0.2712186471951302</c:v>
                </c:pt>
                <c:pt idx="24">
                  <c:v>0</c:v>
                </c:pt>
                <c:pt idx="25">
                  <c:v>0</c:v>
                </c:pt>
                <c:pt idx="26">
                  <c:v>0</c:v>
                </c:pt>
              </c:numCache>
            </c:numRef>
          </c:val>
        </c:ser>
        <c:overlap val="100"/>
        <c:gapWidth val="100"/>
        <c:axId val="9363585"/>
        <c:axId val="1716340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0.1834799538190691</c:v>
                </c:pt>
                <c:pt idx="3">
                  <c:v>0.6542665576645789</c:v>
                </c:pt>
                <c:pt idx="4">
                  <c:v>0.3278274184815845</c:v>
                </c:pt>
                <c:pt idx="5">
                  <c:v>0.4165257908220156</c:v>
                </c:pt>
                <c:pt idx="6">
                  <c:v>0.297036334941522</c:v>
                </c:pt>
                <c:pt idx="7">
                  <c:v>0.418915922703267</c:v>
                </c:pt>
                <c:pt idx="8">
                  <c:v>0.539505586196788</c:v>
                </c:pt>
                <c:pt idx="9">
                  <c:v>0.236892093977092</c:v>
                </c:pt>
                <c:pt idx="10">
                  <c:v>0.2048354945550882</c:v>
                </c:pt>
                <c:pt idx="11">
                  <c:v>0.2993162866664293</c:v>
                </c:pt>
                <c:pt idx="12">
                  <c:v>0.35871372199125157</c:v>
                </c:pt>
                <c:pt idx="13">
                  <c:v>0.5</c:v>
                </c:pt>
                <c:pt idx="14">
                  <c:v>0.5562745590213781</c:v>
                </c:pt>
                <c:pt idx="15">
                  <c:v>0.49578938489989755</c:v>
                </c:pt>
                <c:pt idx="16">
                  <c:v>0.29916937873369054</c:v>
                </c:pt>
                <c:pt idx="17">
                  <c:v>0.4727755634456926</c:v>
                </c:pt>
                <c:pt idx="18">
                  <c:v>0.4625467660560449</c:v>
                </c:pt>
                <c:pt idx="19">
                  <c:v>0.3648355922131533</c:v>
                </c:pt>
                <c:pt idx="20">
                  <c:v>0.4014038499080207</c:v>
                </c:pt>
                <c:pt idx="21">
                  <c:v>0.280207361440887</c:v>
                </c:pt>
                <c:pt idx="22">
                  <c:v>0.4289568587270198</c:v>
                </c:pt>
                <c:pt idx="23">
                  <c:v>0.3266802858289748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1.000000002728897</c:v>
                </c:pt>
                <c:pt idx="5">
                  <c:v>0.4859230027998205</c:v>
                </c:pt>
                <c:pt idx="6">
                  <c:v>0.40000002011656816</c:v>
                </c:pt>
                <c:pt idx="7">
                  <c:v>0.524146927365113</c:v>
                </c:pt>
                <c:pt idx="8">
                  <c:v>-999</c:v>
                </c:pt>
                <c:pt idx="9">
                  <c:v>0.5897281316899842</c:v>
                </c:pt>
                <c:pt idx="10">
                  <c:v>0.6335836837094985</c:v>
                </c:pt>
                <c:pt idx="11">
                  <c:v>0.6060609835231021</c:v>
                </c:pt>
                <c:pt idx="12">
                  <c:v>0.39934907442953876</c:v>
                </c:pt>
                <c:pt idx="13">
                  <c:v>0.44928341684895756</c:v>
                </c:pt>
                <c:pt idx="14">
                  <c:v>-999</c:v>
                </c:pt>
                <c:pt idx="15">
                  <c:v>-999</c:v>
                </c:pt>
                <c:pt idx="16">
                  <c:v>0.5454689270501705</c:v>
                </c:pt>
                <c:pt idx="17">
                  <c:v>-999</c:v>
                </c:pt>
                <c:pt idx="18">
                  <c:v>-999</c:v>
                </c:pt>
                <c:pt idx="19">
                  <c:v>-999</c:v>
                </c:pt>
                <c:pt idx="20">
                  <c:v>0.4872155901470575</c:v>
                </c:pt>
                <c:pt idx="21">
                  <c:v>0.3957216824474289</c:v>
                </c:pt>
                <c:pt idx="22">
                  <c:v>0.4407832532709665</c:v>
                </c:pt>
                <c:pt idx="23">
                  <c:v>0.2984227830563904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0.5779830159714566</c:v>
                </c:pt>
                <c:pt idx="3">
                  <c:v>0.42307692254788776</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252891"/>
        <c:axId val="48058292"/>
      </c:scatterChart>
      <c:catAx>
        <c:axId val="9363585"/>
        <c:scaling>
          <c:orientation val="maxMin"/>
        </c:scaling>
        <c:axPos val="l"/>
        <c:delete val="0"/>
        <c:numFmt formatCode="General" sourceLinked="1"/>
        <c:majorTickMark val="out"/>
        <c:minorTickMark val="none"/>
        <c:tickLblPos val="none"/>
        <c:spPr>
          <a:ln w="3175">
            <a:noFill/>
          </a:ln>
        </c:spPr>
        <c:crossAx val="17163402"/>
        <c:crosses val="autoZero"/>
        <c:auto val="1"/>
        <c:lblOffset val="100"/>
        <c:tickLblSkip val="1"/>
        <c:noMultiLvlLbl val="0"/>
      </c:catAx>
      <c:valAx>
        <c:axId val="17163402"/>
        <c:scaling>
          <c:orientation val="minMax"/>
          <c:max val="1"/>
          <c:min val="0"/>
        </c:scaling>
        <c:axPos val="t"/>
        <c:delete val="0"/>
        <c:numFmt formatCode="General" sourceLinked="1"/>
        <c:majorTickMark val="none"/>
        <c:minorTickMark val="none"/>
        <c:tickLblPos val="none"/>
        <c:spPr>
          <a:ln w="3175">
            <a:noFill/>
          </a:ln>
        </c:spPr>
        <c:crossAx val="9363585"/>
        <c:crossesAt val="1"/>
        <c:crossBetween val="between"/>
        <c:dispUnits/>
        <c:majorUnit val="1"/>
      </c:valAx>
      <c:valAx>
        <c:axId val="20252891"/>
        <c:scaling>
          <c:orientation val="minMax"/>
          <c:max val="1"/>
          <c:min val="0"/>
        </c:scaling>
        <c:axPos val="t"/>
        <c:delete val="0"/>
        <c:numFmt formatCode="General" sourceLinked="1"/>
        <c:majorTickMark val="none"/>
        <c:minorTickMark val="none"/>
        <c:tickLblPos val="none"/>
        <c:spPr>
          <a:ln w="3175">
            <a:noFill/>
          </a:ln>
        </c:spPr>
        <c:crossAx val="48058292"/>
        <c:crosses val="max"/>
        <c:crossBetween val="midCat"/>
        <c:dispUnits/>
        <c:majorUnit val="0.1"/>
        <c:minorUnit val="0.020000000000000004"/>
      </c:valAx>
      <c:valAx>
        <c:axId val="48058292"/>
        <c:scaling>
          <c:orientation val="maxMin"/>
          <c:max val="29"/>
          <c:min val="0"/>
        </c:scaling>
        <c:axPos val="l"/>
        <c:delete val="0"/>
        <c:numFmt formatCode="General" sourceLinked="1"/>
        <c:majorTickMark val="none"/>
        <c:minorTickMark val="none"/>
        <c:tickLblPos val="none"/>
        <c:spPr>
          <a:ln w="3175">
            <a:noFill/>
          </a:ln>
        </c:spPr>
        <c:crossAx val="202528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(A84618) ALLENDALE HEALTH CENTRE, NORTHUMBERLAND CARE TRUST (TAC)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558</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557</v>
      </c>
      <c r="C8" s="115"/>
      <c r="D8" s="115"/>
      <c r="E8" s="128">
        <f>VLOOKUP('Hide - Control'!A$3,'All practice data'!A:CA,4,FALSE)</f>
        <v>2194</v>
      </c>
      <c r="F8" s="310" t="str">
        <f>VLOOKUP('Hide - Control'!B4,'Hide - Calculation'!AY:BA,3,FALSE)</f>
        <v> </v>
      </c>
      <c r="G8" s="310"/>
      <c r="H8" s="310"/>
      <c r="I8" s="115"/>
      <c r="J8" s="115"/>
      <c r="K8" s="115"/>
      <c r="L8" s="115"/>
      <c r="M8" s="109"/>
      <c r="N8" s="314" t="s">
        <v>490</v>
      </c>
      <c r="O8" s="314"/>
      <c r="P8" s="314"/>
      <c r="Q8" s="314" t="s">
        <v>32</v>
      </c>
      <c r="R8" s="314"/>
      <c r="S8" s="314"/>
      <c r="T8" s="314" t="s">
        <v>561</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320818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335</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490</v>
      </c>
      <c r="H13" s="190">
        <f>IF(VLOOKUP('Hide - Control'!A$3,'All practice data'!A:CA,C13+30,FALSE)=" "," ",VLOOKUP('Hide - Control'!A$3,'All practice data'!A:CA,C13+30,FALSE))</f>
        <v>0.22333637192342753</v>
      </c>
      <c r="I13" s="191">
        <f>IF(LEFT(G13,1)=" "," n/a",+((2*G13+1.96^2-1.96*SQRT(1.96^2+4*G13*(1-G13/E$8)))/(2*(E$8+1.96^2))))</f>
        <v>0.20640101985193382</v>
      </c>
      <c r="J13" s="191">
        <f>IF(LEFT(G13,1)=" "," n/a",+((2*G13+1.96^2+1.96*SQRT(1.96^2+4*G13*(1-G13/E$8)))/(2*(E$8+1.96^2))))</f>
        <v>0.2412388828598903</v>
      </c>
      <c r="K13" s="190">
        <f>IF('Hide - Calculation'!N7="","",'Hide - Calculation'!N7)</f>
        <v>0.1970961729080039</v>
      </c>
      <c r="L13" s="192">
        <f>'Hide - Calculation'!O7</f>
        <v>0.1599882305185145</v>
      </c>
      <c r="M13" s="208">
        <f>IF(ISBLANK('Hide - Calculation'!K7),"",'Hide - Calculation'!U7)</f>
        <v>0.13052555918693542</v>
      </c>
      <c r="N13" s="173"/>
      <c r="O13" s="173"/>
      <c r="P13" s="173"/>
      <c r="Q13" s="173"/>
      <c r="R13" s="173"/>
      <c r="S13" s="173"/>
      <c r="T13" s="173"/>
      <c r="U13" s="173"/>
      <c r="V13" s="173"/>
      <c r="W13" s="173"/>
      <c r="X13" s="173"/>
      <c r="Y13" s="173"/>
      <c r="Z13" s="173"/>
      <c r="AA13" s="226">
        <f>IF(ISBLANK('Hide - Calculation'!K7),"",'Hide - Calculation'!T7)</f>
        <v>0.27948662638664246</v>
      </c>
      <c r="AB13" s="233" t="s">
        <v>555</v>
      </c>
      <c r="AC13" s="209" t="s">
        <v>556</v>
      </c>
    </row>
    <row r="14" spans="2:29" ht="33.75" customHeight="1">
      <c r="B14" s="306"/>
      <c r="C14" s="137">
        <v>2</v>
      </c>
      <c r="D14" s="132" t="s">
        <v>484</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0.09</v>
      </c>
      <c r="I14" s="120">
        <f>IF(LEFT(G14,1)=" "," n/a",+((2*H14*E8+1.96^2-1.96*SQRT(1.96^2+4*H14*E8*(1-H14*E8/E$8)))/(2*(E$8+1.96^2))))</f>
        <v>0.07873054960251273</v>
      </c>
      <c r="J14" s="120">
        <f>IF(LEFT(G14,1)=" "," n/a",+((2*H14*E8+1.96^2+1.96*SQRT(1.96^2+4*H14*E8*(1-H14*E8/E$8)))/(2*(E$8+1.96^2))))</f>
        <v>0.10270272566172828</v>
      </c>
      <c r="K14" s="119">
        <f>IF('Hide - Calculation'!N8="","",'Hide - Calculation'!N8)</f>
        <v>0.13521161530836795</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0.23999999463558197</v>
      </c>
      <c r="AB14" s="234" t="s">
        <v>39</v>
      </c>
      <c r="AC14" s="130" t="s">
        <v>556</v>
      </c>
    </row>
    <row r="15" spans="2:39" s="63" customFormat="1" ht="33.75" customHeight="1">
      <c r="B15" s="306"/>
      <c r="C15" s="137">
        <v>3</v>
      </c>
      <c r="D15" s="132" t="s">
        <v>338</v>
      </c>
      <c r="E15" s="85"/>
      <c r="F15" s="85"/>
      <c r="G15" s="121">
        <f>IF(VLOOKUP('Hide - Control'!A$3,'All practice data'!A:CA,C15+4,FALSE)=" "," ",VLOOKUP('Hide - Control'!A$3,'All practice data'!A:CA,C15+4,FALSE))</f>
        <v>20</v>
      </c>
      <c r="H15" s="122">
        <f>IF(VLOOKUP('Hide - Control'!A$3,'All practice data'!A:CA,C15+30,FALSE)=" "," ",VLOOKUP('Hide - Control'!A$3,'All practice data'!A:CA,C15+30,FALSE))</f>
        <v>911.5770282588878</v>
      </c>
      <c r="I15" s="123">
        <f>IF(LEFT(G15,1)=" "," n/a",IF(G15&lt;5,100000*VLOOKUP(G15,'Hide - Calculation'!AQ:AR,2,FALSE)/$E$8,100000*(G15*(1-1/(9*G15)-1.96/(3*SQRT(G15)))^3)/$E$8))</f>
        <v>556.577616881292</v>
      </c>
      <c r="J15" s="123">
        <f>IF(LEFT(G15,1)=" "," n/a",IF(G15&lt;5,100000*VLOOKUP(G15,'Hide - Calculation'!AQ:AS,3,FALSE)/$E$8,100000*((G15+1)*(1-1/(9*(G15+1))+1.96/(3*SQRT(G15+1)))^3)/$E$8))</f>
        <v>1407.9349970953915</v>
      </c>
      <c r="K15" s="122">
        <f>IF('Hide - Calculation'!N9="","",'Hide - Calculation'!N9)</f>
        <v>567.2998397845507</v>
      </c>
      <c r="L15" s="156">
        <f>'Hide - Calculation'!O9</f>
        <v>445.6198871279627</v>
      </c>
      <c r="M15" s="151">
        <f>IF(ISBLANK('Hide - Calculation'!K9),"",'Hide - Calculation'!U9)</f>
        <v>250</v>
      </c>
      <c r="N15" s="84"/>
      <c r="O15" s="84"/>
      <c r="P15" s="84"/>
      <c r="Q15" s="84"/>
      <c r="R15" s="84"/>
      <c r="S15" s="84"/>
      <c r="T15" s="84"/>
      <c r="U15" s="84"/>
      <c r="V15" s="84"/>
      <c r="W15" s="84"/>
      <c r="X15" s="84"/>
      <c r="Y15" s="84"/>
      <c r="Z15" s="84"/>
      <c r="AA15" s="228">
        <f>IF(ISBLANK('Hide - Calculation'!K9),"",'Hide - Calculation'!T9)</f>
        <v>911.5770263671875</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6</v>
      </c>
      <c r="H16" s="122">
        <f>IF(VLOOKUP('Hide - Control'!A$3,'All practice data'!A:CA,C16+30,FALSE)=" "," ",VLOOKUP('Hide - Control'!A$3,'All practice data'!A:CA,C16+30,FALSE))</f>
        <v>273.47310847766636</v>
      </c>
      <c r="I16" s="123">
        <f>IF(LEFT(G16,1)=" "," n/a",IF(G16&lt;5,100000*VLOOKUP(G16,'Hide - Calculation'!AQ:AR,2,FALSE)/$E$8,100000*(G16*(1-1/(9*G16)-1.96/(3*SQRT(G16)))^3)/$E$8))</f>
        <v>99.86056247418776</v>
      </c>
      <c r="J16" s="123">
        <f>IF(LEFT(G16,1)=" "," n/a",IF(G16&lt;5,100000*VLOOKUP(G16,'Hide - Calculation'!AQ:AS,3,FALSE)/$E$8,100000*((G16+1)*(1-1/(9*(G16+1))+1.96/(3*SQRT(G16+1)))^3)/$E$8))</f>
        <v>595.2550259196792</v>
      </c>
      <c r="K16" s="122">
        <f>IF('Hide - Calculation'!N10="","",'Hide - Calculation'!N10)</f>
        <v>286.45524877033085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564.9717407226562</v>
      </c>
      <c r="AB16" s="234" t="s">
        <v>332</v>
      </c>
      <c r="AC16" s="131" t="s">
        <v>510</v>
      </c>
    </row>
    <row r="17" spans="2:29" s="63" customFormat="1" ht="33.75" customHeight="1" thickBot="1">
      <c r="B17" s="309"/>
      <c r="C17" s="180">
        <v>5</v>
      </c>
      <c r="D17" s="195" t="s">
        <v>337</v>
      </c>
      <c r="E17" s="182"/>
      <c r="F17" s="182"/>
      <c r="G17" s="140">
        <f>IF(VLOOKUP('Hide - Control'!A$3,'All practice data'!A:CA,C17+4,FALSE)=" "," ",VLOOKUP('Hide - Control'!A$3,'All practice data'!A:CA,C17+4,FALSE))</f>
        <v>40</v>
      </c>
      <c r="H17" s="141">
        <f>IF(VLOOKUP('Hide - Control'!A$3,'All practice data'!A:CA,C17+30,FALSE)=" "," ",VLOOKUP('Hide - Control'!A$3,'All practice data'!A:CA,C17+30,FALSE))</f>
        <v>0.018000000000000002</v>
      </c>
      <c r="I17" s="142">
        <f>IF(LEFT(G17,1)=" "," n/a",+((2*G17+1.96^2-1.96*SQRT(1.96^2+4*G17*(1-G17/E$8)))/(2*(E$8+1.96^2))))</f>
        <v>0.013417212550630126</v>
      </c>
      <c r="J17" s="142">
        <f>IF(LEFT(G17,1)=" "," n/a",+((2*G17+1.96^2+1.96*SQRT(1.96^2+4*G17*(1-G17/E$8)))/(2*(E$8+1.96^2))))</f>
        <v>0.024730031545577714</v>
      </c>
      <c r="K17" s="141">
        <f>IF('Hide - Calculation'!N11="","",'Hide - Calculation'!N11)</f>
        <v>0.0200456333497497</v>
      </c>
      <c r="L17" s="157">
        <f>'Hide - Calculation'!O11</f>
        <v>0.015940726342527432</v>
      </c>
      <c r="M17" s="210">
        <f>IF(ISBLANK('Hide - Calculation'!K11),"",'Hide - Calculation'!U11)</f>
        <v>0.012000000104308128</v>
      </c>
      <c r="N17" s="91"/>
      <c r="O17" s="91"/>
      <c r="P17" s="91"/>
      <c r="Q17" s="91"/>
      <c r="R17" s="91"/>
      <c r="S17" s="91"/>
      <c r="T17" s="91"/>
      <c r="U17" s="91"/>
      <c r="V17" s="91"/>
      <c r="W17" s="91"/>
      <c r="X17" s="91"/>
      <c r="Y17" s="91"/>
      <c r="Z17" s="91"/>
      <c r="AA17" s="229">
        <f>IF(ISBLANK('Hide - Calculation'!K11),"",'Hide - Calculation'!T11)</f>
        <v>0.029999999329447746</v>
      </c>
      <c r="AB17" s="235" t="s">
        <v>477</v>
      </c>
      <c r="AC17" s="189" t="s">
        <v>510</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308</v>
      </c>
      <c r="H18" s="220">
        <f>IF(OR(VLOOKUP('Hide - Control'!A$3,'All practice data'!A:CA,C18+30,FALSE)=" ",VLOOKUP('Hide - Control'!A$3,'All practice data'!A:CA,C18+52,FALSE)=0)," n/a",VLOOKUP('Hide - Control'!A$3,'All practice data'!A:CA,C18+30,FALSE))</f>
        <v>0.779747</v>
      </c>
      <c r="I18" s="191">
        <f>IF(OR(LEFT(H18,1)=" ",VLOOKUP('Hide - Control'!A$3,'All practice data'!A:CA,C18+52,FALSE)=0)," n/a",+((2*G18+1.96^2-1.96*SQRT(1.96^2+4*G18*(1-G18/(VLOOKUP('Hide - Control'!A$3,'All practice data'!A:CA,C18+52,FALSE)))))/(2*(((VLOOKUP('Hide - Control'!A$3,'All practice data'!A:CA,C18+52,FALSE)))+1.96^2))))</f>
        <v>0.7362913547895652</v>
      </c>
      <c r="J18" s="191">
        <f>IF(OR(LEFT(H18,1)=" ",VLOOKUP('Hide - Control'!A$3,'All practice data'!A:CA,C18+52,FALSE)=0)," n/a",+((2*G18+1.96^2+1.96*SQRT(1.96^2+4*G18*(1-G18/(VLOOKUP('Hide - Control'!A$3,'All practice data'!A:CA,C18+52,FALSE)))))/(2*((VLOOKUP('Hide - Control'!A$3,'All practice data'!A:CA,C18+52,FALSE))+1.96^2))))</f>
        <v>0.8178133323844908</v>
      </c>
      <c r="K18" s="220">
        <f>IF('Hide - Calculation'!N12="","",'Hide - Calculation'!N12)</f>
        <v>0.7688798353385533</v>
      </c>
      <c r="L18" s="192">
        <f>'Hide - Calculation'!O12</f>
        <v>0.7248631360507991</v>
      </c>
      <c r="M18" s="193">
        <f>IF(ISBLANK('Hide - Calculation'!K12),"",'Hide - Calculation'!U12)</f>
        <v>0.5063750147819519</v>
      </c>
      <c r="N18" s="194"/>
      <c r="O18" s="173"/>
      <c r="P18" s="173"/>
      <c r="Q18" s="173"/>
      <c r="R18" s="173"/>
      <c r="S18" s="173"/>
      <c r="T18" s="173"/>
      <c r="U18" s="173"/>
      <c r="V18" s="173"/>
      <c r="W18" s="173"/>
      <c r="X18" s="173"/>
      <c r="Y18" s="173"/>
      <c r="Z18" s="174"/>
      <c r="AA18" s="193">
        <f>IF(ISBLANK('Hide - Calculation'!K12),"",'Hide - Calculation'!T12)</f>
        <v>0.8259909749031067</v>
      </c>
      <c r="AB18" s="233" t="s">
        <v>48</v>
      </c>
      <c r="AC18" s="175" t="s">
        <v>511</v>
      </c>
    </row>
    <row r="19" spans="2:29" s="63" customFormat="1" ht="33.75" customHeight="1">
      <c r="B19" s="306"/>
      <c r="C19" s="137">
        <v>7</v>
      </c>
      <c r="D19" s="132" t="s">
        <v>486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0.7842533936651583</v>
      </c>
      <c r="L19" s="155">
        <f>'Hide - Calculation'!O13</f>
        <v>0.7467412166569077</v>
      </c>
      <c r="M19" s="152">
        <f>IF(ISBLANK('Hide - Calculation'!K13),"",'Hide - Calculation'!U13)</f>
        <v>0.2222220003604889</v>
      </c>
      <c r="N19" s="160"/>
      <c r="O19" s="84"/>
      <c r="P19" s="84"/>
      <c r="Q19" s="84"/>
      <c r="R19" s="84"/>
      <c r="S19" s="84"/>
      <c r="T19" s="84"/>
      <c r="U19" s="84"/>
      <c r="V19" s="84"/>
      <c r="W19" s="84"/>
      <c r="X19" s="84"/>
      <c r="Y19" s="84"/>
      <c r="Z19" s="88"/>
      <c r="AA19" s="152">
        <f>IF(ISBLANK('Hide - Calculation'!K13),"",'Hide - Calculation'!T13)</f>
        <v>1</v>
      </c>
      <c r="AB19" s="234" t="s">
        <v>48</v>
      </c>
      <c r="AC19" s="131" t="s">
        <v>510</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473</v>
      </c>
      <c r="H20" s="218">
        <f>IF(OR(VLOOKUP('Hide - Control'!A$3,'All practice data'!A:CA,C20+30,FALSE)=" ",VLOOKUP('Hide - Control'!A$3,'All practice data'!A:CA,C20+52,FALSE)=0)," n/a",VLOOKUP('Hide - Control'!A$3,'All practice data'!A:CA,C20+30,FALSE))</f>
        <v>0.832746</v>
      </c>
      <c r="I20" s="120">
        <f>IF(OR(LEFT(H20,1)=" ",VLOOKUP('Hide - Control'!A$3,'All practice data'!A:CA,C20+52,FALSE)=0)," n/a",+((2*G20+1.96^2-1.96*SQRT(1.96^2+4*G20*(1-G20/(VLOOKUP('Hide - Control'!A$3,'All practice data'!A:CA,C20+52,FALSE)))))/(2*(((VLOOKUP('Hide - Control'!A$3,'All practice data'!A:CA,C20+52,FALSE)))+1.96^2))))</f>
        <v>0.7998407512654069</v>
      </c>
      <c r="J20" s="120">
        <f>IF(OR(LEFT(H20,1)=" ",VLOOKUP('Hide - Control'!A$3,'All practice data'!A:CA,C20+52,FALSE)=0)," n/a",+((2*G20+1.96^2+1.96*SQRT(1.96^2+4*G20*(1-G20/(VLOOKUP('Hide - Control'!A$3,'All practice data'!A:CA,C20+52,FALSE)))))/(2*((VLOOKUP('Hide - Control'!A$3,'All practice data'!A:CA,C20+52,FALSE))+1.96^2))))</f>
        <v>0.8611814618789325</v>
      </c>
      <c r="K20" s="218">
        <f>IF('Hide - Calculation'!N14="","",'Hide - Calculation'!N14)</f>
        <v>0.8102113037234588</v>
      </c>
      <c r="L20" s="155">
        <f>'Hide - Calculation'!O14</f>
        <v>0.7559681673907895</v>
      </c>
      <c r="M20" s="152">
        <f>IF(ISBLANK('Hide - Calculation'!K14),"",'Hide - Calculation'!U14)</f>
        <v>0.7044199705123901</v>
      </c>
      <c r="N20" s="160"/>
      <c r="O20" s="84"/>
      <c r="P20" s="84"/>
      <c r="Q20" s="84"/>
      <c r="R20" s="84"/>
      <c r="S20" s="84"/>
      <c r="T20" s="84"/>
      <c r="U20" s="84"/>
      <c r="V20" s="84"/>
      <c r="W20" s="84"/>
      <c r="X20" s="84"/>
      <c r="Y20" s="84"/>
      <c r="Z20" s="88"/>
      <c r="AA20" s="152">
        <f>IF(ISBLANK('Hide - Calculation'!K14),"",'Hide - Calculation'!T14)</f>
        <v>0.907060980796814</v>
      </c>
      <c r="AB20" s="234" t="s">
        <v>48</v>
      </c>
      <c r="AC20" s="131" t="s">
        <v>512</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252</v>
      </c>
      <c r="H21" s="218">
        <f>IF(OR(VLOOKUP('Hide - Control'!A$3,'All practice data'!A:CA,C21+30,FALSE)=" ",VLOOKUP('Hide - Control'!A$3,'All practice data'!A:CA,C21+52,FALSE)=0)," n/a",VLOOKUP('Hide - Control'!A$3,'All practice data'!A:CA,C21+30,FALSE))</f>
        <v>0.661417</v>
      </c>
      <c r="I21" s="120">
        <f>IF(OR(LEFT(H21,1)=" ",VLOOKUP('Hide - Control'!A$3,'All practice data'!A:CA,C21+52,FALSE)=0)," n/a",+((2*G21+1.96^2-1.96*SQRT(1.96^2+4*G21*(1-G21/(VLOOKUP('Hide - Control'!A$3,'All practice data'!A:CA,C21+52,FALSE)))))/(2*(((VLOOKUP('Hide - Control'!A$3,'All practice data'!A:CA,C21+52,FALSE)))+1.96^2))))</f>
        <v>0.6124977165009298</v>
      </c>
      <c r="J21" s="120">
        <f>IF(OR(LEFT(H21,1)=" ",VLOOKUP('Hide - Control'!A$3,'All practice data'!A:CA,C21+52,FALSE)=0)," n/a",+((2*G21+1.96^2+1.96*SQRT(1.96^2+4*G21*(1-G21/(VLOOKUP('Hide - Control'!A$3,'All practice data'!A:CA,C21+52,FALSE)))))/(2*((VLOOKUP('Hide - Control'!A$3,'All practice data'!A:CA,C21+52,FALSE))+1.96^2))))</f>
        <v>0.7071143004951538</v>
      </c>
      <c r="K21" s="218">
        <f>IF('Hide - Calculation'!N15="","",'Hide - Calculation'!N15)</f>
        <v>0.6187681940082976</v>
      </c>
      <c r="L21" s="155">
        <f>'Hide - Calculation'!O15</f>
        <v>0.5147293797466616</v>
      </c>
      <c r="M21" s="152">
        <f>IF(ISBLANK('Hide - Calculation'!K15),"",'Hide - Calculation'!U15)</f>
        <v>0.44464901089668274</v>
      </c>
      <c r="N21" s="160"/>
      <c r="O21" s="84"/>
      <c r="P21" s="84"/>
      <c r="Q21" s="84"/>
      <c r="R21" s="84"/>
      <c r="S21" s="84"/>
      <c r="T21" s="84"/>
      <c r="U21" s="84"/>
      <c r="V21" s="84"/>
      <c r="W21" s="84"/>
      <c r="X21" s="84"/>
      <c r="Y21" s="84"/>
      <c r="Z21" s="88"/>
      <c r="AA21" s="152">
        <f>IF(ISBLANK('Hide - Calculation'!K15),"",'Hide - Calculation'!T15)</f>
        <v>0.7186570167541504</v>
      </c>
      <c r="AB21" s="234" t="s">
        <v>48</v>
      </c>
      <c r="AC21" s="131" t="s">
        <v>511</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131</v>
      </c>
      <c r="H22" s="223">
        <f>IF(OR(VLOOKUP('Hide - Control'!A$3,'All practice data'!A:CA,C22+30,FALSE)=" ",VLOOKUP('Hide - Control'!A$3,'All practice data'!A:CA,C22+52,FALSE)=0)," n/a",VLOOKUP('Hide - Control'!A$3,'All practice data'!A:CA,C22+30,FALSE))</f>
        <v>0.693122</v>
      </c>
      <c r="I22" s="196">
        <f>IF(OR(LEFT(H22,1)=" ",VLOOKUP('Hide - Control'!A$3,'All practice data'!A:CA,C22+52,FALSE)=0)," n/a",+((2*G22+1.96^2-1.96*SQRT(1.96^2+4*G22*(1-G22/(VLOOKUP('Hide - Control'!A$3,'All practice data'!A:CA,C22+52,FALSE)))))/(2*(((VLOOKUP('Hide - Control'!A$3,'All practice data'!A:CA,C22+52,FALSE)))+1.96^2))))</f>
        <v>0.624066537257122</v>
      </c>
      <c r="J22" s="196">
        <f>IF(OR(LEFT(H22,1)=" ",VLOOKUP('Hide - Control'!A$3,'All practice data'!A:CA,C22+52,FALSE)=0)," n/a",+((2*G22+1.96^2+1.96*SQRT(1.96^2+4*G22*(1-G22/(VLOOKUP('Hide - Control'!A$3,'All practice data'!A:CA,C22+52,FALSE)))))/(2*((VLOOKUP('Hide - Control'!A$3,'All practice data'!A:CA,C22+52,FALSE))+1.96^2))))</f>
        <v>0.7544824895088869</v>
      </c>
      <c r="K22" s="223">
        <f>IF('Hide - Calculation'!N16="","",'Hide - Calculation'!N16)</f>
        <v>0.6500685028582227</v>
      </c>
      <c r="L22" s="197">
        <f>'Hide - Calculation'!O16</f>
        <v>0.5752927626212945</v>
      </c>
      <c r="M22" s="198">
        <f>IF(ISBLANK('Hide - Calculation'!K16),"",'Hide - Calculation'!U16)</f>
        <v>0.4603169858455658</v>
      </c>
      <c r="N22" s="199"/>
      <c r="O22" s="91"/>
      <c r="P22" s="91"/>
      <c r="Q22" s="91"/>
      <c r="R22" s="91"/>
      <c r="S22" s="91"/>
      <c r="T22" s="91"/>
      <c r="U22" s="91"/>
      <c r="V22" s="91"/>
      <c r="W22" s="91"/>
      <c r="X22" s="91"/>
      <c r="Y22" s="91"/>
      <c r="Z22" s="188"/>
      <c r="AA22" s="198">
        <f>IF(ISBLANK('Hide - Calculation'!K16),"",'Hide - Calculation'!T16)</f>
        <v>0.7753040194511414</v>
      </c>
      <c r="AB22" s="235" t="s">
        <v>48</v>
      </c>
      <c r="AC22" s="189" t="s">
        <v>510</v>
      </c>
    </row>
    <row r="23" spans="2:29" s="63" customFormat="1" ht="33.75" customHeight="1">
      <c r="B23" s="308" t="s">
        <v>327</v>
      </c>
      <c r="C23" s="163">
        <v>11</v>
      </c>
      <c r="D23" s="179" t="s">
        <v>339</v>
      </c>
      <c r="E23" s="165"/>
      <c r="F23" s="165"/>
      <c r="G23" s="118">
        <f>IF(VLOOKUP('Hide - Control'!A$3,'All practice data'!A:CA,C23+4,FALSE)=" "," ",VLOOKUP('Hide - Control'!A$3,'All practice data'!A:CA,C23+4,FALSE))</f>
        <v>44</v>
      </c>
      <c r="H23" s="216">
        <f>IF(VLOOKUP('Hide - Control'!A$3,'All practice data'!A:CA,C23+30,FALSE)=" "," ",VLOOKUP('Hide - Control'!A$3,'All practice data'!A:CA,C23+30,FALSE))</f>
        <v>2005.4694621695533</v>
      </c>
      <c r="I23" s="215">
        <f>IF(LEFT(G23,1)=" "," n/a",IF(G23&lt;5,100000*VLOOKUP(G23,'Hide - Calculation'!AQ:AR,2,FALSE)/$E$8,100000*(G23*(1-1/(9*G23)-1.96/(3*SQRT(G23)))^3)/$E$8))</f>
        <v>1457.02717713461</v>
      </c>
      <c r="J23" s="215">
        <f>IF(LEFT(G23,1)=" "," n/a",IF(G23&lt;5,100000*VLOOKUP(G23,'Hide - Calculation'!AQ:AS,3,FALSE)/$E$8,100000*((G23+1)*(1-1/(9*(G23+1))+1.96/(3*SQRT(G23+1)))^3)/$E$8))</f>
        <v>2692.3274099489686</v>
      </c>
      <c r="K23" s="216">
        <f>IF('Hide - Calculation'!N17="","",'Hide - Calculation'!N17)</f>
        <v>2617.683546434427</v>
      </c>
      <c r="L23" s="217">
        <f>'Hide - Calculation'!O17</f>
        <v>1812.1669120472948</v>
      </c>
      <c r="M23" s="170">
        <f>IF(ISBLANK('Hide - Calculation'!K17),"",'Hide - Calculation'!U17)</f>
        <v>831.94677734375</v>
      </c>
      <c r="N23" s="171"/>
      <c r="O23" s="172"/>
      <c r="P23" s="172"/>
      <c r="Q23" s="172"/>
      <c r="R23" s="173"/>
      <c r="S23" s="173"/>
      <c r="T23" s="173"/>
      <c r="U23" s="173"/>
      <c r="V23" s="173"/>
      <c r="W23" s="173"/>
      <c r="X23" s="173"/>
      <c r="Y23" s="173"/>
      <c r="Z23" s="174"/>
      <c r="AA23" s="170">
        <f>IF(ISBLANK('Hide - Calculation'!K17),"",'Hide - Calculation'!T17)</f>
        <v>4862.7685546875</v>
      </c>
      <c r="AB23" s="233" t="s">
        <v>26</v>
      </c>
      <c r="AC23" s="175" t="s">
        <v>510</v>
      </c>
    </row>
    <row r="24" spans="2:29" s="63" customFormat="1" ht="33.75" customHeight="1">
      <c r="B24" s="306"/>
      <c r="C24" s="137">
        <v>12</v>
      </c>
      <c r="D24" s="147" t="s">
        <v>495</v>
      </c>
      <c r="E24" s="85"/>
      <c r="F24" s="85"/>
      <c r="G24" s="118">
        <f>IF(VLOOKUP('Hide - Control'!A$3,'All practice data'!A:CA,C24+4,FALSE)=" "," ",VLOOKUP('Hide - Control'!A$3,'All practice data'!A:CA,C24+4,FALSE))</f>
        <v>44</v>
      </c>
      <c r="H24" s="119">
        <f>IF(VLOOKUP('Hide - Control'!A$3,'All practice data'!A:CA,C24+30,FALSE)=" "," ",VLOOKUP('Hide - Control'!A$3,'All practice data'!A:CA,C24+30,FALSE))</f>
        <v>0.8714370728</v>
      </c>
      <c r="I24" s="212">
        <f>IF(LEFT(VLOOKUP('Hide - Control'!A$3,'All practice data'!A:CA,C24+44,FALSE),1)=" "," n/a",VLOOKUP('Hide - Control'!A$3,'All practice data'!A:CA,C24+44,FALSE))</f>
        <v>0.6331875229</v>
      </c>
      <c r="J24" s="212">
        <f>IF(LEFT(VLOOKUP('Hide - Control'!A$3,'All practice data'!A:CA,C24+45,FALSE),1)=" "," n/a",VLOOKUP('Hide - Control'!A$3,'All practice data'!A:CA,C24+45,FALSE))</f>
        <v>1.169863586</v>
      </c>
      <c r="K24" s="152" t="s">
        <v>560</v>
      </c>
      <c r="L24" s="213">
        <v>1</v>
      </c>
      <c r="M24" s="152">
        <f>IF(ISBLANK('Hide - Calculation'!K18),"",'Hide - Calculation'!U18)</f>
        <v>0.36578503251075745</v>
      </c>
      <c r="N24" s="86"/>
      <c r="O24" s="87"/>
      <c r="P24" s="87"/>
      <c r="Q24" s="87"/>
      <c r="R24" s="84"/>
      <c r="S24" s="84"/>
      <c r="T24" s="84"/>
      <c r="U24" s="84"/>
      <c r="V24" s="84"/>
      <c r="W24" s="84"/>
      <c r="X24" s="84"/>
      <c r="Y24" s="84"/>
      <c r="Z24" s="88"/>
      <c r="AA24" s="152">
        <f>IF(ISBLANK('Hide - Calculation'!K18),"",'Hide - Calculation'!T18)</f>
        <v>2.2674643993377686</v>
      </c>
      <c r="AB24" s="234" t="s">
        <v>26</v>
      </c>
      <c r="AC24" s="131" t="s">
        <v>510</v>
      </c>
    </row>
    <row r="25" spans="2:29" s="63" customFormat="1" ht="33.75" customHeight="1">
      <c r="B25" s="306"/>
      <c r="C25" s="137">
        <v>13</v>
      </c>
      <c r="D25" s="147" t="s">
        <v>334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0.09442724458204334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0.22093023359775543</v>
      </c>
      <c r="AB25" s="234" t="s">
        <v>26</v>
      </c>
      <c r="AC25" s="131" t="s">
        <v>510</v>
      </c>
    </row>
    <row r="26" spans="2:29" s="63" customFormat="1" ht="33.75" customHeight="1">
      <c r="B26" s="306"/>
      <c r="C26" s="137">
        <v>14</v>
      </c>
      <c r="D26" s="147" t="s">
        <v>478</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0.46923076923076923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0.7037037014961243</v>
      </c>
      <c r="AB26" s="234" t="s">
        <v>26</v>
      </c>
      <c r="AC26" s="131" t="s">
        <v>510</v>
      </c>
    </row>
    <row r="27" spans="2:29" s="63" customFormat="1" ht="33.75" customHeight="1">
      <c r="B27" s="306"/>
      <c r="C27" s="137">
        <v>15</v>
      </c>
      <c r="D27" s="147" t="s">
        <v>465</v>
      </c>
      <c r="E27" s="85"/>
      <c r="F27" s="85"/>
      <c r="G27" s="121">
        <f>IF(VLOOKUP('Hide - Control'!A$3,'All practice data'!A:CA,C27+4,FALSE)=" "," ",VLOOKUP('Hide - Control'!A$3,'All practice data'!A:CA,C27+4,FALSE))</f>
        <v>14</v>
      </c>
      <c r="H27" s="122">
        <f>IF(VLOOKUP('Hide - Control'!A$3,'All practice data'!A:CA,C27+30,FALSE)=" "," ",VLOOKUP('Hide - Control'!A$3,'All practice data'!A:CA,C27+30,FALSE))</f>
        <v>638.1039197812215</v>
      </c>
      <c r="I27" s="123">
        <f>IF(LEFT(G27,1)=" "," n/a",IF(G27&lt;5,100000*VLOOKUP(G27,'Hide - Calculation'!AQ:AR,2,FALSE)/$E$8,100000*(G27*(1-1/(9*G27)-1.96/(3*SQRT(G27)))^3)/$E$8))</f>
        <v>348.56156110958074</v>
      </c>
      <c r="J27" s="123">
        <f>IF(LEFT(G27,1)=" "," n/a",IF(G27&lt;5,100000*VLOOKUP(G27,'Hide - Calculation'!AQ:AS,3,FALSE)/$E$8,100000*((G27+1)*(1-1/(9*(G27+1))+1.96/(3*SQRT(G27+1)))^3)/$E$8))</f>
        <v>1070.7012710766978</v>
      </c>
      <c r="K27" s="122">
        <f>IF('Hide - Calculation'!N21="","",'Hide - Calculation'!N21)</f>
        <v>616.8606499635307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1103.818603515625</v>
      </c>
      <c r="AB27" s="234" t="s">
        <v>26</v>
      </c>
      <c r="AC27" s="131" t="s">
        <v>510</v>
      </c>
    </row>
    <row r="28" spans="2:29" s="63" customFormat="1" ht="33.75" customHeight="1">
      <c r="B28" s="306"/>
      <c r="C28" s="137">
        <v>16</v>
      </c>
      <c r="D28" s="147" t="s">
        <v>466</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343.49693595745873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929.8001098632812</v>
      </c>
      <c r="AB28" s="234" t="s">
        <v>26</v>
      </c>
      <c r="AC28" s="131" t="s">
        <v>510</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97.87480752326864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255.10203552246094</v>
      </c>
      <c r="AB29" s="234" t="s">
        <v>26</v>
      </c>
      <c r="AC29" s="131" t="s">
        <v>510</v>
      </c>
    </row>
    <row r="30" spans="2:29" s="63" customFormat="1" ht="33.75" customHeight="1" thickBot="1">
      <c r="B30" s="309"/>
      <c r="C30" s="180">
        <v>18</v>
      </c>
      <c r="D30" s="181" t="s">
        <v>468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436.0727889332893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1000</v>
      </c>
      <c r="AB30" s="235" t="s">
        <v>26</v>
      </c>
      <c r="AC30" s="189" t="s">
        <v>510</v>
      </c>
    </row>
    <row r="31" spans="2:29" s="63" customFormat="1" ht="33.75" customHeight="1">
      <c r="B31" s="304" t="s">
        <v>336</v>
      </c>
      <c r="C31" s="163">
        <v>19</v>
      </c>
      <c r="D31" s="164" t="s">
        <v>340</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638.1039197812215</v>
      </c>
      <c r="I31" s="168">
        <f>IF(LEFT(G31,1)=" "," n/a",IF(G31&lt;5,100000*VLOOKUP(G31,'Hide - Calculation'!AQ:AR,2,FALSE)/$E$8,100000*(G31*(1-1/(9*G31)-1.96/(3*SQRT(G31)))^3)/$E$8))</f>
        <v>348.56156110958074</v>
      </c>
      <c r="J31" s="168">
        <f>IF(LEFT(G31,1)=" "," n/a",IF(G31&lt;5,100000*VLOOKUP(G31,'Hide - Calculation'!AQ:AS,3,FALSE)/$E$8,100000*((G31+1)*(1-1/(9*(G31+1))+1.96/(3*SQRT(G31+1)))^3)/$E$8))</f>
        <v>1070.7012710766978</v>
      </c>
      <c r="K31" s="167">
        <f>IF('Hide - Calculation'!N25="","",'Hide - Calculation'!N25)</f>
        <v>673.278930733313</v>
      </c>
      <c r="L31" s="169">
        <f>'Hide - Calculation'!O25</f>
        <v>562.6134400960308</v>
      </c>
      <c r="M31" s="170">
        <f>IF(ISBLANK('Hide - Calculation'!K25),"",'Hide - Calculation'!U25)</f>
        <v>356.71820068359375</v>
      </c>
      <c r="N31" s="171"/>
      <c r="O31" s="172"/>
      <c r="P31" s="172"/>
      <c r="Q31" s="172"/>
      <c r="R31" s="173"/>
      <c r="S31" s="173"/>
      <c r="T31" s="173"/>
      <c r="U31" s="173"/>
      <c r="V31" s="173"/>
      <c r="W31" s="173"/>
      <c r="X31" s="173"/>
      <c r="Y31" s="173"/>
      <c r="Z31" s="174"/>
      <c r="AA31" s="170">
        <f>IF(ISBLANK('Hide - Calculation'!K25),"",'Hide - Calculation'!T25)</f>
        <v>1089.211669921875</v>
      </c>
      <c r="AB31" s="233" t="s">
        <v>47</v>
      </c>
      <c r="AC31" s="175" t="s">
        <v>510</v>
      </c>
    </row>
    <row r="32" spans="2:29" s="63" customFormat="1" ht="33.75" customHeight="1">
      <c r="B32" s="305"/>
      <c r="C32" s="137">
        <v>20</v>
      </c>
      <c r="D32" s="132" t="s">
        <v>341</v>
      </c>
      <c r="E32" s="85"/>
      <c r="F32" s="85"/>
      <c r="G32" s="121">
        <f>IF(VLOOKUP('Hide - Control'!A$3,'All practice data'!A:CA,C32+4,FALSE)=" "," ",VLOOKUP('Hide - Control'!A$3,'All practice data'!A:CA,C32+4,FALSE))</f>
        <v>15</v>
      </c>
      <c r="H32" s="122">
        <f>IF(VLOOKUP('Hide - Control'!A$3,'All practice data'!A:CA,C32+30,FALSE)=" "," ",VLOOKUP('Hide - Control'!A$3,'All practice data'!A:CA,C32+30,FALSE))</f>
        <v>683.6827711941659</v>
      </c>
      <c r="I32" s="123">
        <f>IF(LEFT(G32,1)=" "," n/a",IF(G32&lt;5,100000*VLOOKUP(G32,'Hide - Calculation'!AQ:AR,2,FALSE)/$E$8,100000*(G32*(1-1/(9*G32)-1.96/(3*SQRT(G32)))^3)/$E$8))</f>
        <v>382.3687022206669</v>
      </c>
      <c r="J32" s="123">
        <f>IF(LEFT(G32,1)=" "," n/a",IF(G32&lt;5,100000*VLOOKUP(G32,'Hide - Calculation'!AQ:AS,3,FALSE)/$E$8,100000*((G32+1)*(1-1/(9*(G32+1))+1.96/(3*SQRT(G32+1)))^3)/$E$8))</f>
        <v>1127.7039192028892</v>
      </c>
      <c r="K32" s="122">
        <f>IF('Hide - Calculation'!N26="","",'Hide - Calculation'!N26)</f>
        <v>994.9566420836736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2138.540283203125</v>
      </c>
      <c r="AB32" s="234" t="s">
        <v>47</v>
      </c>
      <c r="AC32" s="131" t="s">
        <v>510</v>
      </c>
    </row>
    <row r="33" spans="2:29" s="63" customFormat="1" ht="33.75" customHeight="1">
      <c r="B33" s="305"/>
      <c r="C33" s="137">
        <v>21</v>
      </c>
      <c r="D33" s="132" t="s">
        <v>343</v>
      </c>
      <c r="E33" s="85"/>
      <c r="F33" s="85"/>
      <c r="G33" s="121">
        <f>IF(VLOOKUP('Hide - Control'!A$3,'All practice data'!A:CA,C33+4,FALSE)=" "," ",VLOOKUP('Hide - Control'!A$3,'All practice data'!A:CA,C33+4,FALSE))</f>
        <v>25</v>
      </c>
      <c r="H33" s="122">
        <f>IF(VLOOKUP('Hide - Control'!A$3,'All practice data'!A:CA,C33+30,FALSE)=" "," ",VLOOKUP('Hide - Control'!A$3,'All practice data'!A:CA,C33+30,FALSE))</f>
        <v>1139.47128532361</v>
      </c>
      <c r="I33" s="123">
        <f>IF(LEFT(G33,1)=" "," n/a",IF(G33&lt;5,100000*VLOOKUP(G33,'Hide - Calculation'!AQ:AR,2,FALSE)/$E$8,100000*(G33*(1-1/(9*G33)-1.96/(3*SQRT(G33)))^3)/$E$8))</f>
        <v>737.198323498555</v>
      </c>
      <c r="J33" s="123">
        <f>IF(LEFT(G33,1)=" "," n/a",IF(G33&lt;5,100000*VLOOKUP(G33,'Hide - Calculation'!AQ:AS,3,FALSE)/$E$8,100000*((G33+1)*(1-1/(9*(G33+1))+1.96/(3*SQRT(G33+1)))^3)/$E$8))</f>
        <v>1682.1642043284262</v>
      </c>
      <c r="K33" s="122">
        <f>IF('Hide - Calculation'!N27="","",'Hide - Calculation'!N27)</f>
        <v>1616.8045433859695</v>
      </c>
      <c r="L33" s="156">
        <f>'Hide - Calculation'!O27</f>
        <v>1059.3522061277838</v>
      </c>
      <c r="M33" s="148">
        <f>IF(ISBLANK('Hide - Calculation'!K27),"",'Hide - Calculation'!U27)</f>
        <v>939.5363159179688</v>
      </c>
      <c r="N33" s="86"/>
      <c r="O33" s="87"/>
      <c r="P33" s="87"/>
      <c r="Q33" s="87"/>
      <c r="R33" s="84"/>
      <c r="S33" s="84"/>
      <c r="T33" s="84"/>
      <c r="U33" s="84"/>
      <c r="V33" s="84"/>
      <c r="W33" s="84"/>
      <c r="X33" s="84"/>
      <c r="Y33" s="84"/>
      <c r="Z33" s="88"/>
      <c r="AA33" s="148">
        <f>IF(ISBLANK('Hide - Calculation'!K27),"",'Hide - Calculation'!T27)</f>
        <v>4927.9404296875</v>
      </c>
      <c r="AB33" s="234" t="s">
        <v>47</v>
      </c>
      <c r="AC33" s="131" t="s">
        <v>510</v>
      </c>
    </row>
    <row r="34" spans="2:29" s="63" customFormat="1" ht="33.75" customHeight="1">
      <c r="B34" s="305"/>
      <c r="C34" s="137">
        <v>22</v>
      </c>
      <c r="D34" s="132" t="s">
        <v>342</v>
      </c>
      <c r="E34" s="85"/>
      <c r="F34" s="85"/>
      <c r="G34" s="118">
        <f>IF(VLOOKUP('Hide - Control'!A$3,'All practice data'!A:CA,C34+4,FALSE)=" "," ",VLOOKUP('Hide - Control'!A$3,'All practice data'!A:CA,C34+4,FALSE))</f>
        <v>12</v>
      </c>
      <c r="H34" s="122">
        <f>IF(VLOOKUP('Hide - Control'!A$3,'All practice data'!A:CA,C34+30,FALSE)=" "," ",VLOOKUP('Hide - Control'!A$3,'All practice data'!A:CA,C34+30,FALSE))</f>
        <v>546.9462169553327</v>
      </c>
      <c r="I34" s="123">
        <f>IF(LEFT(G34,1)=" "," n/a",IF(G34&lt;5,100000*VLOOKUP(G34,'Hide - Calculation'!AQ:AR,2,FALSE)/$E$8,100000*(G34*(1-1/(9*G34)-1.96/(3*SQRT(G34)))^3)/$E$8))</f>
        <v>282.28940601055825</v>
      </c>
      <c r="J34" s="123">
        <f>IF(LEFT(G34,1)=" "," n/a",IF(G34&lt;5,100000*VLOOKUP(G34,'Hide - Calculation'!AQ:AS,3,FALSE)/$E$8,100000*((G34+1)*(1-1/(9*(G34+1))+1.96/(3*SQRT(G34+1)))^3)/$E$8))</f>
        <v>955.4711312720852</v>
      </c>
      <c r="K34" s="122">
        <f>IF('Hide - Calculation'!N28="","",'Hide - Calculation'!N28)</f>
        <v>808.5581232973212</v>
      </c>
      <c r="L34" s="156">
        <f>'Hide - Calculation'!O28</f>
        <v>582.9390489900089</v>
      </c>
      <c r="M34" s="148">
        <f>IF(ISBLANK('Hide - Calculation'!K28),"",'Hide - Calculation'!U28)</f>
        <v>512.2951049804688</v>
      </c>
      <c r="N34" s="86"/>
      <c r="O34" s="87"/>
      <c r="P34" s="87"/>
      <c r="Q34" s="87"/>
      <c r="R34" s="84"/>
      <c r="S34" s="84"/>
      <c r="T34" s="84"/>
      <c r="U34" s="84"/>
      <c r="V34" s="84"/>
      <c r="W34" s="84"/>
      <c r="X34" s="84"/>
      <c r="Y34" s="84"/>
      <c r="Z34" s="88"/>
      <c r="AA34" s="148">
        <f>IF(ISBLANK('Hide - Calculation'!K28),"",'Hide - Calculation'!T28)</f>
        <v>1440.576171875</v>
      </c>
      <c r="AB34" s="234" t="s">
        <v>47</v>
      </c>
      <c r="AC34" s="131" t="s">
        <v>510</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559</v>
      </c>
      <c r="C39" s="244"/>
      <c r="D39" s="244"/>
      <c r="E39" s="303" t="s">
        <v>563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323</v>
      </c>
      <c r="C4" s="79" t="s">
        <v>51</v>
      </c>
      <c r="D4" s="99">
        <v>2194</v>
      </c>
      <c r="E4" s="99">
        <v>490</v>
      </c>
      <c r="F4" s="99" t="s">
        <v>350</v>
      </c>
      <c r="G4" s="99">
        <v>20</v>
      </c>
      <c r="H4" s="99">
        <v>6</v>
      </c>
      <c r="I4" s="99">
        <v>40</v>
      </c>
      <c r="J4" s="99">
        <v>308</v>
      </c>
      <c r="K4" s="99" t="s">
        <v>562</v>
      </c>
      <c r="L4" s="99">
        <v>473</v>
      </c>
      <c r="M4" s="99">
        <v>252</v>
      </c>
      <c r="N4" s="99">
        <v>131</v>
      </c>
      <c r="O4" s="99">
        <v>44</v>
      </c>
      <c r="P4" s="159">
        <v>44</v>
      </c>
      <c r="Q4" s="99" t="s">
        <v>562</v>
      </c>
      <c r="R4" s="99" t="s">
        <v>562</v>
      </c>
      <c r="S4" s="99">
        <v>14</v>
      </c>
      <c r="T4" s="99" t="s">
        <v>562</v>
      </c>
      <c r="U4" s="99" t="s">
        <v>562</v>
      </c>
      <c r="V4" s="99" t="s">
        <v>562</v>
      </c>
      <c r="W4" s="99">
        <v>14</v>
      </c>
      <c r="X4" s="99">
        <v>15</v>
      </c>
      <c r="Y4" s="99">
        <v>25</v>
      </c>
      <c r="Z4" s="99">
        <v>12</v>
      </c>
      <c r="AA4" s="99" t="s">
        <v>562</v>
      </c>
      <c r="AB4" s="99" t="s">
        <v>562</v>
      </c>
      <c r="AC4" s="99" t="s">
        <v>562</v>
      </c>
      <c r="AD4" s="98" t="s">
        <v>326</v>
      </c>
      <c r="AE4" s="100">
        <v>0.22333637192342753</v>
      </c>
      <c r="AF4" s="100">
        <v>0.09</v>
      </c>
      <c r="AG4" s="98">
        <v>911.5770282588878</v>
      </c>
      <c r="AH4" s="98">
        <v>273.47310847766636</v>
      </c>
      <c r="AI4" s="100">
        <v>0.018000000000000002</v>
      </c>
      <c r="AJ4" s="100">
        <v>0.779747</v>
      </c>
      <c r="AK4" s="100" t="s">
        <v>562</v>
      </c>
      <c r="AL4" s="100">
        <v>0.832746</v>
      </c>
      <c r="AM4" s="100">
        <v>0.661417</v>
      </c>
      <c r="AN4" s="100">
        <v>0.693122</v>
      </c>
      <c r="AO4" s="98">
        <v>2005.4694621695533</v>
      </c>
      <c r="AP4" s="158">
        <v>0.8714370728</v>
      </c>
      <c r="AQ4" s="100" t="s">
        <v>562</v>
      </c>
      <c r="AR4" s="100" t="s">
        <v>562</v>
      </c>
      <c r="AS4" s="98">
        <v>638.1039197812215</v>
      </c>
      <c r="AT4" s="98" t="s">
        <v>562</v>
      </c>
      <c r="AU4" s="98" t="s">
        <v>562</v>
      </c>
      <c r="AV4" s="98" t="s">
        <v>562</v>
      </c>
      <c r="AW4" s="98">
        <v>638.1039197812215</v>
      </c>
      <c r="AX4" s="98">
        <v>683.6827711941659</v>
      </c>
      <c r="AY4" s="98">
        <v>1139.47128532361</v>
      </c>
      <c r="AZ4" s="98">
        <v>546.9462169553327</v>
      </c>
      <c r="BA4" s="100" t="s">
        <v>562</v>
      </c>
      <c r="BB4" s="100" t="s">
        <v>562</v>
      </c>
      <c r="BC4" s="100" t="s">
        <v>562</v>
      </c>
      <c r="BD4" s="158">
        <v>0.6331875229</v>
      </c>
      <c r="BE4" s="158">
        <v>1.169863586</v>
      </c>
      <c r="BF4" s="162">
        <v>395</v>
      </c>
      <c r="BG4" s="162" t="s">
        <v>562</v>
      </c>
      <c r="BH4" s="162">
        <v>568</v>
      </c>
      <c r="BI4" s="162">
        <v>381</v>
      </c>
      <c r="BJ4" s="162">
        <v>189</v>
      </c>
      <c r="BK4" s="97"/>
      <c r="BL4" s="97"/>
      <c r="BM4" s="97"/>
      <c r="BN4" s="97"/>
    </row>
    <row r="5" spans="1:66" ht="12.75">
      <c r="A5" s="79" t="s">
        <v>515</v>
      </c>
      <c r="B5" s="79" t="s">
        <v>284</v>
      </c>
      <c r="C5" s="79" t="s">
        <v>51</v>
      </c>
      <c r="D5" s="99">
        <v>10709</v>
      </c>
      <c r="E5" s="99">
        <v>1846</v>
      </c>
      <c r="F5" s="99" t="s">
        <v>349</v>
      </c>
      <c r="G5" s="99">
        <v>53</v>
      </c>
      <c r="H5" s="99">
        <v>22</v>
      </c>
      <c r="I5" s="99">
        <v>217</v>
      </c>
      <c r="J5" s="99">
        <v>1041</v>
      </c>
      <c r="K5" s="99">
        <v>14</v>
      </c>
      <c r="L5" s="99">
        <v>2107</v>
      </c>
      <c r="M5" s="99">
        <v>718</v>
      </c>
      <c r="N5" s="99">
        <v>372</v>
      </c>
      <c r="O5" s="99">
        <v>230</v>
      </c>
      <c r="P5" s="159">
        <v>230</v>
      </c>
      <c r="Q5" s="99">
        <v>13</v>
      </c>
      <c r="R5" s="99">
        <v>40</v>
      </c>
      <c r="S5" s="99">
        <v>87</v>
      </c>
      <c r="T5" s="99">
        <v>15</v>
      </c>
      <c r="U5" s="99">
        <v>6</v>
      </c>
      <c r="V5" s="99">
        <v>25</v>
      </c>
      <c r="W5" s="99">
        <v>66</v>
      </c>
      <c r="X5" s="99">
        <v>136</v>
      </c>
      <c r="Y5" s="99">
        <v>152</v>
      </c>
      <c r="Z5" s="99">
        <v>77</v>
      </c>
      <c r="AA5" s="99" t="s">
        <v>562</v>
      </c>
      <c r="AB5" s="99" t="s">
        <v>562</v>
      </c>
      <c r="AC5" s="99" t="s">
        <v>562</v>
      </c>
      <c r="AD5" s="98" t="s">
        <v>326</v>
      </c>
      <c r="AE5" s="100">
        <v>0.17237837333084322</v>
      </c>
      <c r="AF5" s="100">
        <v>0.14</v>
      </c>
      <c r="AG5" s="98">
        <v>494.91082267251846</v>
      </c>
      <c r="AH5" s="98">
        <v>205.43468110934728</v>
      </c>
      <c r="AI5" s="100">
        <v>0.02</v>
      </c>
      <c r="AJ5" s="100">
        <v>0.753256</v>
      </c>
      <c r="AK5" s="100">
        <v>0.636364</v>
      </c>
      <c r="AL5" s="100">
        <v>0.813514</v>
      </c>
      <c r="AM5" s="100">
        <v>0.600334</v>
      </c>
      <c r="AN5" s="100">
        <v>0.653779</v>
      </c>
      <c r="AO5" s="98">
        <v>2147.7262115977214</v>
      </c>
      <c r="AP5" s="158">
        <v>1.112310257</v>
      </c>
      <c r="AQ5" s="100">
        <v>0.05652173913043478</v>
      </c>
      <c r="AR5" s="100">
        <v>0.325</v>
      </c>
      <c r="AS5" s="98">
        <v>812.4007843869642</v>
      </c>
      <c r="AT5" s="98">
        <v>140.06910075637313</v>
      </c>
      <c r="AU5" s="98">
        <v>56.02764030254926</v>
      </c>
      <c r="AV5" s="98">
        <v>233.4485012606219</v>
      </c>
      <c r="AW5" s="98">
        <v>616.3040433280419</v>
      </c>
      <c r="AX5" s="98">
        <v>1269.959846857783</v>
      </c>
      <c r="AY5" s="98">
        <v>1419.366887664581</v>
      </c>
      <c r="AZ5" s="98">
        <v>719.0213838827154</v>
      </c>
      <c r="BA5" s="100" t="s">
        <v>562</v>
      </c>
      <c r="BB5" s="100" t="s">
        <v>562</v>
      </c>
      <c r="BC5" s="100" t="s">
        <v>562</v>
      </c>
      <c r="BD5" s="158">
        <v>0.9731934357</v>
      </c>
      <c r="BE5" s="158">
        <v>1.265733719</v>
      </c>
      <c r="BF5" s="162">
        <v>1382</v>
      </c>
      <c r="BG5" s="162">
        <v>22</v>
      </c>
      <c r="BH5" s="162">
        <v>2590</v>
      </c>
      <c r="BI5" s="162">
        <v>1196</v>
      </c>
      <c r="BJ5" s="162">
        <v>569</v>
      </c>
      <c r="BK5" s="97"/>
      <c r="BL5" s="97"/>
      <c r="BM5" s="97"/>
      <c r="BN5" s="97"/>
    </row>
    <row r="6" spans="1:66" ht="12.75">
      <c r="A6" s="79" t="s">
        <v>518</v>
      </c>
      <c r="B6" s="79" t="s">
        <v>287</v>
      </c>
      <c r="C6" s="79" t="s">
        <v>51</v>
      </c>
      <c r="D6" s="99">
        <v>4519</v>
      </c>
      <c r="E6" s="99">
        <v>1263</v>
      </c>
      <c r="F6" s="99" t="s">
        <v>348</v>
      </c>
      <c r="G6" s="99">
        <v>28</v>
      </c>
      <c r="H6" s="99">
        <v>11</v>
      </c>
      <c r="I6" s="99">
        <v>95</v>
      </c>
      <c r="J6" s="99">
        <v>649</v>
      </c>
      <c r="K6" s="99">
        <v>278</v>
      </c>
      <c r="L6" s="99">
        <v>942</v>
      </c>
      <c r="M6" s="99">
        <v>578</v>
      </c>
      <c r="N6" s="99">
        <v>293</v>
      </c>
      <c r="O6" s="99">
        <v>86</v>
      </c>
      <c r="P6" s="159">
        <v>86</v>
      </c>
      <c r="Q6" s="99">
        <v>19</v>
      </c>
      <c r="R6" s="99">
        <v>27</v>
      </c>
      <c r="S6" s="99">
        <v>31</v>
      </c>
      <c r="T6" s="99" t="s">
        <v>562</v>
      </c>
      <c r="U6" s="99" t="s">
        <v>562</v>
      </c>
      <c r="V6" s="99">
        <v>8</v>
      </c>
      <c r="W6" s="99">
        <v>22</v>
      </c>
      <c r="X6" s="99">
        <v>40</v>
      </c>
      <c r="Y6" s="99">
        <v>64</v>
      </c>
      <c r="Z6" s="99">
        <v>31</v>
      </c>
      <c r="AA6" s="99" t="s">
        <v>562</v>
      </c>
      <c r="AB6" s="99" t="s">
        <v>562</v>
      </c>
      <c r="AC6" s="99" t="s">
        <v>562</v>
      </c>
      <c r="AD6" s="98" t="s">
        <v>326</v>
      </c>
      <c r="AE6" s="100">
        <v>0.2794866120823191</v>
      </c>
      <c r="AF6" s="100">
        <v>0.11</v>
      </c>
      <c r="AG6" s="98">
        <v>619.6061075459172</v>
      </c>
      <c r="AH6" s="98">
        <v>243.41668510732464</v>
      </c>
      <c r="AI6" s="100">
        <v>0.021</v>
      </c>
      <c r="AJ6" s="100">
        <v>0.75641</v>
      </c>
      <c r="AK6" s="100">
        <v>0.817647</v>
      </c>
      <c r="AL6" s="100">
        <v>0.860274</v>
      </c>
      <c r="AM6" s="100">
        <v>0.647256</v>
      </c>
      <c r="AN6" s="100">
        <v>0.66895</v>
      </c>
      <c r="AO6" s="98">
        <v>1903.0759017481744</v>
      </c>
      <c r="AP6" s="158">
        <v>0.7568885040000001</v>
      </c>
      <c r="AQ6" s="100">
        <v>0.22093023255813954</v>
      </c>
      <c r="AR6" s="100">
        <v>0.7037037037037037</v>
      </c>
      <c r="AS6" s="98">
        <v>685.9924762115512</v>
      </c>
      <c r="AT6" s="98" t="s">
        <v>562</v>
      </c>
      <c r="AU6" s="98" t="s">
        <v>562</v>
      </c>
      <c r="AV6" s="98">
        <v>177.03031644169064</v>
      </c>
      <c r="AW6" s="98">
        <v>486.8333702146493</v>
      </c>
      <c r="AX6" s="98">
        <v>885.1515822084532</v>
      </c>
      <c r="AY6" s="98">
        <v>1416.2425315335252</v>
      </c>
      <c r="AZ6" s="98">
        <v>685.9924762115512</v>
      </c>
      <c r="BA6" s="100" t="s">
        <v>562</v>
      </c>
      <c r="BB6" s="100" t="s">
        <v>562</v>
      </c>
      <c r="BC6" s="100" t="s">
        <v>562</v>
      </c>
      <c r="BD6" s="158">
        <v>0.6054131317</v>
      </c>
      <c r="BE6" s="158">
        <v>0.9347512054</v>
      </c>
      <c r="BF6" s="162">
        <v>858</v>
      </c>
      <c r="BG6" s="162">
        <v>340</v>
      </c>
      <c r="BH6" s="162">
        <v>1095</v>
      </c>
      <c r="BI6" s="162">
        <v>893</v>
      </c>
      <c r="BJ6" s="162">
        <v>438</v>
      </c>
      <c r="BK6" s="97"/>
      <c r="BL6" s="97"/>
      <c r="BM6" s="97"/>
      <c r="BN6" s="97"/>
    </row>
    <row r="7" spans="1:66" ht="12.75">
      <c r="A7" s="79" t="s">
        <v>532</v>
      </c>
      <c r="B7" s="79" t="s">
        <v>301</v>
      </c>
      <c r="C7" s="79" t="s">
        <v>51</v>
      </c>
      <c r="D7" s="99">
        <v>3270</v>
      </c>
      <c r="E7" s="99">
        <v>715</v>
      </c>
      <c r="F7" s="99" t="s">
        <v>350</v>
      </c>
      <c r="G7" s="99">
        <v>24</v>
      </c>
      <c r="H7" s="99" t="s">
        <v>562</v>
      </c>
      <c r="I7" s="99">
        <v>64</v>
      </c>
      <c r="J7" s="99">
        <v>436</v>
      </c>
      <c r="K7" s="99">
        <v>6</v>
      </c>
      <c r="L7" s="99">
        <v>676</v>
      </c>
      <c r="M7" s="99">
        <v>339</v>
      </c>
      <c r="N7" s="99">
        <v>181</v>
      </c>
      <c r="O7" s="99">
        <v>134</v>
      </c>
      <c r="P7" s="159">
        <v>134</v>
      </c>
      <c r="Q7" s="99">
        <v>10</v>
      </c>
      <c r="R7" s="99">
        <v>16</v>
      </c>
      <c r="S7" s="99">
        <v>15</v>
      </c>
      <c r="T7" s="99">
        <v>25</v>
      </c>
      <c r="U7" s="99" t="s">
        <v>562</v>
      </c>
      <c r="V7" s="99">
        <v>25</v>
      </c>
      <c r="W7" s="99">
        <v>27</v>
      </c>
      <c r="X7" s="99">
        <v>47</v>
      </c>
      <c r="Y7" s="99">
        <v>61</v>
      </c>
      <c r="Z7" s="99">
        <v>20</v>
      </c>
      <c r="AA7" s="99" t="s">
        <v>562</v>
      </c>
      <c r="AB7" s="99" t="s">
        <v>562</v>
      </c>
      <c r="AC7" s="99" t="s">
        <v>562</v>
      </c>
      <c r="AD7" s="98" t="s">
        <v>326</v>
      </c>
      <c r="AE7" s="100">
        <v>0.21865443425076453</v>
      </c>
      <c r="AF7" s="100">
        <v>0.08</v>
      </c>
      <c r="AG7" s="98">
        <v>733.9449541284404</v>
      </c>
      <c r="AH7" s="98" t="s">
        <v>562</v>
      </c>
      <c r="AI7" s="100">
        <v>0.02</v>
      </c>
      <c r="AJ7" s="100">
        <v>0.792727</v>
      </c>
      <c r="AK7" s="100">
        <v>0.857143</v>
      </c>
      <c r="AL7" s="100">
        <v>0.821385</v>
      </c>
      <c r="AM7" s="100">
        <v>0.684848</v>
      </c>
      <c r="AN7" s="100">
        <v>0.729839</v>
      </c>
      <c r="AO7" s="98">
        <v>4097.859327217126</v>
      </c>
      <c r="AP7" s="158">
        <v>1.825828094</v>
      </c>
      <c r="AQ7" s="100">
        <v>0.07462686567164178</v>
      </c>
      <c r="AR7" s="100">
        <v>0.625</v>
      </c>
      <c r="AS7" s="98">
        <v>458.7155963302752</v>
      </c>
      <c r="AT7" s="98">
        <v>764.525993883792</v>
      </c>
      <c r="AU7" s="98" t="s">
        <v>562</v>
      </c>
      <c r="AV7" s="98">
        <v>764.525993883792</v>
      </c>
      <c r="AW7" s="98">
        <v>825.6880733944954</v>
      </c>
      <c r="AX7" s="98">
        <v>1437.308868501529</v>
      </c>
      <c r="AY7" s="98">
        <v>1865.4434250764525</v>
      </c>
      <c r="AZ7" s="98">
        <v>611.6207951070336</v>
      </c>
      <c r="BA7" s="100" t="s">
        <v>562</v>
      </c>
      <c r="BB7" s="100" t="s">
        <v>562</v>
      </c>
      <c r="BC7" s="100" t="s">
        <v>562</v>
      </c>
      <c r="BD7" s="158">
        <v>1.529788513</v>
      </c>
      <c r="BE7" s="158">
        <v>2.162442627</v>
      </c>
      <c r="BF7" s="162">
        <v>550</v>
      </c>
      <c r="BG7" s="162">
        <v>7</v>
      </c>
      <c r="BH7" s="162">
        <v>823</v>
      </c>
      <c r="BI7" s="162">
        <v>495</v>
      </c>
      <c r="BJ7" s="162">
        <v>248</v>
      </c>
      <c r="BK7" s="97"/>
      <c r="BL7" s="97"/>
      <c r="BM7" s="97"/>
      <c r="BN7" s="97"/>
    </row>
    <row r="8" spans="1:66" ht="12.75">
      <c r="A8" s="79" t="s">
        <v>547</v>
      </c>
      <c r="B8" s="79" t="s">
        <v>318</v>
      </c>
      <c r="C8" s="79" t="s">
        <v>51</v>
      </c>
      <c r="D8" s="99">
        <v>5553</v>
      </c>
      <c r="E8" s="99">
        <v>1093</v>
      </c>
      <c r="F8" s="99" t="s">
        <v>350</v>
      </c>
      <c r="G8" s="99">
        <v>22</v>
      </c>
      <c r="H8" s="99">
        <v>10</v>
      </c>
      <c r="I8" s="99">
        <v>127</v>
      </c>
      <c r="J8" s="99">
        <v>654</v>
      </c>
      <c r="K8" s="99">
        <v>7</v>
      </c>
      <c r="L8" s="99">
        <v>1197</v>
      </c>
      <c r="M8" s="99">
        <v>542</v>
      </c>
      <c r="N8" s="99">
        <v>280</v>
      </c>
      <c r="O8" s="99">
        <v>190</v>
      </c>
      <c r="P8" s="159">
        <v>190</v>
      </c>
      <c r="Q8" s="99">
        <v>15</v>
      </c>
      <c r="R8" s="99">
        <v>23</v>
      </c>
      <c r="S8" s="99">
        <v>38</v>
      </c>
      <c r="T8" s="99">
        <v>31</v>
      </c>
      <c r="U8" s="99" t="s">
        <v>562</v>
      </c>
      <c r="V8" s="99">
        <v>35</v>
      </c>
      <c r="W8" s="99">
        <v>45</v>
      </c>
      <c r="X8" s="99">
        <v>36</v>
      </c>
      <c r="Y8" s="99">
        <v>79</v>
      </c>
      <c r="Z8" s="99">
        <v>32</v>
      </c>
      <c r="AA8" s="99" t="s">
        <v>562</v>
      </c>
      <c r="AB8" s="99" t="s">
        <v>562</v>
      </c>
      <c r="AC8" s="99" t="s">
        <v>562</v>
      </c>
      <c r="AD8" s="98" t="s">
        <v>326</v>
      </c>
      <c r="AE8" s="100">
        <v>0.1968305420493427</v>
      </c>
      <c r="AF8" s="100">
        <v>0.06</v>
      </c>
      <c r="AG8" s="98">
        <v>396.1822438321628</v>
      </c>
      <c r="AH8" s="98">
        <v>180.08283810552854</v>
      </c>
      <c r="AI8" s="100">
        <v>0.023</v>
      </c>
      <c r="AJ8" s="100">
        <v>0.748284</v>
      </c>
      <c r="AK8" s="100">
        <v>0.583333</v>
      </c>
      <c r="AL8" s="100">
        <v>0.819302</v>
      </c>
      <c r="AM8" s="100">
        <v>0.652226</v>
      </c>
      <c r="AN8" s="100">
        <v>0.681265</v>
      </c>
      <c r="AO8" s="98">
        <v>3421.5739240050425</v>
      </c>
      <c r="AP8" s="158">
        <v>1.610946503</v>
      </c>
      <c r="AQ8" s="100">
        <v>0.07894736842105263</v>
      </c>
      <c r="AR8" s="100">
        <v>0.6521739130434783</v>
      </c>
      <c r="AS8" s="98">
        <v>684.3147848010085</v>
      </c>
      <c r="AT8" s="98">
        <v>558.2567981271385</v>
      </c>
      <c r="AU8" s="98" t="s">
        <v>562</v>
      </c>
      <c r="AV8" s="98">
        <v>630.2899333693499</v>
      </c>
      <c r="AW8" s="98">
        <v>810.3727714748784</v>
      </c>
      <c r="AX8" s="98">
        <v>648.2982171799027</v>
      </c>
      <c r="AY8" s="98">
        <v>1422.6544210336756</v>
      </c>
      <c r="AZ8" s="98">
        <v>576.2650819376913</v>
      </c>
      <c r="BA8" s="100" t="s">
        <v>562</v>
      </c>
      <c r="BB8" s="100" t="s">
        <v>562</v>
      </c>
      <c r="BC8" s="100" t="s">
        <v>562</v>
      </c>
      <c r="BD8" s="158">
        <v>1.390018005</v>
      </c>
      <c r="BE8" s="158">
        <v>1.857010956</v>
      </c>
      <c r="BF8" s="162">
        <v>874</v>
      </c>
      <c r="BG8" s="162">
        <v>12</v>
      </c>
      <c r="BH8" s="162">
        <v>1461</v>
      </c>
      <c r="BI8" s="162">
        <v>831</v>
      </c>
      <c r="BJ8" s="162">
        <v>411</v>
      </c>
      <c r="BK8" s="97"/>
      <c r="BL8" s="97"/>
      <c r="BM8" s="97"/>
      <c r="BN8" s="97"/>
    </row>
    <row r="9" spans="1:66" ht="12.75">
      <c r="A9" s="79" t="s">
        <v>546</v>
      </c>
      <c r="B9" s="79" t="s">
        <v>315</v>
      </c>
      <c r="C9" s="79" t="s">
        <v>51</v>
      </c>
      <c r="D9" s="99">
        <v>16763</v>
      </c>
      <c r="E9" s="99">
        <v>2188</v>
      </c>
      <c r="F9" s="99" t="s">
        <v>348</v>
      </c>
      <c r="G9" s="99">
        <v>68</v>
      </c>
      <c r="H9" s="99">
        <v>34</v>
      </c>
      <c r="I9" s="99">
        <v>266</v>
      </c>
      <c r="J9" s="99">
        <v>1685</v>
      </c>
      <c r="K9" s="99">
        <v>25</v>
      </c>
      <c r="L9" s="99">
        <v>3662</v>
      </c>
      <c r="M9" s="99">
        <v>1162</v>
      </c>
      <c r="N9" s="99">
        <v>614</v>
      </c>
      <c r="O9" s="99">
        <v>344</v>
      </c>
      <c r="P9" s="159">
        <v>344</v>
      </c>
      <c r="Q9" s="99">
        <v>35</v>
      </c>
      <c r="R9" s="99">
        <v>66</v>
      </c>
      <c r="S9" s="99">
        <v>106</v>
      </c>
      <c r="T9" s="99">
        <v>37</v>
      </c>
      <c r="U9" s="99">
        <v>11</v>
      </c>
      <c r="V9" s="99">
        <v>54</v>
      </c>
      <c r="W9" s="99">
        <v>89</v>
      </c>
      <c r="X9" s="99">
        <v>156</v>
      </c>
      <c r="Y9" s="99">
        <v>228</v>
      </c>
      <c r="Z9" s="99">
        <v>153</v>
      </c>
      <c r="AA9" s="99" t="s">
        <v>562</v>
      </c>
      <c r="AB9" s="99" t="s">
        <v>562</v>
      </c>
      <c r="AC9" s="99" t="s">
        <v>562</v>
      </c>
      <c r="AD9" s="98" t="s">
        <v>326</v>
      </c>
      <c r="AE9" s="100">
        <v>0.13052556225019388</v>
      </c>
      <c r="AF9" s="100">
        <v>0.11</v>
      </c>
      <c r="AG9" s="98">
        <v>405.6553122949353</v>
      </c>
      <c r="AH9" s="98">
        <v>202.82765614746765</v>
      </c>
      <c r="AI9" s="100">
        <v>0.016</v>
      </c>
      <c r="AJ9" s="100">
        <v>0.724108</v>
      </c>
      <c r="AK9" s="100">
        <v>0.735294</v>
      </c>
      <c r="AL9" s="100">
        <v>0.818324</v>
      </c>
      <c r="AM9" s="100">
        <v>0.602697</v>
      </c>
      <c r="AN9" s="100">
        <v>0.646316</v>
      </c>
      <c r="AO9" s="98">
        <v>2052.1386386684962</v>
      </c>
      <c r="AP9" s="158">
        <v>1.134759979</v>
      </c>
      <c r="AQ9" s="100">
        <v>0.10174418604651163</v>
      </c>
      <c r="AR9" s="100">
        <v>0.5303030303030303</v>
      </c>
      <c r="AS9" s="98">
        <v>632.3450456362226</v>
      </c>
      <c r="AT9" s="98">
        <v>220.72421404283241</v>
      </c>
      <c r="AU9" s="98">
        <v>65.62071228300424</v>
      </c>
      <c r="AV9" s="98">
        <v>322.1380421165662</v>
      </c>
      <c r="AW9" s="98">
        <v>530.9312175624888</v>
      </c>
      <c r="AX9" s="98">
        <v>930.6210105589691</v>
      </c>
      <c r="AY9" s="98">
        <v>1360.1384000477242</v>
      </c>
      <c r="AZ9" s="98">
        <v>912.7244526636043</v>
      </c>
      <c r="BA9" s="100" t="s">
        <v>562</v>
      </c>
      <c r="BB9" s="100" t="s">
        <v>562</v>
      </c>
      <c r="BC9" s="100" t="s">
        <v>562</v>
      </c>
      <c r="BD9" s="158">
        <v>1.01799942</v>
      </c>
      <c r="BE9" s="158">
        <v>1.261240921</v>
      </c>
      <c r="BF9" s="162">
        <v>2327</v>
      </c>
      <c r="BG9" s="162">
        <v>34</v>
      </c>
      <c r="BH9" s="162">
        <v>4475</v>
      </c>
      <c r="BI9" s="162">
        <v>1928</v>
      </c>
      <c r="BJ9" s="162">
        <v>950</v>
      </c>
      <c r="BK9" s="97"/>
      <c r="BL9" s="97"/>
      <c r="BM9" s="97"/>
      <c r="BN9" s="97"/>
    </row>
    <row r="10" spans="1:66" ht="12.75">
      <c r="A10" s="79" t="s">
        <v>529</v>
      </c>
      <c r="B10" s="79" t="s">
        <v>298</v>
      </c>
      <c r="C10" s="79" t="s">
        <v>51</v>
      </c>
      <c r="D10" s="99">
        <v>8806</v>
      </c>
      <c r="E10" s="99">
        <v>1886</v>
      </c>
      <c r="F10" s="99" t="s">
        <v>348</v>
      </c>
      <c r="G10" s="99">
        <v>65</v>
      </c>
      <c r="H10" s="99">
        <v>32</v>
      </c>
      <c r="I10" s="99">
        <v>208</v>
      </c>
      <c r="J10" s="99">
        <v>1063</v>
      </c>
      <c r="K10" s="99">
        <v>9</v>
      </c>
      <c r="L10" s="99">
        <v>1784</v>
      </c>
      <c r="M10" s="99">
        <v>802</v>
      </c>
      <c r="N10" s="99">
        <v>414</v>
      </c>
      <c r="O10" s="99">
        <v>263</v>
      </c>
      <c r="P10" s="159">
        <v>263</v>
      </c>
      <c r="Q10" s="99">
        <v>18</v>
      </c>
      <c r="R10" s="99">
        <v>41</v>
      </c>
      <c r="S10" s="99">
        <v>81</v>
      </c>
      <c r="T10" s="99">
        <v>57</v>
      </c>
      <c r="U10" s="99" t="s">
        <v>562</v>
      </c>
      <c r="V10" s="99">
        <v>44</v>
      </c>
      <c r="W10" s="99">
        <v>76</v>
      </c>
      <c r="X10" s="99">
        <v>63</v>
      </c>
      <c r="Y10" s="99">
        <v>108</v>
      </c>
      <c r="Z10" s="99">
        <v>88</v>
      </c>
      <c r="AA10" s="99" t="s">
        <v>562</v>
      </c>
      <c r="AB10" s="99" t="s">
        <v>562</v>
      </c>
      <c r="AC10" s="99" t="s">
        <v>562</v>
      </c>
      <c r="AD10" s="98" t="s">
        <v>326</v>
      </c>
      <c r="AE10" s="100">
        <v>0.21417215534862594</v>
      </c>
      <c r="AF10" s="100">
        <v>0.09</v>
      </c>
      <c r="AG10" s="98">
        <v>738.1330910742676</v>
      </c>
      <c r="AH10" s="98">
        <v>363.38859868271635</v>
      </c>
      <c r="AI10" s="100">
        <v>0.024</v>
      </c>
      <c r="AJ10" s="100">
        <v>0.778755</v>
      </c>
      <c r="AK10" s="100">
        <v>0.5</v>
      </c>
      <c r="AL10" s="100">
        <v>0.80288</v>
      </c>
      <c r="AM10" s="100">
        <v>0.656301</v>
      </c>
      <c r="AN10" s="100">
        <v>0.678689</v>
      </c>
      <c r="AO10" s="98">
        <v>2986.600045423575</v>
      </c>
      <c r="AP10" s="158">
        <v>1.3742253109999998</v>
      </c>
      <c r="AQ10" s="100">
        <v>0.06844106463878327</v>
      </c>
      <c r="AR10" s="100">
        <v>0.43902439024390244</v>
      </c>
      <c r="AS10" s="98">
        <v>919.8273904156257</v>
      </c>
      <c r="AT10" s="98">
        <v>647.2859414035885</v>
      </c>
      <c r="AU10" s="98" t="s">
        <v>562</v>
      </c>
      <c r="AV10" s="98">
        <v>499.65932318873496</v>
      </c>
      <c r="AW10" s="98">
        <v>863.0479218714513</v>
      </c>
      <c r="AX10" s="98">
        <v>715.4213036565977</v>
      </c>
      <c r="AY10" s="98">
        <v>1226.4365205541676</v>
      </c>
      <c r="AZ10" s="98">
        <v>999.3186463774699</v>
      </c>
      <c r="BA10" s="100" t="s">
        <v>562</v>
      </c>
      <c r="BB10" s="100" t="s">
        <v>562</v>
      </c>
      <c r="BC10" s="100" t="s">
        <v>562</v>
      </c>
      <c r="BD10" s="158">
        <v>1.213144226</v>
      </c>
      <c r="BE10" s="158">
        <v>1.550742493</v>
      </c>
      <c r="BF10" s="162">
        <v>1365</v>
      </c>
      <c r="BG10" s="162">
        <v>18</v>
      </c>
      <c r="BH10" s="162">
        <v>2222</v>
      </c>
      <c r="BI10" s="162">
        <v>1222</v>
      </c>
      <c r="BJ10" s="162">
        <v>610</v>
      </c>
      <c r="BK10" s="97"/>
      <c r="BL10" s="97"/>
      <c r="BM10" s="97"/>
      <c r="BN10" s="97"/>
    </row>
    <row r="11" spans="1:66" ht="12.75">
      <c r="A11" s="79" t="s">
        <v>537</v>
      </c>
      <c r="B11" s="79" t="s">
        <v>306</v>
      </c>
      <c r="C11" s="79" t="s">
        <v>51</v>
      </c>
      <c r="D11" s="99">
        <v>2523</v>
      </c>
      <c r="E11" s="99">
        <v>699</v>
      </c>
      <c r="F11" s="99" t="s">
        <v>348</v>
      </c>
      <c r="G11" s="99">
        <v>15</v>
      </c>
      <c r="H11" s="99">
        <v>11</v>
      </c>
      <c r="I11" s="99">
        <v>49</v>
      </c>
      <c r="J11" s="99">
        <v>325</v>
      </c>
      <c r="K11" s="99" t="s">
        <v>562</v>
      </c>
      <c r="L11" s="99">
        <v>443</v>
      </c>
      <c r="M11" s="99">
        <v>256</v>
      </c>
      <c r="N11" s="99">
        <v>124</v>
      </c>
      <c r="O11" s="99">
        <v>27</v>
      </c>
      <c r="P11" s="159">
        <v>27</v>
      </c>
      <c r="Q11" s="99" t="s">
        <v>562</v>
      </c>
      <c r="R11" s="99">
        <v>12</v>
      </c>
      <c r="S11" s="99" t="s">
        <v>562</v>
      </c>
      <c r="T11" s="99">
        <v>6</v>
      </c>
      <c r="U11" s="99" t="s">
        <v>562</v>
      </c>
      <c r="V11" s="99" t="s">
        <v>562</v>
      </c>
      <c r="W11" s="99">
        <v>9</v>
      </c>
      <c r="X11" s="99">
        <v>21</v>
      </c>
      <c r="Y11" s="99">
        <v>42</v>
      </c>
      <c r="Z11" s="99">
        <v>21</v>
      </c>
      <c r="AA11" s="99" t="s">
        <v>562</v>
      </c>
      <c r="AB11" s="99" t="s">
        <v>562</v>
      </c>
      <c r="AC11" s="99" t="s">
        <v>562</v>
      </c>
      <c r="AD11" s="98" t="s">
        <v>326</v>
      </c>
      <c r="AE11" s="100">
        <v>0.27705112960760997</v>
      </c>
      <c r="AF11" s="100">
        <v>0.11</v>
      </c>
      <c r="AG11" s="98">
        <v>594.5303210463734</v>
      </c>
      <c r="AH11" s="98">
        <v>435.9889021006738</v>
      </c>
      <c r="AI11" s="100">
        <v>0.019</v>
      </c>
      <c r="AJ11" s="100">
        <v>0.7287</v>
      </c>
      <c r="AK11" s="100" t="s">
        <v>562</v>
      </c>
      <c r="AL11" s="100">
        <v>0.759863</v>
      </c>
      <c r="AM11" s="100">
        <v>0.613909</v>
      </c>
      <c r="AN11" s="100">
        <v>0.613861</v>
      </c>
      <c r="AO11" s="98">
        <v>1070.154577883472</v>
      </c>
      <c r="AP11" s="158">
        <v>0.4239912796</v>
      </c>
      <c r="AQ11" s="100" t="s">
        <v>562</v>
      </c>
      <c r="AR11" s="100" t="s">
        <v>562</v>
      </c>
      <c r="AS11" s="98" t="s">
        <v>562</v>
      </c>
      <c r="AT11" s="98">
        <v>237.81212841854935</v>
      </c>
      <c r="AU11" s="98" t="s">
        <v>562</v>
      </c>
      <c r="AV11" s="98" t="s">
        <v>562</v>
      </c>
      <c r="AW11" s="98">
        <v>356.718192627824</v>
      </c>
      <c r="AX11" s="98">
        <v>832.3424494649228</v>
      </c>
      <c r="AY11" s="98">
        <v>1664.6848989298455</v>
      </c>
      <c r="AZ11" s="98">
        <v>832.3424494649228</v>
      </c>
      <c r="BA11" s="100" t="s">
        <v>562</v>
      </c>
      <c r="BB11" s="100" t="s">
        <v>562</v>
      </c>
      <c r="BC11" s="100" t="s">
        <v>562</v>
      </c>
      <c r="BD11" s="158">
        <v>0.2794129181</v>
      </c>
      <c r="BE11" s="158">
        <v>0.6168850327</v>
      </c>
      <c r="BF11" s="162">
        <v>446</v>
      </c>
      <c r="BG11" s="162" t="s">
        <v>562</v>
      </c>
      <c r="BH11" s="162">
        <v>583</v>
      </c>
      <c r="BI11" s="162">
        <v>417</v>
      </c>
      <c r="BJ11" s="162">
        <v>202</v>
      </c>
      <c r="BK11" s="97"/>
      <c r="BL11" s="97"/>
      <c r="BM11" s="97"/>
      <c r="BN11" s="97"/>
    </row>
    <row r="12" spans="1:66" ht="12.75">
      <c r="A12" s="79" t="s">
        <v>554</v>
      </c>
      <c r="B12" s="79" t="s">
        <v>509</v>
      </c>
      <c r="C12" s="79" t="s">
        <v>51</v>
      </c>
      <c r="D12" s="99">
        <v>4800</v>
      </c>
      <c r="E12" s="99">
        <v>696</v>
      </c>
      <c r="F12" s="99" t="s">
        <v>347</v>
      </c>
      <c r="G12" s="99">
        <v>12</v>
      </c>
      <c r="H12" s="99">
        <v>12</v>
      </c>
      <c r="I12" s="99">
        <v>82</v>
      </c>
      <c r="J12" s="99">
        <v>278</v>
      </c>
      <c r="K12" s="99" t="s">
        <v>562</v>
      </c>
      <c r="L12" s="99">
        <v>765</v>
      </c>
      <c r="M12" s="99">
        <v>241</v>
      </c>
      <c r="N12" s="99">
        <v>116</v>
      </c>
      <c r="O12" s="99">
        <v>89</v>
      </c>
      <c r="P12" s="159">
        <v>89</v>
      </c>
      <c r="Q12" s="99">
        <v>10</v>
      </c>
      <c r="R12" s="99">
        <v>21</v>
      </c>
      <c r="S12" s="99">
        <v>19</v>
      </c>
      <c r="T12" s="99">
        <v>16</v>
      </c>
      <c r="U12" s="99" t="s">
        <v>562</v>
      </c>
      <c r="V12" s="99">
        <v>13</v>
      </c>
      <c r="W12" s="99">
        <v>23</v>
      </c>
      <c r="X12" s="99">
        <v>41</v>
      </c>
      <c r="Y12" s="99">
        <v>63</v>
      </c>
      <c r="Z12" s="99">
        <v>30</v>
      </c>
      <c r="AA12" s="99" t="s">
        <v>562</v>
      </c>
      <c r="AB12" s="99" t="s">
        <v>562</v>
      </c>
      <c r="AC12" s="99" t="s">
        <v>562</v>
      </c>
      <c r="AD12" s="98" t="s">
        <v>326</v>
      </c>
      <c r="AE12" s="100">
        <v>0.145</v>
      </c>
      <c r="AF12" s="100">
        <v>0.24</v>
      </c>
      <c r="AG12" s="98">
        <v>250</v>
      </c>
      <c r="AH12" s="98">
        <v>250</v>
      </c>
      <c r="AI12" s="100">
        <v>0.017</v>
      </c>
      <c r="AJ12" s="100">
        <v>0.506375</v>
      </c>
      <c r="AK12" s="100" t="s">
        <v>562</v>
      </c>
      <c r="AL12" s="100">
        <v>0.70442</v>
      </c>
      <c r="AM12" s="100">
        <v>0.444649</v>
      </c>
      <c r="AN12" s="100">
        <v>0.460317</v>
      </c>
      <c r="AO12" s="98">
        <v>1854.1666666666667</v>
      </c>
      <c r="AP12" s="158">
        <v>1.06282074</v>
      </c>
      <c r="AQ12" s="100">
        <v>0.11235955056179775</v>
      </c>
      <c r="AR12" s="100">
        <v>0.47619047619047616</v>
      </c>
      <c r="AS12" s="98">
        <v>395.8333333333333</v>
      </c>
      <c r="AT12" s="98">
        <v>333.3333333333333</v>
      </c>
      <c r="AU12" s="98" t="s">
        <v>562</v>
      </c>
      <c r="AV12" s="98">
        <v>270.8333333333333</v>
      </c>
      <c r="AW12" s="98">
        <v>479.1666666666667</v>
      </c>
      <c r="AX12" s="98">
        <v>854.1666666666666</v>
      </c>
      <c r="AY12" s="98">
        <v>1312.5</v>
      </c>
      <c r="AZ12" s="98">
        <v>625</v>
      </c>
      <c r="BA12" s="100" t="s">
        <v>562</v>
      </c>
      <c r="BB12" s="100" t="s">
        <v>562</v>
      </c>
      <c r="BC12" s="100" t="s">
        <v>562</v>
      </c>
      <c r="BD12" s="158">
        <v>0.8535323334</v>
      </c>
      <c r="BE12" s="158">
        <v>1.3078924559999998</v>
      </c>
      <c r="BF12" s="162">
        <v>549</v>
      </c>
      <c r="BG12" s="162" t="s">
        <v>562</v>
      </c>
      <c r="BH12" s="162">
        <v>1086</v>
      </c>
      <c r="BI12" s="162">
        <v>542</v>
      </c>
      <c r="BJ12" s="162">
        <v>252</v>
      </c>
      <c r="BK12" s="97"/>
      <c r="BL12" s="97"/>
      <c r="BM12" s="97"/>
      <c r="BN12" s="97"/>
    </row>
    <row r="13" spans="1:66" ht="12.75">
      <c r="A13" s="79" t="s">
        <v>528</v>
      </c>
      <c r="B13" s="79" t="s">
        <v>297</v>
      </c>
      <c r="C13" s="79" t="s">
        <v>51</v>
      </c>
      <c r="D13" s="99">
        <v>11447</v>
      </c>
      <c r="E13" s="99">
        <v>2434</v>
      </c>
      <c r="F13" s="99" t="s">
        <v>349</v>
      </c>
      <c r="G13" s="99">
        <v>81</v>
      </c>
      <c r="H13" s="99">
        <v>31</v>
      </c>
      <c r="I13" s="99">
        <v>250</v>
      </c>
      <c r="J13" s="99">
        <v>1371</v>
      </c>
      <c r="K13" s="99">
        <v>554</v>
      </c>
      <c r="L13" s="99">
        <v>2233</v>
      </c>
      <c r="M13" s="99">
        <v>1038</v>
      </c>
      <c r="N13" s="99">
        <v>550</v>
      </c>
      <c r="O13" s="99">
        <v>275</v>
      </c>
      <c r="P13" s="159">
        <v>275</v>
      </c>
      <c r="Q13" s="99">
        <v>33</v>
      </c>
      <c r="R13" s="99">
        <v>83</v>
      </c>
      <c r="S13" s="99">
        <v>71</v>
      </c>
      <c r="T13" s="99">
        <v>18</v>
      </c>
      <c r="U13" s="99">
        <v>12</v>
      </c>
      <c r="V13" s="99">
        <v>55</v>
      </c>
      <c r="W13" s="99">
        <v>60</v>
      </c>
      <c r="X13" s="99">
        <v>107</v>
      </c>
      <c r="Y13" s="99">
        <v>184</v>
      </c>
      <c r="Z13" s="99">
        <v>92</v>
      </c>
      <c r="AA13" s="99" t="s">
        <v>562</v>
      </c>
      <c r="AB13" s="99" t="s">
        <v>562</v>
      </c>
      <c r="AC13" s="99" t="s">
        <v>562</v>
      </c>
      <c r="AD13" s="98" t="s">
        <v>326</v>
      </c>
      <c r="AE13" s="100">
        <v>0.21263213068926357</v>
      </c>
      <c r="AF13" s="100">
        <v>0.15</v>
      </c>
      <c r="AG13" s="98">
        <v>707.6089805189132</v>
      </c>
      <c r="AH13" s="98">
        <v>270.81331353192974</v>
      </c>
      <c r="AI13" s="100">
        <v>0.022000000000000002</v>
      </c>
      <c r="AJ13" s="100">
        <v>0.816557</v>
      </c>
      <c r="AK13" s="100">
        <v>0.735724</v>
      </c>
      <c r="AL13" s="100">
        <v>0.840738</v>
      </c>
      <c r="AM13" s="100">
        <v>0.651601</v>
      </c>
      <c r="AN13" s="100">
        <v>0.680693</v>
      </c>
      <c r="AO13" s="98">
        <v>2402.376168428409</v>
      </c>
      <c r="AP13" s="158">
        <v>1.12328476</v>
      </c>
      <c r="AQ13" s="100">
        <v>0.12</v>
      </c>
      <c r="AR13" s="100">
        <v>0.39759036144578314</v>
      </c>
      <c r="AS13" s="98">
        <v>620.2498471215166</v>
      </c>
      <c r="AT13" s="98">
        <v>157.24644011531404</v>
      </c>
      <c r="AU13" s="98">
        <v>104.83096007687604</v>
      </c>
      <c r="AV13" s="98">
        <v>480.4752336856818</v>
      </c>
      <c r="AW13" s="98">
        <v>524.1548003843802</v>
      </c>
      <c r="AX13" s="98">
        <v>934.7427273521447</v>
      </c>
      <c r="AY13" s="98">
        <v>1607.4080545120992</v>
      </c>
      <c r="AZ13" s="98">
        <v>803.7040272560496</v>
      </c>
      <c r="BA13" s="100" t="s">
        <v>562</v>
      </c>
      <c r="BB13" s="100" t="s">
        <v>562</v>
      </c>
      <c r="BC13" s="100" t="s">
        <v>562</v>
      </c>
      <c r="BD13" s="158">
        <v>0.9944335938000001</v>
      </c>
      <c r="BE13" s="158">
        <v>1.26419754</v>
      </c>
      <c r="BF13" s="162">
        <v>1679</v>
      </c>
      <c r="BG13" s="162">
        <v>753</v>
      </c>
      <c r="BH13" s="162">
        <v>2656</v>
      </c>
      <c r="BI13" s="162">
        <v>1593</v>
      </c>
      <c r="BJ13" s="162">
        <v>808</v>
      </c>
      <c r="BK13" s="97"/>
      <c r="BL13" s="97"/>
      <c r="BM13" s="97"/>
      <c r="BN13" s="97"/>
    </row>
    <row r="14" spans="1:66" ht="12.75">
      <c r="A14" s="79" t="s">
        <v>525</v>
      </c>
      <c r="B14" s="79" t="s">
        <v>294</v>
      </c>
      <c r="C14" s="79" t="s">
        <v>51</v>
      </c>
      <c r="D14" s="99">
        <v>6780</v>
      </c>
      <c r="E14" s="99">
        <v>1641</v>
      </c>
      <c r="F14" s="99" t="s">
        <v>350</v>
      </c>
      <c r="G14" s="99">
        <v>50</v>
      </c>
      <c r="H14" s="99">
        <v>21</v>
      </c>
      <c r="I14" s="99">
        <v>112</v>
      </c>
      <c r="J14" s="99">
        <v>909</v>
      </c>
      <c r="K14" s="99">
        <v>9</v>
      </c>
      <c r="L14" s="99">
        <v>1503</v>
      </c>
      <c r="M14" s="99">
        <v>728</v>
      </c>
      <c r="N14" s="99">
        <v>383</v>
      </c>
      <c r="O14" s="99">
        <v>209</v>
      </c>
      <c r="P14" s="159">
        <v>209</v>
      </c>
      <c r="Q14" s="99">
        <v>27</v>
      </c>
      <c r="R14" s="99">
        <v>42</v>
      </c>
      <c r="S14" s="99">
        <v>52</v>
      </c>
      <c r="T14" s="99">
        <v>50</v>
      </c>
      <c r="U14" s="99" t="s">
        <v>562</v>
      </c>
      <c r="V14" s="99">
        <v>32</v>
      </c>
      <c r="W14" s="99">
        <v>56</v>
      </c>
      <c r="X14" s="99">
        <v>48</v>
      </c>
      <c r="Y14" s="99">
        <v>92</v>
      </c>
      <c r="Z14" s="99">
        <v>45</v>
      </c>
      <c r="AA14" s="99" t="s">
        <v>562</v>
      </c>
      <c r="AB14" s="99" t="s">
        <v>562</v>
      </c>
      <c r="AC14" s="99" t="s">
        <v>562</v>
      </c>
      <c r="AD14" s="98" t="s">
        <v>326</v>
      </c>
      <c r="AE14" s="100">
        <v>0.2420353982300885</v>
      </c>
      <c r="AF14" s="100">
        <v>0.06</v>
      </c>
      <c r="AG14" s="98">
        <v>737.4631268436578</v>
      </c>
      <c r="AH14" s="98">
        <v>309.7345132743363</v>
      </c>
      <c r="AI14" s="100">
        <v>0.017</v>
      </c>
      <c r="AJ14" s="100">
        <v>0.804425</v>
      </c>
      <c r="AK14" s="100">
        <v>0.818182</v>
      </c>
      <c r="AL14" s="100">
        <v>0.907061</v>
      </c>
      <c r="AM14" s="100">
        <v>0.718657</v>
      </c>
      <c r="AN14" s="100">
        <v>0.775304</v>
      </c>
      <c r="AO14" s="98">
        <v>3082.5958702064895</v>
      </c>
      <c r="AP14" s="158">
        <v>1.3160304260000002</v>
      </c>
      <c r="AQ14" s="100">
        <v>0.1291866028708134</v>
      </c>
      <c r="AR14" s="100">
        <v>0.6428571428571429</v>
      </c>
      <c r="AS14" s="98">
        <v>766.9616519174041</v>
      </c>
      <c r="AT14" s="98">
        <v>737.4631268436578</v>
      </c>
      <c r="AU14" s="98" t="s">
        <v>562</v>
      </c>
      <c r="AV14" s="98">
        <v>471.976401179941</v>
      </c>
      <c r="AW14" s="98">
        <v>825.9587020648968</v>
      </c>
      <c r="AX14" s="98">
        <v>707.9646017699115</v>
      </c>
      <c r="AY14" s="98">
        <v>1356.9321533923303</v>
      </c>
      <c r="AZ14" s="98">
        <v>663.7168141592921</v>
      </c>
      <c r="BA14" s="100" t="s">
        <v>562</v>
      </c>
      <c r="BB14" s="100" t="s">
        <v>562</v>
      </c>
      <c r="BC14" s="100" t="s">
        <v>562</v>
      </c>
      <c r="BD14" s="158">
        <v>1.1436483</v>
      </c>
      <c r="BE14" s="158">
        <v>1.507059784</v>
      </c>
      <c r="BF14" s="162">
        <v>1130</v>
      </c>
      <c r="BG14" s="162">
        <v>11</v>
      </c>
      <c r="BH14" s="162">
        <v>1657</v>
      </c>
      <c r="BI14" s="162">
        <v>1013</v>
      </c>
      <c r="BJ14" s="162">
        <v>494</v>
      </c>
      <c r="BK14" s="97"/>
      <c r="BL14" s="97"/>
      <c r="BM14" s="97"/>
      <c r="BN14" s="97"/>
    </row>
    <row r="15" spans="1:66" ht="12.75">
      <c r="A15" s="79" t="s">
        <v>530</v>
      </c>
      <c r="B15" s="79" t="s">
        <v>299</v>
      </c>
      <c r="C15" s="79" t="s">
        <v>51</v>
      </c>
      <c r="D15" s="99">
        <v>5674</v>
      </c>
      <c r="E15" s="99">
        <v>926</v>
      </c>
      <c r="F15" s="99" t="s">
        <v>349</v>
      </c>
      <c r="G15" s="99">
        <v>27</v>
      </c>
      <c r="H15" s="99">
        <v>11</v>
      </c>
      <c r="I15" s="99">
        <v>93</v>
      </c>
      <c r="J15" s="99">
        <v>609</v>
      </c>
      <c r="K15" s="99">
        <v>608</v>
      </c>
      <c r="L15" s="99">
        <v>1053</v>
      </c>
      <c r="M15" s="99">
        <v>402</v>
      </c>
      <c r="N15" s="99">
        <v>218</v>
      </c>
      <c r="O15" s="99">
        <v>132</v>
      </c>
      <c r="P15" s="159">
        <v>132</v>
      </c>
      <c r="Q15" s="99">
        <v>9</v>
      </c>
      <c r="R15" s="99">
        <v>24</v>
      </c>
      <c r="S15" s="99">
        <v>20</v>
      </c>
      <c r="T15" s="99">
        <v>9</v>
      </c>
      <c r="U15" s="99">
        <v>8</v>
      </c>
      <c r="V15" s="99">
        <v>32</v>
      </c>
      <c r="W15" s="99">
        <v>26</v>
      </c>
      <c r="X15" s="99">
        <v>44</v>
      </c>
      <c r="Y15" s="99">
        <v>80</v>
      </c>
      <c r="Z15" s="99">
        <v>41</v>
      </c>
      <c r="AA15" s="99" t="s">
        <v>562</v>
      </c>
      <c r="AB15" s="99" t="s">
        <v>562</v>
      </c>
      <c r="AC15" s="99" t="s">
        <v>562</v>
      </c>
      <c r="AD15" s="98" t="s">
        <v>326</v>
      </c>
      <c r="AE15" s="100">
        <v>0.16320056397603103</v>
      </c>
      <c r="AF15" s="100">
        <v>0.16</v>
      </c>
      <c r="AG15" s="98">
        <v>475.8547761720127</v>
      </c>
      <c r="AH15" s="98">
        <v>193.86676066267182</v>
      </c>
      <c r="AI15" s="100">
        <v>0.016</v>
      </c>
      <c r="AJ15" s="100">
        <v>0.731971</v>
      </c>
      <c r="AK15" s="100">
        <v>0.805298</v>
      </c>
      <c r="AL15" s="100">
        <v>0.779423</v>
      </c>
      <c r="AM15" s="100">
        <v>0.520725</v>
      </c>
      <c r="AN15" s="100">
        <v>0.58445</v>
      </c>
      <c r="AO15" s="98">
        <v>2326.401127952062</v>
      </c>
      <c r="AP15" s="158">
        <v>1.210012589</v>
      </c>
      <c r="AQ15" s="100">
        <v>0.06818181818181818</v>
      </c>
      <c r="AR15" s="100">
        <v>0.375</v>
      </c>
      <c r="AS15" s="98">
        <v>352.4850193866761</v>
      </c>
      <c r="AT15" s="98">
        <v>158.61825872400422</v>
      </c>
      <c r="AU15" s="98">
        <v>140.99400775467043</v>
      </c>
      <c r="AV15" s="98">
        <v>563.9760310186817</v>
      </c>
      <c r="AW15" s="98">
        <v>458.2305252026789</v>
      </c>
      <c r="AX15" s="98">
        <v>775.4670426506873</v>
      </c>
      <c r="AY15" s="98">
        <v>1409.9400775467043</v>
      </c>
      <c r="AZ15" s="98">
        <v>722.594289742686</v>
      </c>
      <c r="BA15" s="100" t="s">
        <v>562</v>
      </c>
      <c r="BB15" s="100" t="s">
        <v>562</v>
      </c>
      <c r="BC15" s="100" t="s">
        <v>562</v>
      </c>
      <c r="BD15" s="158">
        <v>1.012407532</v>
      </c>
      <c r="BE15" s="158">
        <v>1.434920502</v>
      </c>
      <c r="BF15" s="162">
        <v>832</v>
      </c>
      <c r="BG15" s="162">
        <v>755</v>
      </c>
      <c r="BH15" s="162">
        <v>1351</v>
      </c>
      <c r="BI15" s="162">
        <v>772</v>
      </c>
      <c r="BJ15" s="162">
        <v>373</v>
      </c>
      <c r="BK15" s="97"/>
      <c r="BL15" s="97"/>
      <c r="BM15" s="97"/>
      <c r="BN15" s="97"/>
    </row>
    <row r="16" spans="1:66" ht="12.75">
      <c r="A16" s="79" t="s">
        <v>553</v>
      </c>
      <c r="B16" s="79" t="s">
        <v>324</v>
      </c>
      <c r="C16" s="79" t="s">
        <v>51</v>
      </c>
      <c r="D16" s="99">
        <v>3606</v>
      </c>
      <c r="E16" s="99">
        <v>618</v>
      </c>
      <c r="F16" s="99" t="s">
        <v>349</v>
      </c>
      <c r="G16" s="99">
        <v>20</v>
      </c>
      <c r="H16" s="99">
        <v>9</v>
      </c>
      <c r="I16" s="99">
        <v>53</v>
      </c>
      <c r="J16" s="99">
        <v>356</v>
      </c>
      <c r="K16" s="99" t="s">
        <v>562</v>
      </c>
      <c r="L16" s="99">
        <v>708</v>
      </c>
      <c r="M16" s="99">
        <v>268</v>
      </c>
      <c r="N16" s="99">
        <v>144</v>
      </c>
      <c r="O16" s="99">
        <v>30</v>
      </c>
      <c r="P16" s="159">
        <v>30</v>
      </c>
      <c r="Q16" s="99">
        <v>6</v>
      </c>
      <c r="R16" s="99">
        <v>15</v>
      </c>
      <c r="S16" s="99">
        <v>11</v>
      </c>
      <c r="T16" s="99" t="s">
        <v>562</v>
      </c>
      <c r="U16" s="99" t="s">
        <v>562</v>
      </c>
      <c r="V16" s="99">
        <v>8</v>
      </c>
      <c r="W16" s="99">
        <v>31</v>
      </c>
      <c r="X16" s="99">
        <v>32</v>
      </c>
      <c r="Y16" s="99">
        <v>49</v>
      </c>
      <c r="Z16" s="99">
        <v>24</v>
      </c>
      <c r="AA16" s="99" t="s">
        <v>562</v>
      </c>
      <c r="AB16" s="99" t="s">
        <v>562</v>
      </c>
      <c r="AC16" s="99" t="s">
        <v>562</v>
      </c>
      <c r="AD16" s="98" t="s">
        <v>326</v>
      </c>
      <c r="AE16" s="100">
        <v>0.1713810316139767</v>
      </c>
      <c r="AF16" s="100">
        <v>0.14</v>
      </c>
      <c r="AG16" s="98">
        <v>554.6311702717693</v>
      </c>
      <c r="AH16" s="98">
        <v>249.58402662229616</v>
      </c>
      <c r="AI16" s="100">
        <v>0.015</v>
      </c>
      <c r="AJ16" s="100">
        <v>0.714859</v>
      </c>
      <c r="AK16" s="100" t="s">
        <v>562</v>
      </c>
      <c r="AL16" s="100">
        <v>0.815668</v>
      </c>
      <c r="AM16" s="100">
        <v>0.602247</v>
      </c>
      <c r="AN16" s="100">
        <v>0.631579</v>
      </c>
      <c r="AO16" s="98">
        <v>831.9467554076539</v>
      </c>
      <c r="AP16" s="158">
        <v>0.4267686081</v>
      </c>
      <c r="AQ16" s="100">
        <v>0.2</v>
      </c>
      <c r="AR16" s="100">
        <v>0.4</v>
      </c>
      <c r="AS16" s="98">
        <v>305.0471436494731</v>
      </c>
      <c r="AT16" s="98" t="s">
        <v>562</v>
      </c>
      <c r="AU16" s="98" t="s">
        <v>562</v>
      </c>
      <c r="AV16" s="98">
        <v>221.8524681087077</v>
      </c>
      <c r="AW16" s="98">
        <v>859.6783139212424</v>
      </c>
      <c r="AX16" s="98">
        <v>887.4098724348308</v>
      </c>
      <c r="AY16" s="98">
        <v>1358.8463671658346</v>
      </c>
      <c r="AZ16" s="98">
        <v>665.5574043261231</v>
      </c>
      <c r="BA16" s="100" t="s">
        <v>562</v>
      </c>
      <c r="BB16" s="100" t="s">
        <v>562</v>
      </c>
      <c r="BC16" s="100" t="s">
        <v>562</v>
      </c>
      <c r="BD16" s="158">
        <v>0.2879389763</v>
      </c>
      <c r="BE16" s="158">
        <v>0.6092387009</v>
      </c>
      <c r="BF16" s="162">
        <v>498</v>
      </c>
      <c r="BG16" s="162" t="s">
        <v>562</v>
      </c>
      <c r="BH16" s="162">
        <v>868</v>
      </c>
      <c r="BI16" s="162">
        <v>445</v>
      </c>
      <c r="BJ16" s="162">
        <v>228</v>
      </c>
      <c r="BK16" s="97"/>
      <c r="BL16" s="97"/>
      <c r="BM16" s="97"/>
      <c r="BN16" s="97"/>
    </row>
    <row r="17" spans="1:66" ht="12.75">
      <c r="A17" s="79" t="s">
        <v>543</v>
      </c>
      <c r="B17" s="79" t="s">
        <v>311</v>
      </c>
      <c r="C17" s="79" t="s">
        <v>51</v>
      </c>
      <c r="D17" s="99">
        <v>5647</v>
      </c>
      <c r="E17" s="99">
        <v>1004</v>
      </c>
      <c r="F17" s="99" t="s">
        <v>349</v>
      </c>
      <c r="G17" s="99">
        <v>29</v>
      </c>
      <c r="H17" s="99">
        <v>13</v>
      </c>
      <c r="I17" s="99">
        <v>121</v>
      </c>
      <c r="J17" s="99">
        <v>730</v>
      </c>
      <c r="K17" s="99">
        <v>35</v>
      </c>
      <c r="L17" s="99">
        <v>1183</v>
      </c>
      <c r="M17" s="99">
        <v>643</v>
      </c>
      <c r="N17" s="99">
        <v>329</v>
      </c>
      <c r="O17" s="99">
        <v>214</v>
      </c>
      <c r="P17" s="159">
        <v>214</v>
      </c>
      <c r="Q17" s="99">
        <v>15</v>
      </c>
      <c r="R17" s="99">
        <v>35</v>
      </c>
      <c r="S17" s="99">
        <v>36</v>
      </c>
      <c r="T17" s="99">
        <v>36</v>
      </c>
      <c r="U17" s="99">
        <v>8</v>
      </c>
      <c r="V17" s="99">
        <v>31</v>
      </c>
      <c r="W17" s="99">
        <v>35</v>
      </c>
      <c r="X17" s="99">
        <v>84</v>
      </c>
      <c r="Y17" s="99">
        <v>87</v>
      </c>
      <c r="Z17" s="99">
        <v>44</v>
      </c>
      <c r="AA17" s="99" t="s">
        <v>562</v>
      </c>
      <c r="AB17" s="99" t="s">
        <v>562</v>
      </c>
      <c r="AC17" s="99" t="s">
        <v>562</v>
      </c>
      <c r="AD17" s="98" t="s">
        <v>326</v>
      </c>
      <c r="AE17" s="100">
        <v>0.17779351868248627</v>
      </c>
      <c r="AF17" s="100">
        <v>0.13</v>
      </c>
      <c r="AG17" s="98">
        <v>513.5470161147512</v>
      </c>
      <c r="AH17" s="98">
        <v>230.210731361785</v>
      </c>
      <c r="AI17" s="100">
        <v>0.021</v>
      </c>
      <c r="AJ17" s="100">
        <v>0.804851</v>
      </c>
      <c r="AK17" s="100">
        <v>0.660377</v>
      </c>
      <c r="AL17" s="100">
        <v>0.817554</v>
      </c>
      <c r="AM17" s="100">
        <v>0.673298</v>
      </c>
      <c r="AN17" s="100">
        <v>0.723077</v>
      </c>
      <c r="AO17" s="98">
        <v>3789.6228085709226</v>
      </c>
      <c r="AP17" s="158">
        <v>1.9025350950000002</v>
      </c>
      <c r="AQ17" s="100">
        <v>0.07009345794392523</v>
      </c>
      <c r="AR17" s="100">
        <v>0.42857142857142855</v>
      </c>
      <c r="AS17" s="98">
        <v>637.5066406941739</v>
      </c>
      <c r="AT17" s="98">
        <v>637.5066406941739</v>
      </c>
      <c r="AU17" s="98">
        <v>141.66814237648308</v>
      </c>
      <c r="AV17" s="98">
        <v>548.9640517088719</v>
      </c>
      <c r="AW17" s="98">
        <v>619.7981228971136</v>
      </c>
      <c r="AX17" s="98">
        <v>1487.5154949530724</v>
      </c>
      <c r="AY17" s="98">
        <v>1540.6410483442535</v>
      </c>
      <c r="AZ17" s="98">
        <v>779.174783070657</v>
      </c>
      <c r="BA17" s="100" t="s">
        <v>562</v>
      </c>
      <c r="BB17" s="100" t="s">
        <v>562</v>
      </c>
      <c r="BC17" s="100" t="s">
        <v>562</v>
      </c>
      <c r="BD17" s="158">
        <v>1.656154785</v>
      </c>
      <c r="BE17" s="158">
        <v>2.1752362059999997</v>
      </c>
      <c r="BF17" s="162">
        <v>907</v>
      </c>
      <c r="BG17" s="162">
        <v>53</v>
      </c>
      <c r="BH17" s="162">
        <v>1447</v>
      </c>
      <c r="BI17" s="162">
        <v>955</v>
      </c>
      <c r="BJ17" s="162">
        <v>455</v>
      </c>
      <c r="BK17" s="97"/>
      <c r="BL17" s="97"/>
      <c r="BM17" s="97"/>
      <c r="BN17" s="97"/>
    </row>
    <row r="18" spans="1:66" ht="12.75">
      <c r="A18" s="79" t="s">
        <v>544</v>
      </c>
      <c r="B18" s="79" t="s">
        <v>312</v>
      </c>
      <c r="C18" s="79" t="s">
        <v>51</v>
      </c>
      <c r="D18" s="99">
        <v>4940</v>
      </c>
      <c r="E18" s="99">
        <v>1039</v>
      </c>
      <c r="F18" s="99" t="s">
        <v>350</v>
      </c>
      <c r="G18" s="99">
        <v>28</v>
      </c>
      <c r="H18" s="99">
        <v>17</v>
      </c>
      <c r="I18" s="99">
        <v>71</v>
      </c>
      <c r="J18" s="99">
        <v>663</v>
      </c>
      <c r="K18" s="99" t="s">
        <v>562</v>
      </c>
      <c r="L18" s="99">
        <v>1052</v>
      </c>
      <c r="M18" s="99">
        <v>481</v>
      </c>
      <c r="N18" s="99">
        <v>247</v>
      </c>
      <c r="O18" s="99">
        <v>152</v>
      </c>
      <c r="P18" s="159">
        <v>152</v>
      </c>
      <c r="Q18" s="99">
        <v>14</v>
      </c>
      <c r="R18" s="99">
        <v>30</v>
      </c>
      <c r="S18" s="99">
        <v>28</v>
      </c>
      <c r="T18" s="99">
        <v>18</v>
      </c>
      <c r="U18" s="99">
        <v>6</v>
      </c>
      <c r="V18" s="99">
        <v>38</v>
      </c>
      <c r="W18" s="99">
        <v>25</v>
      </c>
      <c r="X18" s="99">
        <v>58</v>
      </c>
      <c r="Y18" s="99">
        <v>66</v>
      </c>
      <c r="Z18" s="99">
        <v>44</v>
      </c>
      <c r="AA18" s="99" t="s">
        <v>562</v>
      </c>
      <c r="AB18" s="99" t="s">
        <v>562</v>
      </c>
      <c r="AC18" s="99" t="s">
        <v>562</v>
      </c>
      <c r="AD18" s="98" t="s">
        <v>326</v>
      </c>
      <c r="AE18" s="100">
        <v>0.2103238866396761</v>
      </c>
      <c r="AF18" s="100">
        <v>0.09</v>
      </c>
      <c r="AG18" s="98">
        <v>566.8016194331984</v>
      </c>
      <c r="AH18" s="98">
        <v>344.12955465587044</v>
      </c>
      <c r="AI18" s="100">
        <v>0.013999999999999999</v>
      </c>
      <c r="AJ18" s="100">
        <v>0.820545</v>
      </c>
      <c r="AK18" s="100" t="s">
        <v>562</v>
      </c>
      <c r="AL18" s="100">
        <v>0.843625</v>
      </c>
      <c r="AM18" s="100">
        <v>0.664365</v>
      </c>
      <c r="AN18" s="100">
        <v>0.732938</v>
      </c>
      <c r="AO18" s="98">
        <v>3076.923076923077</v>
      </c>
      <c r="AP18" s="158">
        <v>1.39199646</v>
      </c>
      <c r="AQ18" s="100">
        <v>0.09210526315789473</v>
      </c>
      <c r="AR18" s="100">
        <v>0.4666666666666667</v>
      </c>
      <c r="AS18" s="98">
        <v>566.8016194331984</v>
      </c>
      <c r="AT18" s="98">
        <v>364.3724696356275</v>
      </c>
      <c r="AU18" s="98">
        <v>121.4574898785425</v>
      </c>
      <c r="AV18" s="98">
        <v>769.2307692307693</v>
      </c>
      <c r="AW18" s="98">
        <v>506.07287449392715</v>
      </c>
      <c r="AX18" s="98">
        <v>1174.089068825911</v>
      </c>
      <c r="AY18" s="98">
        <v>1336.0323886639676</v>
      </c>
      <c r="AZ18" s="98">
        <v>890.6882591093117</v>
      </c>
      <c r="BA18" s="100" t="s">
        <v>562</v>
      </c>
      <c r="BB18" s="100" t="s">
        <v>562</v>
      </c>
      <c r="BC18" s="100" t="s">
        <v>562</v>
      </c>
      <c r="BD18" s="158">
        <v>1.179502487</v>
      </c>
      <c r="BE18" s="158">
        <v>1.631715088</v>
      </c>
      <c r="BF18" s="162">
        <v>808</v>
      </c>
      <c r="BG18" s="162" t="s">
        <v>562</v>
      </c>
      <c r="BH18" s="162">
        <v>1247</v>
      </c>
      <c r="BI18" s="162">
        <v>724</v>
      </c>
      <c r="BJ18" s="162">
        <v>337</v>
      </c>
      <c r="BK18" s="97"/>
      <c r="BL18" s="97"/>
      <c r="BM18" s="97"/>
      <c r="BN18" s="97"/>
    </row>
    <row r="19" spans="1:66" ht="12.75">
      <c r="A19" s="79" t="s">
        <v>536</v>
      </c>
      <c r="B19" s="79" t="s">
        <v>305</v>
      </c>
      <c r="C19" s="79" t="s">
        <v>51</v>
      </c>
      <c r="D19" s="99">
        <v>9086</v>
      </c>
      <c r="E19" s="99">
        <v>2057</v>
      </c>
      <c r="F19" s="99" t="s">
        <v>348</v>
      </c>
      <c r="G19" s="99">
        <v>49</v>
      </c>
      <c r="H19" s="99">
        <v>23</v>
      </c>
      <c r="I19" s="99">
        <v>220</v>
      </c>
      <c r="J19" s="99">
        <v>1141</v>
      </c>
      <c r="K19" s="99">
        <v>8</v>
      </c>
      <c r="L19" s="99">
        <v>1881</v>
      </c>
      <c r="M19" s="99">
        <v>862</v>
      </c>
      <c r="N19" s="99">
        <v>438</v>
      </c>
      <c r="O19" s="99">
        <v>221</v>
      </c>
      <c r="P19" s="159">
        <v>221</v>
      </c>
      <c r="Q19" s="99">
        <v>21</v>
      </c>
      <c r="R19" s="99">
        <v>46</v>
      </c>
      <c r="S19" s="99">
        <v>50</v>
      </c>
      <c r="T19" s="99">
        <v>33</v>
      </c>
      <c r="U19" s="99">
        <v>7</v>
      </c>
      <c r="V19" s="99">
        <v>48</v>
      </c>
      <c r="W19" s="99">
        <v>59</v>
      </c>
      <c r="X19" s="99">
        <v>108</v>
      </c>
      <c r="Y19" s="99">
        <v>150</v>
      </c>
      <c r="Z19" s="99">
        <v>52</v>
      </c>
      <c r="AA19" s="99" t="s">
        <v>562</v>
      </c>
      <c r="AB19" s="99" t="s">
        <v>562</v>
      </c>
      <c r="AC19" s="99" t="s">
        <v>562</v>
      </c>
      <c r="AD19" s="98" t="s">
        <v>326</v>
      </c>
      <c r="AE19" s="100">
        <v>0.22639225181598063</v>
      </c>
      <c r="AF19" s="100">
        <v>0.09</v>
      </c>
      <c r="AG19" s="98">
        <v>539.291217257319</v>
      </c>
      <c r="AH19" s="98">
        <v>253.1366938146599</v>
      </c>
      <c r="AI19" s="100">
        <v>0.024</v>
      </c>
      <c r="AJ19" s="100">
        <v>0.807502</v>
      </c>
      <c r="AK19" s="100">
        <v>0.533333</v>
      </c>
      <c r="AL19" s="100">
        <v>0.866022</v>
      </c>
      <c r="AM19" s="100">
        <v>0.656512</v>
      </c>
      <c r="AN19" s="100">
        <v>0.693038</v>
      </c>
      <c r="AO19" s="98">
        <v>2432.313449262602</v>
      </c>
      <c r="AP19" s="158">
        <v>1.078791809</v>
      </c>
      <c r="AQ19" s="100">
        <v>0.09502262443438914</v>
      </c>
      <c r="AR19" s="100">
        <v>0.45652173913043476</v>
      </c>
      <c r="AS19" s="98">
        <v>550.297160466652</v>
      </c>
      <c r="AT19" s="98">
        <v>363.19612590799034</v>
      </c>
      <c r="AU19" s="98">
        <v>77.04160246533128</v>
      </c>
      <c r="AV19" s="98">
        <v>528.2852740479859</v>
      </c>
      <c r="AW19" s="98">
        <v>649.3506493506494</v>
      </c>
      <c r="AX19" s="98">
        <v>1188.6418666079683</v>
      </c>
      <c r="AY19" s="98">
        <v>1650.8914813999559</v>
      </c>
      <c r="AZ19" s="98">
        <v>572.309046885318</v>
      </c>
      <c r="BA19" s="100" t="s">
        <v>562</v>
      </c>
      <c r="BB19" s="100" t="s">
        <v>562</v>
      </c>
      <c r="BC19" s="100" t="s">
        <v>562</v>
      </c>
      <c r="BD19" s="158">
        <v>0.9412406921</v>
      </c>
      <c r="BE19" s="158">
        <v>1.230789795</v>
      </c>
      <c r="BF19" s="162">
        <v>1413</v>
      </c>
      <c r="BG19" s="162">
        <v>15</v>
      </c>
      <c r="BH19" s="162">
        <v>2172</v>
      </c>
      <c r="BI19" s="162">
        <v>1313</v>
      </c>
      <c r="BJ19" s="162">
        <v>632</v>
      </c>
      <c r="BK19" s="97"/>
      <c r="BL19" s="97"/>
      <c r="BM19" s="97"/>
      <c r="BN19" s="97"/>
    </row>
    <row r="20" spans="1:66" ht="12.75">
      <c r="A20" s="79" t="s">
        <v>526</v>
      </c>
      <c r="B20" s="79" t="s">
        <v>295</v>
      </c>
      <c r="C20" s="79" t="s">
        <v>51</v>
      </c>
      <c r="D20" s="99">
        <v>8724</v>
      </c>
      <c r="E20" s="99">
        <v>1859</v>
      </c>
      <c r="F20" s="99" t="s">
        <v>349</v>
      </c>
      <c r="G20" s="99">
        <v>56</v>
      </c>
      <c r="H20" s="99">
        <v>37</v>
      </c>
      <c r="I20" s="99">
        <v>209</v>
      </c>
      <c r="J20" s="99">
        <v>830</v>
      </c>
      <c r="K20" s="99">
        <v>8</v>
      </c>
      <c r="L20" s="99">
        <v>1588</v>
      </c>
      <c r="M20" s="99">
        <v>643</v>
      </c>
      <c r="N20" s="99">
        <v>338</v>
      </c>
      <c r="O20" s="99">
        <v>304</v>
      </c>
      <c r="P20" s="159">
        <v>304</v>
      </c>
      <c r="Q20" s="99">
        <v>20</v>
      </c>
      <c r="R20" s="99">
        <v>45</v>
      </c>
      <c r="S20" s="99">
        <v>74</v>
      </c>
      <c r="T20" s="99">
        <v>24</v>
      </c>
      <c r="U20" s="99">
        <v>19</v>
      </c>
      <c r="V20" s="99">
        <v>50</v>
      </c>
      <c r="W20" s="99">
        <v>73</v>
      </c>
      <c r="X20" s="99">
        <v>119</v>
      </c>
      <c r="Y20" s="99">
        <v>173</v>
      </c>
      <c r="Z20" s="99">
        <v>92</v>
      </c>
      <c r="AA20" s="99" t="s">
        <v>562</v>
      </c>
      <c r="AB20" s="99" t="s">
        <v>562</v>
      </c>
      <c r="AC20" s="99" t="s">
        <v>562</v>
      </c>
      <c r="AD20" s="98" t="s">
        <v>326</v>
      </c>
      <c r="AE20" s="100">
        <v>0.21309032553874369</v>
      </c>
      <c r="AF20" s="100">
        <v>0.16</v>
      </c>
      <c r="AG20" s="98">
        <v>641.9073819348922</v>
      </c>
      <c r="AH20" s="98">
        <v>424.1173773498395</v>
      </c>
      <c r="AI20" s="100">
        <v>0.024</v>
      </c>
      <c r="AJ20" s="100">
        <v>0.713672</v>
      </c>
      <c r="AK20" s="100">
        <v>0.8</v>
      </c>
      <c r="AL20" s="100">
        <v>0.804458</v>
      </c>
      <c r="AM20" s="100">
        <v>0.592627</v>
      </c>
      <c r="AN20" s="100">
        <v>0.637736</v>
      </c>
      <c r="AO20" s="98">
        <v>3484.640073360844</v>
      </c>
      <c r="AP20" s="158">
        <v>1.6508830259999998</v>
      </c>
      <c r="AQ20" s="100">
        <v>0.06578947368421052</v>
      </c>
      <c r="AR20" s="100">
        <v>0.4444444444444444</v>
      </c>
      <c r="AS20" s="98">
        <v>848.234754699679</v>
      </c>
      <c r="AT20" s="98">
        <v>275.1031636863824</v>
      </c>
      <c r="AU20" s="98">
        <v>217.79000458505274</v>
      </c>
      <c r="AV20" s="98">
        <v>573.1315910132967</v>
      </c>
      <c r="AW20" s="98">
        <v>836.7721228794131</v>
      </c>
      <c r="AX20" s="98">
        <v>1364.053186611646</v>
      </c>
      <c r="AY20" s="98">
        <v>1983.0353049060063</v>
      </c>
      <c r="AZ20" s="98">
        <v>1054.562127464466</v>
      </c>
      <c r="BA20" s="100" t="s">
        <v>562</v>
      </c>
      <c r="BB20" s="100" t="s">
        <v>562</v>
      </c>
      <c r="BC20" s="100" t="s">
        <v>562</v>
      </c>
      <c r="BD20" s="158">
        <v>1.470500336</v>
      </c>
      <c r="BE20" s="158">
        <v>1.847285919</v>
      </c>
      <c r="BF20" s="162">
        <v>1163</v>
      </c>
      <c r="BG20" s="162">
        <v>10</v>
      </c>
      <c r="BH20" s="162">
        <v>1974</v>
      </c>
      <c r="BI20" s="162">
        <v>1085</v>
      </c>
      <c r="BJ20" s="162">
        <v>530</v>
      </c>
      <c r="BK20" s="97"/>
      <c r="BL20" s="97"/>
      <c r="BM20" s="97"/>
      <c r="BN20" s="97"/>
    </row>
    <row r="21" spans="1:66" ht="12.75">
      <c r="A21" s="79" t="s">
        <v>539</v>
      </c>
      <c r="B21" s="79" t="s">
        <v>508</v>
      </c>
      <c r="C21" s="79" t="s">
        <v>51</v>
      </c>
      <c r="D21" s="99">
        <v>5784</v>
      </c>
      <c r="E21" s="99">
        <v>1304</v>
      </c>
      <c r="F21" s="99" t="s">
        <v>348</v>
      </c>
      <c r="G21" s="99">
        <v>35</v>
      </c>
      <c r="H21" s="99">
        <v>13</v>
      </c>
      <c r="I21" s="99">
        <v>156</v>
      </c>
      <c r="J21" s="99">
        <v>742</v>
      </c>
      <c r="K21" s="99">
        <v>25</v>
      </c>
      <c r="L21" s="99">
        <v>1059</v>
      </c>
      <c r="M21" s="99">
        <v>552</v>
      </c>
      <c r="N21" s="99">
        <v>284</v>
      </c>
      <c r="O21" s="99">
        <v>198</v>
      </c>
      <c r="P21" s="159">
        <v>198</v>
      </c>
      <c r="Q21" s="99">
        <v>12</v>
      </c>
      <c r="R21" s="99">
        <v>29</v>
      </c>
      <c r="S21" s="99">
        <v>33</v>
      </c>
      <c r="T21" s="99">
        <v>45</v>
      </c>
      <c r="U21" s="99">
        <v>7</v>
      </c>
      <c r="V21" s="99">
        <v>31</v>
      </c>
      <c r="W21" s="99">
        <v>63</v>
      </c>
      <c r="X21" s="99">
        <v>42</v>
      </c>
      <c r="Y21" s="99">
        <v>107</v>
      </c>
      <c r="Z21" s="99">
        <v>50</v>
      </c>
      <c r="AA21" s="99" t="s">
        <v>562</v>
      </c>
      <c r="AB21" s="99" t="s">
        <v>562</v>
      </c>
      <c r="AC21" s="99" t="s">
        <v>562</v>
      </c>
      <c r="AD21" s="98" t="s">
        <v>326</v>
      </c>
      <c r="AE21" s="100">
        <v>0.22544951590594745</v>
      </c>
      <c r="AF21" s="100">
        <v>0.11</v>
      </c>
      <c r="AG21" s="98">
        <v>605.1175656984785</v>
      </c>
      <c r="AH21" s="98">
        <v>224.75795297372062</v>
      </c>
      <c r="AI21" s="100">
        <v>0.027000000000000003</v>
      </c>
      <c r="AJ21" s="100">
        <v>0.804772</v>
      </c>
      <c r="AK21" s="100">
        <v>0.78125</v>
      </c>
      <c r="AL21" s="100">
        <v>0.808397</v>
      </c>
      <c r="AM21" s="100">
        <v>0.6086</v>
      </c>
      <c r="AN21" s="100">
        <v>0.635347</v>
      </c>
      <c r="AO21" s="98">
        <v>3423.2365145228214</v>
      </c>
      <c r="AP21" s="158">
        <v>1.54075882</v>
      </c>
      <c r="AQ21" s="100">
        <v>0.06060606060606061</v>
      </c>
      <c r="AR21" s="100">
        <v>0.41379310344827586</v>
      </c>
      <c r="AS21" s="98">
        <v>570.5394190871369</v>
      </c>
      <c r="AT21" s="98">
        <v>778.0082987551867</v>
      </c>
      <c r="AU21" s="98">
        <v>121.02351313969571</v>
      </c>
      <c r="AV21" s="98">
        <v>535.9612724757953</v>
      </c>
      <c r="AW21" s="98">
        <v>1089.2116182572613</v>
      </c>
      <c r="AX21" s="98">
        <v>726.1410788381743</v>
      </c>
      <c r="AY21" s="98">
        <v>1849.9308437067773</v>
      </c>
      <c r="AZ21" s="98">
        <v>864.4536652835408</v>
      </c>
      <c r="BA21" s="100" t="s">
        <v>562</v>
      </c>
      <c r="BB21" s="100" t="s">
        <v>562</v>
      </c>
      <c r="BC21" s="100" t="s">
        <v>562</v>
      </c>
      <c r="BD21" s="158">
        <v>1.33361145</v>
      </c>
      <c r="BE21" s="158">
        <v>1.7709646609999998</v>
      </c>
      <c r="BF21" s="162">
        <v>922</v>
      </c>
      <c r="BG21" s="162">
        <v>32</v>
      </c>
      <c r="BH21" s="162">
        <v>1310</v>
      </c>
      <c r="BI21" s="162">
        <v>907</v>
      </c>
      <c r="BJ21" s="162">
        <v>447</v>
      </c>
      <c r="BK21" s="97"/>
      <c r="BL21" s="97"/>
      <c r="BM21" s="97"/>
      <c r="BN21" s="97"/>
    </row>
    <row r="22" spans="1:66" ht="12.75">
      <c r="A22" s="79" t="s">
        <v>567</v>
      </c>
      <c r="B22" s="79" t="s">
        <v>317</v>
      </c>
      <c r="C22" s="79" t="s">
        <v>51</v>
      </c>
      <c r="D22" s="99">
        <v>3352</v>
      </c>
      <c r="E22" s="99">
        <v>658</v>
      </c>
      <c r="F22" s="99" t="s">
        <v>348</v>
      </c>
      <c r="G22" s="99">
        <v>28</v>
      </c>
      <c r="H22" s="99">
        <v>12</v>
      </c>
      <c r="I22" s="99">
        <v>77</v>
      </c>
      <c r="J22" s="99">
        <v>402</v>
      </c>
      <c r="K22" s="99" t="s">
        <v>562</v>
      </c>
      <c r="L22" s="99">
        <v>728</v>
      </c>
      <c r="M22" s="99">
        <v>297</v>
      </c>
      <c r="N22" s="99">
        <v>160</v>
      </c>
      <c r="O22" s="99">
        <v>163</v>
      </c>
      <c r="P22" s="159">
        <v>163</v>
      </c>
      <c r="Q22" s="99">
        <v>14</v>
      </c>
      <c r="R22" s="99">
        <v>23</v>
      </c>
      <c r="S22" s="99">
        <v>37</v>
      </c>
      <c r="T22" s="99">
        <v>26</v>
      </c>
      <c r="U22" s="99">
        <v>8</v>
      </c>
      <c r="V22" s="99">
        <v>21</v>
      </c>
      <c r="W22" s="99">
        <v>27</v>
      </c>
      <c r="X22" s="99">
        <v>35</v>
      </c>
      <c r="Y22" s="99">
        <v>64</v>
      </c>
      <c r="Z22" s="99">
        <v>27</v>
      </c>
      <c r="AA22" s="99" t="s">
        <v>562</v>
      </c>
      <c r="AB22" s="99" t="s">
        <v>562</v>
      </c>
      <c r="AC22" s="99" t="s">
        <v>562</v>
      </c>
      <c r="AD22" s="98" t="s">
        <v>326</v>
      </c>
      <c r="AE22" s="100">
        <v>0.19630071599045346</v>
      </c>
      <c r="AF22" s="100">
        <v>0.09</v>
      </c>
      <c r="AG22" s="98">
        <v>835.3221957040573</v>
      </c>
      <c r="AH22" s="98">
        <v>357.99522673031026</v>
      </c>
      <c r="AI22" s="100">
        <v>0.023</v>
      </c>
      <c r="AJ22" s="100">
        <v>0.771593</v>
      </c>
      <c r="AK22" s="100" t="s">
        <v>562</v>
      </c>
      <c r="AL22" s="100">
        <v>0.859504</v>
      </c>
      <c r="AM22" s="100">
        <v>0.607362</v>
      </c>
      <c r="AN22" s="100">
        <v>0.677966</v>
      </c>
      <c r="AO22" s="98">
        <v>4862.768496420048</v>
      </c>
      <c r="AP22" s="158">
        <v>2.244004059</v>
      </c>
      <c r="AQ22" s="100">
        <v>0.08588957055214724</v>
      </c>
      <c r="AR22" s="100">
        <v>0.6086956521739131</v>
      </c>
      <c r="AS22" s="98">
        <v>1103.81861575179</v>
      </c>
      <c r="AT22" s="98">
        <v>775.6563245823389</v>
      </c>
      <c r="AU22" s="98">
        <v>238.6634844868735</v>
      </c>
      <c r="AV22" s="98">
        <v>626.491646778043</v>
      </c>
      <c r="AW22" s="98">
        <v>805.4892601431981</v>
      </c>
      <c r="AX22" s="98">
        <v>1044.1527446300715</v>
      </c>
      <c r="AY22" s="98">
        <v>1909.307875894988</v>
      </c>
      <c r="AZ22" s="98">
        <v>805.4892601431981</v>
      </c>
      <c r="BA22" s="100" t="s">
        <v>562</v>
      </c>
      <c r="BB22" s="100" t="s">
        <v>562</v>
      </c>
      <c r="BC22" s="100" t="s">
        <v>562</v>
      </c>
      <c r="BD22" s="158">
        <v>1.912731781</v>
      </c>
      <c r="BE22" s="158">
        <v>2.616166077</v>
      </c>
      <c r="BF22" s="162">
        <v>521</v>
      </c>
      <c r="BG22" s="162" t="s">
        <v>562</v>
      </c>
      <c r="BH22" s="162">
        <v>847</v>
      </c>
      <c r="BI22" s="162">
        <v>489</v>
      </c>
      <c r="BJ22" s="162">
        <v>236</v>
      </c>
      <c r="BK22" s="97"/>
      <c r="BL22" s="97"/>
      <c r="BM22" s="97"/>
      <c r="BN22" s="97"/>
    </row>
    <row r="23" spans="1:66" ht="12.75">
      <c r="A23" s="79" t="s">
        <v>565</v>
      </c>
      <c r="B23" s="79" t="s">
        <v>313</v>
      </c>
      <c r="C23" s="79" t="s">
        <v>51</v>
      </c>
      <c r="D23" s="99">
        <v>3793</v>
      </c>
      <c r="E23" s="99">
        <v>815</v>
      </c>
      <c r="F23" s="99" t="s">
        <v>350</v>
      </c>
      <c r="G23" s="99">
        <v>31</v>
      </c>
      <c r="H23" s="99">
        <v>8</v>
      </c>
      <c r="I23" s="99">
        <v>110</v>
      </c>
      <c r="J23" s="99">
        <v>508</v>
      </c>
      <c r="K23" s="99" t="s">
        <v>562</v>
      </c>
      <c r="L23" s="99">
        <v>837</v>
      </c>
      <c r="M23" s="99">
        <v>360</v>
      </c>
      <c r="N23" s="99">
        <v>197</v>
      </c>
      <c r="O23" s="99">
        <v>72</v>
      </c>
      <c r="P23" s="159">
        <v>72</v>
      </c>
      <c r="Q23" s="99">
        <v>10</v>
      </c>
      <c r="R23" s="99">
        <v>24</v>
      </c>
      <c r="S23" s="99">
        <v>20</v>
      </c>
      <c r="T23" s="99">
        <v>7</v>
      </c>
      <c r="U23" s="99" t="s">
        <v>562</v>
      </c>
      <c r="V23" s="99">
        <v>13</v>
      </c>
      <c r="W23" s="99">
        <v>31</v>
      </c>
      <c r="X23" s="99">
        <v>27</v>
      </c>
      <c r="Y23" s="99">
        <v>41</v>
      </c>
      <c r="Z23" s="99">
        <v>20</v>
      </c>
      <c r="AA23" s="99" t="s">
        <v>562</v>
      </c>
      <c r="AB23" s="99" t="s">
        <v>562</v>
      </c>
      <c r="AC23" s="99" t="s">
        <v>562</v>
      </c>
      <c r="AD23" s="98" t="s">
        <v>326</v>
      </c>
      <c r="AE23" s="100">
        <v>0.21486949644081202</v>
      </c>
      <c r="AF23" s="100">
        <v>0.08</v>
      </c>
      <c r="AG23" s="98">
        <v>817.295017136831</v>
      </c>
      <c r="AH23" s="98">
        <v>210.91484313208542</v>
      </c>
      <c r="AI23" s="100">
        <v>0.028999999999999998</v>
      </c>
      <c r="AJ23" s="100">
        <v>0.811502</v>
      </c>
      <c r="AK23" s="100" t="s">
        <v>562</v>
      </c>
      <c r="AL23" s="100">
        <v>0.881053</v>
      </c>
      <c r="AM23" s="100">
        <v>0.640569</v>
      </c>
      <c r="AN23" s="100">
        <v>0.658863</v>
      </c>
      <c r="AO23" s="98">
        <v>1898.2335881887689</v>
      </c>
      <c r="AP23" s="158">
        <v>0.8441893768</v>
      </c>
      <c r="AQ23" s="100">
        <v>0.1388888888888889</v>
      </c>
      <c r="AR23" s="100">
        <v>0.4166666666666667</v>
      </c>
      <c r="AS23" s="98">
        <v>527.2871078302136</v>
      </c>
      <c r="AT23" s="98">
        <v>184.55048774057474</v>
      </c>
      <c r="AU23" s="98" t="s">
        <v>562</v>
      </c>
      <c r="AV23" s="98">
        <v>342.7366200896388</v>
      </c>
      <c r="AW23" s="98">
        <v>817.295017136831</v>
      </c>
      <c r="AX23" s="98">
        <v>711.8375955707883</v>
      </c>
      <c r="AY23" s="98">
        <v>1080.9385710519377</v>
      </c>
      <c r="AZ23" s="98">
        <v>527.2871078302136</v>
      </c>
      <c r="BA23" s="100" t="s">
        <v>562</v>
      </c>
      <c r="BB23" s="100" t="s">
        <v>562</v>
      </c>
      <c r="BC23" s="100" t="s">
        <v>562</v>
      </c>
      <c r="BD23" s="158">
        <v>0.6605261993</v>
      </c>
      <c r="BE23" s="158">
        <v>1.06311676</v>
      </c>
      <c r="BF23" s="162">
        <v>626</v>
      </c>
      <c r="BG23" s="162" t="s">
        <v>562</v>
      </c>
      <c r="BH23" s="162">
        <v>950</v>
      </c>
      <c r="BI23" s="162">
        <v>562</v>
      </c>
      <c r="BJ23" s="162">
        <v>299</v>
      </c>
      <c r="BK23" s="97"/>
      <c r="BL23" s="97"/>
      <c r="BM23" s="97"/>
      <c r="BN23" s="97"/>
    </row>
    <row r="24" spans="1:66" ht="12.75">
      <c r="A24" s="79" t="s">
        <v>523</v>
      </c>
      <c r="B24" s="79" t="s">
        <v>292</v>
      </c>
      <c r="C24" s="79" t="s">
        <v>51</v>
      </c>
      <c r="D24" s="99">
        <v>2151</v>
      </c>
      <c r="E24" s="99">
        <v>475</v>
      </c>
      <c r="F24" s="99" t="s">
        <v>346</v>
      </c>
      <c r="G24" s="99">
        <v>17</v>
      </c>
      <c r="H24" s="99" t="s">
        <v>562</v>
      </c>
      <c r="I24" s="99">
        <v>65</v>
      </c>
      <c r="J24" s="99">
        <v>184</v>
      </c>
      <c r="K24" s="99">
        <v>181</v>
      </c>
      <c r="L24" s="99">
        <v>331</v>
      </c>
      <c r="M24" s="99">
        <v>156</v>
      </c>
      <c r="N24" s="99">
        <v>77</v>
      </c>
      <c r="O24" s="99">
        <v>104</v>
      </c>
      <c r="P24" s="159">
        <v>104</v>
      </c>
      <c r="Q24" s="99">
        <v>8</v>
      </c>
      <c r="R24" s="99">
        <v>20</v>
      </c>
      <c r="S24" s="99">
        <v>16</v>
      </c>
      <c r="T24" s="99">
        <v>20</v>
      </c>
      <c r="U24" s="99" t="s">
        <v>562</v>
      </c>
      <c r="V24" s="99">
        <v>20</v>
      </c>
      <c r="W24" s="99">
        <v>18</v>
      </c>
      <c r="X24" s="99">
        <v>46</v>
      </c>
      <c r="Y24" s="99">
        <v>106</v>
      </c>
      <c r="Z24" s="99">
        <v>20</v>
      </c>
      <c r="AA24" s="99" t="s">
        <v>562</v>
      </c>
      <c r="AB24" s="99" t="s">
        <v>562</v>
      </c>
      <c r="AC24" s="99" t="s">
        <v>562</v>
      </c>
      <c r="AD24" s="98" t="s">
        <v>326</v>
      </c>
      <c r="AE24" s="100">
        <v>0.22082752208275222</v>
      </c>
      <c r="AF24" s="100">
        <v>0.23</v>
      </c>
      <c r="AG24" s="98">
        <v>790.3300790330079</v>
      </c>
      <c r="AH24" s="98" t="s">
        <v>562</v>
      </c>
      <c r="AI24" s="100">
        <v>0.03</v>
      </c>
      <c r="AJ24" s="100">
        <v>0.71875</v>
      </c>
      <c r="AK24" s="100">
        <v>0.729839</v>
      </c>
      <c r="AL24" s="100">
        <v>0.750567</v>
      </c>
      <c r="AM24" s="100">
        <v>0.549296</v>
      </c>
      <c r="AN24" s="100">
        <v>0.562044</v>
      </c>
      <c r="AO24" s="98">
        <v>4834.960483496048</v>
      </c>
      <c r="AP24" s="158">
        <v>2.2674642940000003</v>
      </c>
      <c r="AQ24" s="100">
        <v>0.07692307692307693</v>
      </c>
      <c r="AR24" s="100">
        <v>0.4</v>
      </c>
      <c r="AS24" s="98">
        <v>743.8400743840075</v>
      </c>
      <c r="AT24" s="98">
        <v>929.8000929800093</v>
      </c>
      <c r="AU24" s="98" t="s">
        <v>562</v>
      </c>
      <c r="AV24" s="98">
        <v>929.8000929800093</v>
      </c>
      <c r="AW24" s="98">
        <v>836.8200836820083</v>
      </c>
      <c r="AX24" s="98">
        <v>2138.540213854021</v>
      </c>
      <c r="AY24" s="98">
        <v>4927.9404927940495</v>
      </c>
      <c r="AZ24" s="98">
        <v>929.8000929800093</v>
      </c>
      <c r="BA24" s="100" t="s">
        <v>562</v>
      </c>
      <c r="BB24" s="100" t="s">
        <v>562</v>
      </c>
      <c r="BC24" s="100" t="s">
        <v>562</v>
      </c>
      <c r="BD24" s="158">
        <v>1.852682648</v>
      </c>
      <c r="BE24" s="158">
        <v>2.747412415</v>
      </c>
      <c r="BF24" s="162">
        <v>256</v>
      </c>
      <c r="BG24" s="162">
        <v>248</v>
      </c>
      <c r="BH24" s="162">
        <v>441</v>
      </c>
      <c r="BI24" s="162">
        <v>284</v>
      </c>
      <c r="BJ24" s="162">
        <v>137</v>
      </c>
      <c r="BK24" s="97"/>
      <c r="BL24" s="97"/>
      <c r="BM24" s="97"/>
      <c r="BN24" s="97"/>
    </row>
    <row r="25" spans="1:66" ht="12.75">
      <c r="A25" s="79" t="s">
        <v>514</v>
      </c>
      <c r="B25" s="79" t="s">
        <v>283</v>
      </c>
      <c r="C25" s="79" t="s">
        <v>51</v>
      </c>
      <c r="D25" s="99">
        <v>13389</v>
      </c>
      <c r="E25" s="99">
        <v>2287</v>
      </c>
      <c r="F25" s="99" t="s">
        <v>346</v>
      </c>
      <c r="G25" s="99">
        <v>85</v>
      </c>
      <c r="H25" s="99">
        <v>35</v>
      </c>
      <c r="I25" s="99">
        <v>238</v>
      </c>
      <c r="J25" s="99">
        <v>1453</v>
      </c>
      <c r="K25" s="99">
        <v>1438</v>
      </c>
      <c r="L25" s="99">
        <v>2563</v>
      </c>
      <c r="M25" s="99">
        <v>1009</v>
      </c>
      <c r="N25" s="99">
        <v>501</v>
      </c>
      <c r="O25" s="99">
        <v>314</v>
      </c>
      <c r="P25" s="159">
        <v>314</v>
      </c>
      <c r="Q25" s="99">
        <v>29</v>
      </c>
      <c r="R25" s="99">
        <v>66</v>
      </c>
      <c r="S25" s="99">
        <v>79</v>
      </c>
      <c r="T25" s="99">
        <v>50</v>
      </c>
      <c r="U25" s="99">
        <v>16</v>
      </c>
      <c r="V25" s="99">
        <v>52</v>
      </c>
      <c r="W25" s="99">
        <v>80</v>
      </c>
      <c r="X25" s="99">
        <v>159</v>
      </c>
      <c r="Y25" s="99">
        <v>241</v>
      </c>
      <c r="Z25" s="99">
        <v>111</v>
      </c>
      <c r="AA25" s="99" t="s">
        <v>562</v>
      </c>
      <c r="AB25" s="99" t="s">
        <v>562</v>
      </c>
      <c r="AC25" s="99" t="s">
        <v>562</v>
      </c>
      <c r="AD25" s="98" t="s">
        <v>326</v>
      </c>
      <c r="AE25" s="100">
        <v>0.17081186048248562</v>
      </c>
      <c r="AF25" s="100">
        <v>0.21</v>
      </c>
      <c r="AG25" s="98">
        <v>634.8495033236238</v>
      </c>
      <c r="AH25" s="98">
        <v>261.4086190156098</v>
      </c>
      <c r="AI25" s="100">
        <v>0.018000000000000002</v>
      </c>
      <c r="AJ25" s="100">
        <v>0.795293</v>
      </c>
      <c r="AK25" s="100">
        <v>0.804251</v>
      </c>
      <c r="AL25" s="100">
        <v>0.79399</v>
      </c>
      <c r="AM25" s="100">
        <v>0.608565</v>
      </c>
      <c r="AN25" s="100">
        <v>0.636595</v>
      </c>
      <c r="AO25" s="98">
        <v>2345.208753454328</v>
      </c>
      <c r="AP25" s="158">
        <v>1.2181169889999999</v>
      </c>
      <c r="AQ25" s="100">
        <v>0.09235668789808917</v>
      </c>
      <c r="AR25" s="100">
        <v>0.4393939393939394</v>
      </c>
      <c r="AS25" s="98">
        <v>590.0365972066622</v>
      </c>
      <c r="AT25" s="98">
        <v>373.44088430801406</v>
      </c>
      <c r="AU25" s="98">
        <v>119.5010829785645</v>
      </c>
      <c r="AV25" s="98">
        <v>388.3785196803346</v>
      </c>
      <c r="AW25" s="98">
        <v>597.5054148928225</v>
      </c>
      <c r="AX25" s="98">
        <v>1187.5420120994847</v>
      </c>
      <c r="AY25" s="98">
        <v>1799.9850623646278</v>
      </c>
      <c r="AZ25" s="98">
        <v>829.0387631637911</v>
      </c>
      <c r="BA25" s="100" t="s">
        <v>562</v>
      </c>
      <c r="BB25" s="100" t="s">
        <v>562</v>
      </c>
      <c r="BC25" s="100" t="s">
        <v>562</v>
      </c>
      <c r="BD25" s="158">
        <v>1.087095642</v>
      </c>
      <c r="BE25" s="158">
        <v>1.3605790709999999</v>
      </c>
      <c r="BF25" s="162">
        <v>1827</v>
      </c>
      <c r="BG25" s="162">
        <v>1788</v>
      </c>
      <c r="BH25" s="162">
        <v>3228</v>
      </c>
      <c r="BI25" s="162">
        <v>1658</v>
      </c>
      <c r="BJ25" s="162">
        <v>787</v>
      </c>
      <c r="BK25" s="97"/>
      <c r="BL25" s="97"/>
      <c r="BM25" s="97"/>
      <c r="BN25" s="97"/>
    </row>
    <row r="26" spans="1:66" ht="12.75">
      <c r="A26" s="79" t="s">
        <v>522</v>
      </c>
      <c r="B26" s="79" t="s">
        <v>291</v>
      </c>
      <c r="C26" s="79" t="s">
        <v>51</v>
      </c>
      <c r="D26" s="99">
        <v>10447</v>
      </c>
      <c r="E26" s="99">
        <v>1965</v>
      </c>
      <c r="F26" s="99" t="s">
        <v>346</v>
      </c>
      <c r="G26" s="99">
        <v>53</v>
      </c>
      <c r="H26" s="99">
        <v>35</v>
      </c>
      <c r="I26" s="99">
        <v>180</v>
      </c>
      <c r="J26" s="99">
        <v>1051</v>
      </c>
      <c r="K26" s="99">
        <v>522</v>
      </c>
      <c r="L26" s="99">
        <v>1920</v>
      </c>
      <c r="M26" s="99">
        <v>829</v>
      </c>
      <c r="N26" s="99">
        <v>439</v>
      </c>
      <c r="O26" s="99">
        <v>294</v>
      </c>
      <c r="P26" s="159">
        <v>294</v>
      </c>
      <c r="Q26" s="99">
        <v>28</v>
      </c>
      <c r="R26" s="99">
        <v>58</v>
      </c>
      <c r="S26" s="99">
        <v>68</v>
      </c>
      <c r="T26" s="99">
        <v>33</v>
      </c>
      <c r="U26" s="99">
        <v>7</v>
      </c>
      <c r="V26" s="99">
        <v>43</v>
      </c>
      <c r="W26" s="99">
        <v>58</v>
      </c>
      <c r="X26" s="99">
        <v>108</v>
      </c>
      <c r="Y26" s="99">
        <v>153</v>
      </c>
      <c r="Z26" s="99">
        <v>95</v>
      </c>
      <c r="AA26" s="99" t="s">
        <v>562</v>
      </c>
      <c r="AB26" s="99" t="s">
        <v>562</v>
      </c>
      <c r="AC26" s="99" t="s">
        <v>562</v>
      </c>
      <c r="AD26" s="98" t="s">
        <v>326</v>
      </c>
      <c r="AE26" s="100">
        <v>0.1880922752943429</v>
      </c>
      <c r="AF26" s="100">
        <v>0.19</v>
      </c>
      <c r="AG26" s="98">
        <v>507.322676366421</v>
      </c>
      <c r="AH26" s="98">
        <v>335.0244089212214</v>
      </c>
      <c r="AI26" s="100">
        <v>0.017</v>
      </c>
      <c r="AJ26" s="100">
        <v>0.767153</v>
      </c>
      <c r="AK26" s="100">
        <v>0.833866</v>
      </c>
      <c r="AL26" s="100">
        <v>0.7911</v>
      </c>
      <c r="AM26" s="100">
        <v>0.604227</v>
      </c>
      <c r="AN26" s="100">
        <v>0.632565</v>
      </c>
      <c r="AO26" s="98">
        <v>2814.20503493826</v>
      </c>
      <c r="AP26" s="158">
        <v>1.415044556</v>
      </c>
      <c r="AQ26" s="100">
        <v>0.09523809523809523</v>
      </c>
      <c r="AR26" s="100">
        <v>0.4827586206896552</v>
      </c>
      <c r="AS26" s="98">
        <v>650.9045659040873</v>
      </c>
      <c r="AT26" s="98">
        <v>315.8801569828659</v>
      </c>
      <c r="AU26" s="98">
        <v>67.00488178424428</v>
      </c>
      <c r="AV26" s="98">
        <v>411.6014166746434</v>
      </c>
      <c r="AW26" s="98">
        <v>555.1833062123097</v>
      </c>
      <c r="AX26" s="98">
        <v>1033.7896046711974</v>
      </c>
      <c r="AY26" s="98">
        <v>1464.5352732841964</v>
      </c>
      <c r="AZ26" s="98">
        <v>909.3519670718866</v>
      </c>
      <c r="BA26" s="100" t="s">
        <v>562</v>
      </c>
      <c r="BB26" s="100" t="s">
        <v>562</v>
      </c>
      <c r="BC26" s="100" t="s">
        <v>562</v>
      </c>
      <c r="BD26" s="158">
        <v>1.257900314</v>
      </c>
      <c r="BE26" s="158">
        <v>1.586392059</v>
      </c>
      <c r="BF26" s="162">
        <v>1370</v>
      </c>
      <c r="BG26" s="162">
        <v>626</v>
      </c>
      <c r="BH26" s="162">
        <v>2427</v>
      </c>
      <c r="BI26" s="162">
        <v>1372</v>
      </c>
      <c r="BJ26" s="162">
        <v>694</v>
      </c>
      <c r="BK26" s="97"/>
      <c r="BL26" s="97"/>
      <c r="BM26" s="97"/>
      <c r="BN26" s="97"/>
    </row>
    <row r="27" spans="1:66" ht="12.75">
      <c r="A27" s="79" t="s">
        <v>550</v>
      </c>
      <c r="B27" s="79" t="s">
        <v>321</v>
      </c>
      <c r="C27" s="79" t="s">
        <v>51</v>
      </c>
      <c r="D27" s="99">
        <v>1646</v>
      </c>
      <c r="E27" s="99">
        <v>347</v>
      </c>
      <c r="F27" s="99" t="s">
        <v>350</v>
      </c>
      <c r="G27" s="99">
        <v>9</v>
      </c>
      <c r="H27" s="99">
        <v>7</v>
      </c>
      <c r="I27" s="99">
        <v>24</v>
      </c>
      <c r="J27" s="99">
        <v>239</v>
      </c>
      <c r="K27" s="99" t="s">
        <v>562</v>
      </c>
      <c r="L27" s="99">
        <v>336</v>
      </c>
      <c r="M27" s="99">
        <v>184</v>
      </c>
      <c r="N27" s="99">
        <v>90</v>
      </c>
      <c r="O27" s="99">
        <v>14</v>
      </c>
      <c r="P27" s="159">
        <v>14</v>
      </c>
      <c r="Q27" s="99" t="s">
        <v>562</v>
      </c>
      <c r="R27" s="99" t="s">
        <v>562</v>
      </c>
      <c r="S27" s="99" t="s">
        <v>562</v>
      </c>
      <c r="T27" s="99" t="s">
        <v>562</v>
      </c>
      <c r="U27" s="99" t="s">
        <v>562</v>
      </c>
      <c r="V27" s="99" t="s">
        <v>562</v>
      </c>
      <c r="W27" s="99">
        <v>17</v>
      </c>
      <c r="X27" s="99" t="s">
        <v>562</v>
      </c>
      <c r="Y27" s="99">
        <v>25</v>
      </c>
      <c r="Z27" s="99">
        <v>12</v>
      </c>
      <c r="AA27" s="99" t="s">
        <v>562</v>
      </c>
      <c r="AB27" s="99" t="s">
        <v>562</v>
      </c>
      <c r="AC27" s="99" t="s">
        <v>562</v>
      </c>
      <c r="AD27" s="98" t="s">
        <v>326</v>
      </c>
      <c r="AE27" s="100">
        <v>0.21081409477521262</v>
      </c>
      <c r="AF27" s="100">
        <v>0.07</v>
      </c>
      <c r="AG27" s="98">
        <v>546.7800729040097</v>
      </c>
      <c r="AH27" s="98">
        <v>425.273390036452</v>
      </c>
      <c r="AI27" s="100">
        <v>0.015</v>
      </c>
      <c r="AJ27" s="100">
        <v>0.802013</v>
      </c>
      <c r="AK27" s="100" t="s">
        <v>562</v>
      </c>
      <c r="AL27" s="100">
        <v>0.809639</v>
      </c>
      <c r="AM27" s="100">
        <v>0.69962</v>
      </c>
      <c r="AN27" s="100">
        <v>0.697674</v>
      </c>
      <c r="AO27" s="98">
        <v>850.546780072904</v>
      </c>
      <c r="AP27" s="158">
        <v>0.3657850266</v>
      </c>
      <c r="AQ27" s="100" t="s">
        <v>562</v>
      </c>
      <c r="AR27" s="100" t="s">
        <v>562</v>
      </c>
      <c r="AS27" s="98" t="s">
        <v>562</v>
      </c>
      <c r="AT27" s="98" t="s">
        <v>562</v>
      </c>
      <c r="AU27" s="98" t="s">
        <v>562</v>
      </c>
      <c r="AV27" s="98" t="s">
        <v>562</v>
      </c>
      <c r="AW27" s="98">
        <v>1032.8068043742405</v>
      </c>
      <c r="AX27" s="98" t="s">
        <v>562</v>
      </c>
      <c r="AY27" s="98">
        <v>1518.8335358444715</v>
      </c>
      <c r="AZ27" s="98">
        <v>729.0400972053463</v>
      </c>
      <c r="BA27" s="100" t="s">
        <v>562</v>
      </c>
      <c r="BB27" s="100" t="s">
        <v>562</v>
      </c>
      <c r="BC27" s="100" t="s">
        <v>562</v>
      </c>
      <c r="BD27" s="158">
        <v>0.19997808460000002</v>
      </c>
      <c r="BE27" s="158">
        <v>0.6137251282</v>
      </c>
      <c r="BF27" s="162">
        <v>298</v>
      </c>
      <c r="BG27" s="162" t="s">
        <v>562</v>
      </c>
      <c r="BH27" s="162">
        <v>415</v>
      </c>
      <c r="BI27" s="162">
        <v>263</v>
      </c>
      <c r="BJ27" s="162">
        <v>129</v>
      </c>
      <c r="BK27" s="97"/>
      <c r="BL27" s="97"/>
      <c r="BM27" s="97"/>
      <c r="BN27" s="97"/>
    </row>
    <row r="28" spans="1:66" ht="12.75">
      <c r="A28" s="79" t="s">
        <v>542</v>
      </c>
      <c r="B28" s="79" t="s">
        <v>310</v>
      </c>
      <c r="C28" s="79" t="s">
        <v>51</v>
      </c>
      <c r="D28" s="99">
        <v>5758</v>
      </c>
      <c r="E28" s="99">
        <v>1092</v>
      </c>
      <c r="F28" s="99" t="s">
        <v>349</v>
      </c>
      <c r="G28" s="99">
        <v>33</v>
      </c>
      <c r="H28" s="99">
        <v>11</v>
      </c>
      <c r="I28" s="99">
        <v>117</v>
      </c>
      <c r="J28" s="99">
        <v>580</v>
      </c>
      <c r="K28" s="99">
        <v>13</v>
      </c>
      <c r="L28" s="99">
        <v>1191</v>
      </c>
      <c r="M28" s="99">
        <v>450</v>
      </c>
      <c r="N28" s="99">
        <v>207</v>
      </c>
      <c r="O28" s="99">
        <v>121</v>
      </c>
      <c r="P28" s="159">
        <v>121</v>
      </c>
      <c r="Q28" s="99">
        <v>14</v>
      </c>
      <c r="R28" s="99">
        <v>34</v>
      </c>
      <c r="S28" s="99">
        <v>26</v>
      </c>
      <c r="T28" s="99">
        <v>38</v>
      </c>
      <c r="U28" s="99" t="s">
        <v>562</v>
      </c>
      <c r="V28" s="99">
        <v>18</v>
      </c>
      <c r="W28" s="99">
        <v>44</v>
      </c>
      <c r="X28" s="99">
        <v>34</v>
      </c>
      <c r="Y28" s="99">
        <v>74</v>
      </c>
      <c r="Z28" s="99">
        <v>56</v>
      </c>
      <c r="AA28" s="99" t="s">
        <v>562</v>
      </c>
      <c r="AB28" s="99" t="s">
        <v>562</v>
      </c>
      <c r="AC28" s="99" t="s">
        <v>562</v>
      </c>
      <c r="AD28" s="98" t="s">
        <v>326</v>
      </c>
      <c r="AE28" s="100">
        <v>0.1896491837443557</v>
      </c>
      <c r="AF28" s="100">
        <v>0.14</v>
      </c>
      <c r="AG28" s="98">
        <v>573.1156651615145</v>
      </c>
      <c r="AH28" s="98">
        <v>191.03855505383814</v>
      </c>
      <c r="AI28" s="100">
        <v>0.02</v>
      </c>
      <c r="AJ28" s="100">
        <v>0.707317</v>
      </c>
      <c r="AK28" s="100">
        <v>0.722222</v>
      </c>
      <c r="AL28" s="100">
        <v>0.835203</v>
      </c>
      <c r="AM28" s="100">
        <v>0.596026</v>
      </c>
      <c r="AN28" s="100">
        <v>0.608824</v>
      </c>
      <c r="AO28" s="98">
        <v>2101.4241055922193</v>
      </c>
      <c r="AP28" s="158">
        <v>1.031209793</v>
      </c>
      <c r="AQ28" s="100">
        <v>0.11570247933884298</v>
      </c>
      <c r="AR28" s="100">
        <v>0.4117647058823529</v>
      </c>
      <c r="AS28" s="98">
        <v>451.54567558179923</v>
      </c>
      <c r="AT28" s="98">
        <v>659.9513720041681</v>
      </c>
      <c r="AU28" s="98" t="s">
        <v>562</v>
      </c>
      <c r="AV28" s="98">
        <v>312.6085446335533</v>
      </c>
      <c r="AW28" s="98">
        <v>764.1542202153526</v>
      </c>
      <c r="AX28" s="98">
        <v>590.4828065300452</v>
      </c>
      <c r="AY28" s="98">
        <v>1285.1684612712747</v>
      </c>
      <c r="AZ28" s="98">
        <v>972.5599166377215</v>
      </c>
      <c r="BA28" s="101" t="s">
        <v>562</v>
      </c>
      <c r="BB28" s="101" t="s">
        <v>562</v>
      </c>
      <c r="BC28" s="101" t="s">
        <v>562</v>
      </c>
      <c r="BD28" s="158">
        <v>0.8556705474999999</v>
      </c>
      <c r="BE28" s="158">
        <v>1.2321641540000001</v>
      </c>
      <c r="BF28" s="162">
        <v>820</v>
      </c>
      <c r="BG28" s="162">
        <v>18</v>
      </c>
      <c r="BH28" s="162">
        <v>1426</v>
      </c>
      <c r="BI28" s="162">
        <v>755</v>
      </c>
      <c r="BJ28" s="162">
        <v>340</v>
      </c>
      <c r="BK28" s="97"/>
      <c r="BL28" s="97"/>
      <c r="BM28" s="97"/>
      <c r="BN28" s="97"/>
    </row>
    <row r="29" spans="1:66" ht="12.75">
      <c r="A29" s="79" t="s">
        <v>517</v>
      </c>
      <c r="B29" s="79" t="s">
        <v>286</v>
      </c>
      <c r="C29" s="79" t="s">
        <v>51</v>
      </c>
      <c r="D29" s="99">
        <v>11343</v>
      </c>
      <c r="E29" s="99">
        <v>2600</v>
      </c>
      <c r="F29" s="99" t="s">
        <v>350</v>
      </c>
      <c r="G29" s="99">
        <v>84</v>
      </c>
      <c r="H29" s="99">
        <v>33</v>
      </c>
      <c r="I29" s="99">
        <v>280</v>
      </c>
      <c r="J29" s="99">
        <v>1413</v>
      </c>
      <c r="K29" s="99">
        <v>11</v>
      </c>
      <c r="L29" s="99">
        <v>2240</v>
      </c>
      <c r="M29" s="99">
        <v>1106</v>
      </c>
      <c r="N29" s="99">
        <v>551</v>
      </c>
      <c r="O29" s="99">
        <v>320</v>
      </c>
      <c r="P29" s="159">
        <v>320</v>
      </c>
      <c r="Q29" s="99">
        <v>31</v>
      </c>
      <c r="R29" s="99">
        <v>66</v>
      </c>
      <c r="S29" s="99">
        <v>60</v>
      </c>
      <c r="T29" s="99">
        <v>53</v>
      </c>
      <c r="U29" s="99">
        <v>7</v>
      </c>
      <c r="V29" s="99">
        <v>53</v>
      </c>
      <c r="W29" s="99">
        <v>96</v>
      </c>
      <c r="X29" s="99">
        <v>82</v>
      </c>
      <c r="Y29" s="99">
        <v>212</v>
      </c>
      <c r="Z29" s="99">
        <v>96</v>
      </c>
      <c r="AA29" s="99" t="s">
        <v>562</v>
      </c>
      <c r="AB29" s="99" t="s">
        <v>562</v>
      </c>
      <c r="AC29" s="99" t="s">
        <v>562</v>
      </c>
      <c r="AD29" s="98" t="s">
        <v>326</v>
      </c>
      <c r="AE29" s="100">
        <v>0.22921625672220752</v>
      </c>
      <c r="AF29" s="100">
        <v>0.06</v>
      </c>
      <c r="AG29" s="98">
        <v>740.544829410209</v>
      </c>
      <c r="AH29" s="98">
        <v>290.92832583972495</v>
      </c>
      <c r="AI29" s="100">
        <v>0.025</v>
      </c>
      <c r="AJ29" s="100">
        <v>0.794266</v>
      </c>
      <c r="AK29" s="100">
        <v>0.611111</v>
      </c>
      <c r="AL29" s="100">
        <v>0.807207</v>
      </c>
      <c r="AM29" s="100">
        <v>0.667069</v>
      </c>
      <c r="AN29" s="100">
        <v>0.702806</v>
      </c>
      <c r="AO29" s="98">
        <v>2821.1231596579387</v>
      </c>
      <c r="AP29" s="158">
        <v>1.2511541750000001</v>
      </c>
      <c r="AQ29" s="100">
        <v>0.096875</v>
      </c>
      <c r="AR29" s="100">
        <v>0.4696969696969697</v>
      </c>
      <c r="AS29" s="98">
        <v>528.9605924358635</v>
      </c>
      <c r="AT29" s="98">
        <v>467.24852331834614</v>
      </c>
      <c r="AU29" s="98">
        <v>61.71206911751741</v>
      </c>
      <c r="AV29" s="98">
        <v>467.24852331834614</v>
      </c>
      <c r="AW29" s="98">
        <v>846.3369478973816</v>
      </c>
      <c r="AX29" s="98">
        <v>722.9128096623468</v>
      </c>
      <c r="AY29" s="98">
        <v>1868.9940932733846</v>
      </c>
      <c r="AZ29" s="98">
        <v>846.3369478973816</v>
      </c>
      <c r="BA29" s="100" t="s">
        <v>562</v>
      </c>
      <c r="BB29" s="100" t="s">
        <v>562</v>
      </c>
      <c r="BC29" s="100" t="s">
        <v>562</v>
      </c>
      <c r="BD29" s="158">
        <v>1.11781105</v>
      </c>
      <c r="BE29" s="158">
        <v>1.3960261539999999</v>
      </c>
      <c r="BF29" s="162">
        <v>1779</v>
      </c>
      <c r="BG29" s="162">
        <v>18</v>
      </c>
      <c r="BH29" s="162">
        <v>2775</v>
      </c>
      <c r="BI29" s="162">
        <v>1658</v>
      </c>
      <c r="BJ29" s="162">
        <v>784</v>
      </c>
      <c r="BK29" s="97"/>
      <c r="BL29" s="97"/>
      <c r="BM29" s="97"/>
      <c r="BN29" s="97"/>
    </row>
    <row r="30" spans="1:66" ht="12.75">
      <c r="A30" s="79" t="s">
        <v>524</v>
      </c>
      <c r="B30" s="79" t="s">
        <v>293</v>
      </c>
      <c r="C30" s="79" t="s">
        <v>51</v>
      </c>
      <c r="D30" s="99">
        <v>6599</v>
      </c>
      <c r="E30" s="99">
        <v>951</v>
      </c>
      <c r="F30" s="99" t="s">
        <v>348</v>
      </c>
      <c r="G30" s="99">
        <v>25</v>
      </c>
      <c r="H30" s="99">
        <v>15</v>
      </c>
      <c r="I30" s="99">
        <v>92</v>
      </c>
      <c r="J30" s="99">
        <v>633</v>
      </c>
      <c r="K30" s="99" t="s">
        <v>562</v>
      </c>
      <c r="L30" s="99">
        <v>1439</v>
      </c>
      <c r="M30" s="99">
        <v>483</v>
      </c>
      <c r="N30" s="99">
        <v>228</v>
      </c>
      <c r="O30" s="99">
        <v>140</v>
      </c>
      <c r="P30" s="159">
        <v>140</v>
      </c>
      <c r="Q30" s="99">
        <v>11</v>
      </c>
      <c r="R30" s="99">
        <v>20</v>
      </c>
      <c r="S30" s="99">
        <v>41</v>
      </c>
      <c r="T30" s="99">
        <v>7</v>
      </c>
      <c r="U30" s="99" t="s">
        <v>562</v>
      </c>
      <c r="V30" s="99">
        <v>27</v>
      </c>
      <c r="W30" s="99">
        <v>37</v>
      </c>
      <c r="X30" s="99">
        <v>23</v>
      </c>
      <c r="Y30" s="99">
        <v>62</v>
      </c>
      <c r="Z30" s="99">
        <v>43</v>
      </c>
      <c r="AA30" s="99" t="s">
        <v>562</v>
      </c>
      <c r="AB30" s="99" t="s">
        <v>562</v>
      </c>
      <c r="AC30" s="99" t="s">
        <v>562</v>
      </c>
      <c r="AD30" s="98" t="s">
        <v>326</v>
      </c>
      <c r="AE30" s="100">
        <v>0.14411274435520532</v>
      </c>
      <c r="AF30" s="100">
        <v>0.11</v>
      </c>
      <c r="AG30" s="98">
        <v>378.8452795878163</v>
      </c>
      <c r="AH30" s="98">
        <v>227.3071677526898</v>
      </c>
      <c r="AI30" s="100">
        <v>0.013999999999999999</v>
      </c>
      <c r="AJ30" s="100">
        <v>0.722603</v>
      </c>
      <c r="AK30" s="100" t="s">
        <v>562</v>
      </c>
      <c r="AL30" s="100">
        <v>0.827487</v>
      </c>
      <c r="AM30" s="100">
        <v>0.648322</v>
      </c>
      <c r="AN30" s="100">
        <v>0.676558</v>
      </c>
      <c r="AO30" s="98">
        <v>2121.5335656917714</v>
      </c>
      <c r="AP30" s="158">
        <v>1.159771118</v>
      </c>
      <c r="AQ30" s="100">
        <v>0.07857142857142857</v>
      </c>
      <c r="AR30" s="100">
        <v>0.55</v>
      </c>
      <c r="AS30" s="98">
        <v>621.3062585240187</v>
      </c>
      <c r="AT30" s="98">
        <v>106.07667828458857</v>
      </c>
      <c r="AU30" s="98" t="s">
        <v>562</v>
      </c>
      <c r="AV30" s="98">
        <v>409.15290195484164</v>
      </c>
      <c r="AW30" s="98">
        <v>560.6910137899682</v>
      </c>
      <c r="AX30" s="98">
        <v>348.537657220791</v>
      </c>
      <c r="AY30" s="98">
        <v>939.5362933777845</v>
      </c>
      <c r="AZ30" s="98">
        <v>651.6138808910441</v>
      </c>
      <c r="BA30" s="100" t="s">
        <v>562</v>
      </c>
      <c r="BB30" s="100" t="s">
        <v>562</v>
      </c>
      <c r="BC30" s="100" t="s">
        <v>562</v>
      </c>
      <c r="BD30" s="158">
        <v>0.9756207275</v>
      </c>
      <c r="BE30" s="158">
        <v>1.368575439</v>
      </c>
      <c r="BF30" s="162">
        <v>876</v>
      </c>
      <c r="BG30" s="162" t="s">
        <v>562</v>
      </c>
      <c r="BH30" s="162">
        <v>1739</v>
      </c>
      <c r="BI30" s="162">
        <v>745</v>
      </c>
      <c r="BJ30" s="162">
        <v>337</v>
      </c>
      <c r="BK30" s="97"/>
      <c r="BL30" s="97"/>
      <c r="BM30" s="97"/>
      <c r="BN30" s="97"/>
    </row>
    <row r="31" spans="1:66" ht="12.75">
      <c r="A31" s="79" t="s">
        <v>540</v>
      </c>
      <c r="B31" s="79" t="s">
        <v>308</v>
      </c>
      <c r="C31" s="79" t="s">
        <v>51</v>
      </c>
      <c r="D31" s="99">
        <v>5935</v>
      </c>
      <c r="E31" s="99">
        <v>1363</v>
      </c>
      <c r="F31" s="99" t="s">
        <v>348</v>
      </c>
      <c r="G31" s="99">
        <v>29</v>
      </c>
      <c r="H31" s="99">
        <v>17</v>
      </c>
      <c r="I31" s="99">
        <v>127</v>
      </c>
      <c r="J31" s="99">
        <v>691</v>
      </c>
      <c r="K31" s="99">
        <v>82</v>
      </c>
      <c r="L31" s="99">
        <v>1214</v>
      </c>
      <c r="M31" s="99">
        <v>577</v>
      </c>
      <c r="N31" s="99">
        <v>274</v>
      </c>
      <c r="O31" s="99">
        <v>177</v>
      </c>
      <c r="P31" s="159">
        <v>177</v>
      </c>
      <c r="Q31" s="99">
        <v>19</v>
      </c>
      <c r="R31" s="99">
        <v>38</v>
      </c>
      <c r="S31" s="99">
        <v>47</v>
      </c>
      <c r="T31" s="99">
        <v>42</v>
      </c>
      <c r="U31" s="99">
        <v>6</v>
      </c>
      <c r="V31" s="99">
        <v>34</v>
      </c>
      <c r="W31" s="99">
        <v>59</v>
      </c>
      <c r="X31" s="99">
        <v>57</v>
      </c>
      <c r="Y31" s="99">
        <v>93</v>
      </c>
      <c r="Z31" s="99">
        <v>52</v>
      </c>
      <c r="AA31" s="99" t="s">
        <v>562</v>
      </c>
      <c r="AB31" s="99" t="s">
        <v>562</v>
      </c>
      <c r="AC31" s="99" t="s">
        <v>562</v>
      </c>
      <c r="AD31" s="98" t="s">
        <v>326</v>
      </c>
      <c r="AE31" s="100">
        <v>0.22965459140690817</v>
      </c>
      <c r="AF31" s="100">
        <v>0.1</v>
      </c>
      <c r="AG31" s="98">
        <v>488.6267902274642</v>
      </c>
      <c r="AH31" s="98">
        <v>286.4363942712721</v>
      </c>
      <c r="AI31" s="100">
        <v>0.021</v>
      </c>
      <c r="AJ31" s="100">
        <v>0.766926</v>
      </c>
      <c r="AK31" s="100">
        <v>0.766355</v>
      </c>
      <c r="AL31" s="100">
        <v>0.831507</v>
      </c>
      <c r="AM31" s="100">
        <v>0.665513</v>
      </c>
      <c r="AN31" s="100">
        <v>0.652381</v>
      </c>
      <c r="AO31" s="98">
        <v>2982.308340353833</v>
      </c>
      <c r="AP31" s="158">
        <v>1.322102356</v>
      </c>
      <c r="AQ31" s="100">
        <v>0.10734463276836158</v>
      </c>
      <c r="AR31" s="100">
        <v>0.5</v>
      </c>
      <c r="AS31" s="98">
        <v>791.9123841617524</v>
      </c>
      <c r="AT31" s="98">
        <v>707.6663858466723</v>
      </c>
      <c r="AU31" s="98">
        <v>101.09519797809604</v>
      </c>
      <c r="AV31" s="98">
        <v>572.8727885425442</v>
      </c>
      <c r="AW31" s="98">
        <v>994.1027801179443</v>
      </c>
      <c r="AX31" s="98">
        <v>960.4043807919123</v>
      </c>
      <c r="AY31" s="98">
        <v>1566.9755686604885</v>
      </c>
      <c r="AZ31" s="98">
        <v>876.1583824768323</v>
      </c>
      <c r="BA31" s="100" t="s">
        <v>562</v>
      </c>
      <c r="BB31" s="100" t="s">
        <v>562</v>
      </c>
      <c r="BC31" s="100" t="s">
        <v>562</v>
      </c>
      <c r="BD31" s="158">
        <v>1.134498672</v>
      </c>
      <c r="BE31" s="158">
        <v>1.531869049</v>
      </c>
      <c r="BF31" s="162">
        <v>901</v>
      </c>
      <c r="BG31" s="162">
        <v>107</v>
      </c>
      <c r="BH31" s="162">
        <v>1460</v>
      </c>
      <c r="BI31" s="162">
        <v>867</v>
      </c>
      <c r="BJ31" s="162">
        <v>420</v>
      </c>
      <c r="BK31" s="97"/>
      <c r="BL31" s="97"/>
      <c r="BM31" s="97"/>
      <c r="BN31" s="97"/>
    </row>
    <row r="32" spans="1:66" ht="12.75">
      <c r="A32" s="79" t="s">
        <v>545</v>
      </c>
      <c r="B32" s="79" t="s">
        <v>314</v>
      </c>
      <c r="C32" s="79" t="s">
        <v>51</v>
      </c>
      <c r="D32" s="99">
        <v>1800</v>
      </c>
      <c r="E32" s="99">
        <v>350</v>
      </c>
      <c r="F32" s="99" t="s">
        <v>350</v>
      </c>
      <c r="G32" s="99">
        <v>9</v>
      </c>
      <c r="H32" s="99" t="s">
        <v>562</v>
      </c>
      <c r="I32" s="99">
        <v>48</v>
      </c>
      <c r="J32" s="99">
        <v>234</v>
      </c>
      <c r="K32" s="99">
        <v>6</v>
      </c>
      <c r="L32" s="99">
        <v>400</v>
      </c>
      <c r="M32" s="99">
        <v>175</v>
      </c>
      <c r="N32" s="99">
        <v>92</v>
      </c>
      <c r="O32" s="99">
        <v>69</v>
      </c>
      <c r="P32" s="159">
        <v>69</v>
      </c>
      <c r="Q32" s="99" t="s">
        <v>562</v>
      </c>
      <c r="R32" s="99">
        <v>9</v>
      </c>
      <c r="S32" s="99">
        <v>12</v>
      </c>
      <c r="T32" s="99">
        <v>12</v>
      </c>
      <c r="U32" s="99" t="s">
        <v>562</v>
      </c>
      <c r="V32" s="99">
        <v>18</v>
      </c>
      <c r="W32" s="99">
        <v>15</v>
      </c>
      <c r="X32" s="99" t="s">
        <v>562</v>
      </c>
      <c r="Y32" s="99">
        <v>37</v>
      </c>
      <c r="Z32" s="99">
        <v>14</v>
      </c>
      <c r="AA32" s="99" t="s">
        <v>562</v>
      </c>
      <c r="AB32" s="99" t="s">
        <v>562</v>
      </c>
      <c r="AC32" s="99" t="s">
        <v>562</v>
      </c>
      <c r="AD32" s="98" t="s">
        <v>326</v>
      </c>
      <c r="AE32" s="100">
        <v>0.19444444444444445</v>
      </c>
      <c r="AF32" s="100">
        <v>0.07</v>
      </c>
      <c r="AG32" s="98">
        <v>500</v>
      </c>
      <c r="AH32" s="98" t="s">
        <v>562</v>
      </c>
      <c r="AI32" s="100">
        <v>0.027000000000000003</v>
      </c>
      <c r="AJ32" s="100">
        <v>0.75</v>
      </c>
      <c r="AK32" s="100">
        <v>0.75</v>
      </c>
      <c r="AL32" s="100">
        <v>0.831601</v>
      </c>
      <c r="AM32" s="100">
        <v>0.662879</v>
      </c>
      <c r="AN32" s="100">
        <v>0.70229</v>
      </c>
      <c r="AO32" s="98">
        <v>3833.3333333333335</v>
      </c>
      <c r="AP32" s="158">
        <v>1.736774445</v>
      </c>
      <c r="AQ32" s="100" t="s">
        <v>562</v>
      </c>
      <c r="AR32" s="100" t="s">
        <v>562</v>
      </c>
      <c r="AS32" s="98">
        <v>666.6666666666666</v>
      </c>
      <c r="AT32" s="98">
        <v>666.6666666666666</v>
      </c>
      <c r="AU32" s="98" t="s">
        <v>562</v>
      </c>
      <c r="AV32" s="98">
        <v>1000</v>
      </c>
      <c r="AW32" s="98">
        <v>833.3333333333334</v>
      </c>
      <c r="AX32" s="98" t="s">
        <v>562</v>
      </c>
      <c r="AY32" s="98">
        <v>2055.5555555555557</v>
      </c>
      <c r="AZ32" s="98">
        <v>777.7777777777778</v>
      </c>
      <c r="BA32" s="100" t="s">
        <v>562</v>
      </c>
      <c r="BB32" s="100" t="s">
        <v>562</v>
      </c>
      <c r="BC32" s="100" t="s">
        <v>562</v>
      </c>
      <c r="BD32" s="158">
        <v>1.35131424</v>
      </c>
      <c r="BE32" s="158">
        <v>2.1979992680000002</v>
      </c>
      <c r="BF32" s="162">
        <v>312</v>
      </c>
      <c r="BG32" s="162">
        <v>8</v>
      </c>
      <c r="BH32" s="162">
        <v>481</v>
      </c>
      <c r="BI32" s="162">
        <v>264</v>
      </c>
      <c r="BJ32" s="162">
        <v>131</v>
      </c>
      <c r="BK32" s="97"/>
      <c r="BL32" s="97"/>
      <c r="BM32" s="97"/>
      <c r="BN32" s="97"/>
    </row>
    <row r="33" spans="1:66" ht="12.75">
      <c r="A33" s="79" t="s">
        <v>533</v>
      </c>
      <c r="B33" s="79" t="s">
        <v>302</v>
      </c>
      <c r="C33" s="79" t="s">
        <v>51</v>
      </c>
      <c r="D33" s="99">
        <v>19148</v>
      </c>
      <c r="E33" s="99">
        <v>3182</v>
      </c>
      <c r="F33" s="99" t="s">
        <v>346</v>
      </c>
      <c r="G33" s="99">
        <v>121</v>
      </c>
      <c r="H33" s="99">
        <v>48</v>
      </c>
      <c r="I33" s="99">
        <v>386</v>
      </c>
      <c r="J33" s="99">
        <v>2045</v>
      </c>
      <c r="K33" s="99">
        <v>2006</v>
      </c>
      <c r="L33" s="99">
        <v>3622</v>
      </c>
      <c r="M33" s="99">
        <v>1323</v>
      </c>
      <c r="N33" s="99">
        <v>667</v>
      </c>
      <c r="O33" s="99">
        <v>437</v>
      </c>
      <c r="P33" s="159">
        <v>437</v>
      </c>
      <c r="Q33" s="99">
        <v>37</v>
      </c>
      <c r="R33" s="99">
        <v>95</v>
      </c>
      <c r="S33" s="99">
        <v>109</v>
      </c>
      <c r="T33" s="99">
        <v>46</v>
      </c>
      <c r="U33" s="99">
        <v>15</v>
      </c>
      <c r="V33" s="99">
        <v>68</v>
      </c>
      <c r="W33" s="99">
        <v>113</v>
      </c>
      <c r="X33" s="99">
        <v>210</v>
      </c>
      <c r="Y33" s="99">
        <v>288</v>
      </c>
      <c r="Z33" s="99">
        <v>144</v>
      </c>
      <c r="AA33" s="99" t="s">
        <v>562</v>
      </c>
      <c r="AB33" s="99" t="s">
        <v>562</v>
      </c>
      <c r="AC33" s="99" t="s">
        <v>562</v>
      </c>
      <c r="AD33" s="98" t="s">
        <v>326</v>
      </c>
      <c r="AE33" s="100">
        <v>0.16617923542928764</v>
      </c>
      <c r="AF33" s="100">
        <v>0.2</v>
      </c>
      <c r="AG33" s="98">
        <v>631.9197827449342</v>
      </c>
      <c r="AH33" s="98">
        <v>250.67892208063506</v>
      </c>
      <c r="AI33" s="100">
        <v>0.02</v>
      </c>
      <c r="AJ33" s="100">
        <v>0.797893</v>
      </c>
      <c r="AK33" s="100">
        <v>0.8024</v>
      </c>
      <c r="AL33" s="100">
        <v>0.782966</v>
      </c>
      <c r="AM33" s="100">
        <v>0.59434</v>
      </c>
      <c r="AN33" s="100">
        <v>0.613615</v>
      </c>
      <c r="AO33" s="98">
        <v>2282.2226864424483</v>
      </c>
      <c r="AP33" s="158">
        <v>1.196661758</v>
      </c>
      <c r="AQ33" s="100">
        <v>0.08466819221967964</v>
      </c>
      <c r="AR33" s="100">
        <v>0.3894736842105263</v>
      </c>
      <c r="AS33" s="98">
        <v>569.2500522247755</v>
      </c>
      <c r="AT33" s="98">
        <v>240.23396699394192</v>
      </c>
      <c r="AU33" s="98">
        <v>78.33716315019845</v>
      </c>
      <c r="AV33" s="98">
        <v>355.1284729475663</v>
      </c>
      <c r="AW33" s="98">
        <v>590.1399623981617</v>
      </c>
      <c r="AX33" s="98">
        <v>1096.7202841027784</v>
      </c>
      <c r="AY33" s="98">
        <v>1504.0735324838104</v>
      </c>
      <c r="AZ33" s="98">
        <v>752.0367662419052</v>
      </c>
      <c r="BA33" s="100" t="s">
        <v>562</v>
      </c>
      <c r="BB33" s="100" t="s">
        <v>562</v>
      </c>
      <c r="BC33" s="100" t="s">
        <v>562</v>
      </c>
      <c r="BD33" s="158">
        <v>1.087078857</v>
      </c>
      <c r="BE33" s="158">
        <v>1.314297333</v>
      </c>
      <c r="BF33" s="162">
        <v>2563</v>
      </c>
      <c r="BG33" s="162">
        <v>2500</v>
      </c>
      <c r="BH33" s="162">
        <v>4626</v>
      </c>
      <c r="BI33" s="162">
        <v>2226</v>
      </c>
      <c r="BJ33" s="162">
        <v>1087</v>
      </c>
      <c r="BK33" s="97"/>
      <c r="BL33" s="97"/>
      <c r="BM33" s="97"/>
      <c r="BN33" s="97"/>
    </row>
    <row r="34" spans="1:66" ht="12.75">
      <c r="A34" s="79" t="s">
        <v>548</v>
      </c>
      <c r="B34" s="79" t="s">
        <v>319</v>
      </c>
      <c r="C34" s="79" t="s">
        <v>51</v>
      </c>
      <c r="D34" s="99">
        <v>8828</v>
      </c>
      <c r="E34" s="99">
        <v>1506</v>
      </c>
      <c r="F34" s="99" t="s">
        <v>346</v>
      </c>
      <c r="G34" s="99">
        <v>41</v>
      </c>
      <c r="H34" s="99">
        <v>32</v>
      </c>
      <c r="I34" s="99">
        <v>159</v>
      </c>
      <c r="J34" s="99">
        <v>1061</v>
      </c>
      <c r="K34" s="99">
        <v>1010</v>
      </c>
      <c r="L34" s="99">
        <v>1694</v>
      </c>
      <c r="M34" s="99">
        <v>674</v>
      </c>
      <c r="N34" s="99">
        <v>326</v>
      </c>
      <c r="O34" s="99">
        <v>233</v>
      </c>
      <c r="P34" s="159">
        <v>233</v>
      </c>
      <c r="Q34" s="99">
        <v>17</v>
      </c>
      <c r="R34" s="99">
        <v>41</v>
      </c>
      <c r="S34" s="99">
        <v>68</v>
      </c>
      <c r="T34" s="99">
        <v>15</v>
      </c>
      <c r="U34" s="99">
        <v>12</v>
      </c>
      <c r="V34" s="99">
        <v>36</v>
      </c>
      <c r="W34" s="99">
        <v>74</v>
      </c>
      <c r="X34" s="99">
        <v>107</v>
      </c>
      <c r="Y34" s="99">
        <v>199</v>
      </c>
      <c r="Z34" s="99">
        <v>92</v>
      </c>
      <c r="AA34" s="99" t="s">
        <v>562</v>
      </c>
      <c r="AB34" s="99" t="s">
        <v>562</v>
      </c>
      <c r="AC34" s="99" t="s">
        <v>562</v>
      </c>
      <c r="AD34" s="98" t="s">
        <v>326</v>
      </c>
      <c r="AE34" s="100">
        <v>0.1705935659265972</v>
      </c>
      <c r="AF34" s="100">
        <v>0.21</v>
      </c>
      <c r="AG34" s="98">
        <v>464.4313547802447</v>
      </c>
      <c r="AH34" s="98">
        <v>362.48300860897143</v>
      </c>
      <c r="AI34" s="100">
        <v>0.018000000000000002</v>
      </c>
      <c r="AJ34" s="100">
        <v>0.821207</v>
      </c>
      <c r="AK34" s="100">
        <v>0.807354</v>
      </c>
      <c r="AL34" s="100">
        <v>0.779209</v>
      </c>
      <c r="AM34" s="100">
        <v>0.596988</v>
      </c>
      <c r="AN34" s="100">
        <v>0.63301</v>
      </c>
      <c r="AO34" s="98">
        <v>2639.3294064340735</v>
      </c>
      <c r="AP34" s="158">
        <v>1.346311188</v>
      </c>
      <c r="AQ34" s="100">
        <v>0.07296137339055794</v>
      </c>
      <c r="AR34" s="100">
        <v>0.4146341463414634</v>
      </c>
      <c r="AS34" s="98">
        <v>770.2763932940643</v>
      </c>
      <c r="AT34" s="98">
        <v>169.91391028545536</v>
      </c>
      <c r="AU34" s="98">
        <v>135.9311282283643</v>
      </c>
      <c r="AV34" s="98">
        <v>407.79338468509286</v>
      </c>
      <c r="AW34" s="98">
        <v>838.2419574082464</v>
      </c>
      <c r="AX34" s="98">
        <v>1212.0525600362482</v>
      </c>
      <c r="AY34" s="98">
        <v>2254.1912097870413</v>
      </c>
      <c r="AZ34" s="98">
        <v>1042.1386497507929</v>
      </c>
      <c r="BA34" s="100" t="s">
        <v>562</v>
      </c>
      <c r="BB34" s="100" t="s">
        <v>562</v>
      </c>
      <c r="BC34" s="100" t="s">
        <v>562</v>
      </c>
      <c r="BD34" s="158">
        <v>1.178978882</v>
      </c>
      <c r="BE34" s="158">
        <v>1.5307344059999999</v>
      </c>
      <c r="BF34" s="162">
        <v>1292</v>
      </c>
      <c r="BG34" s="162">
        <v>1251</v>
      </c>
      <c r="BH34" s="162">
        <v>2174</v>
      </c>
      <c r="BI34" s="162">
        <v>1129</v>
      </c>
      <c r="BJ34" s="162">
        <v>515</v>
      </c>
      <c r="BK34" s="97"/>
      <c r="BL34" s="97"/>
      <c r="BM34" s="97"/>
      <c r="BN34" s="97"/>
    </row>
    <row r="35" spans="1:66" ht="12.75">
      <c r="A35" s="79" t="s">
        <v>551</v>
      </c>
      <c r="B35" s="79" t="s">
        <v>322</v>
      </c>
      <c r="C35" s="79" t="s">
        <v>51</v>
      </c>
      <c r="D35" s="99">
        <v>1947</v>
      </c>
      <c r="E35" s="99">
        <v>360</v>
      </c>
      <c r="F35" s="99" t="s">
        <v>349</v>
      </c>
      <c r="G35" s="99">
        <v>6</v>
      </c>
      <c r="H35" s="99" t="s">
        <v>562</v>
      </c>
      <c r="I35" s="99">
        <v>33</v>
      </c>
      <c r="J35" s="99">
        <v>192</v>
      </c>
      <c r="K35" s="99" t="s">
        <v>562</v>
      </c>
      <c r="L35" s="99">
        <v>396</v>
      </c>
      <c r="M35" s="99">
        <v>152</v>
      </c>
      <c r="N35" s="99">
        <v>75</v>
      </c>
      <c r="O35" s="99">
        <v>33</v>
      </c>
      <c r="P35" s="159">
        <v>33</v>
      </c>
      <c r="Q35" s="99" t="s">
        <v>562</v>
      </c>
      <c r="R35" s="99">
        <v>11</v>
      </c>
      <c r="S35" s="99">
        <v>10</v>
      </c>
      <c r="T35" s="99">
        <v>15</v>
      </c>
      <c r="U35" s="99" t="s">
        <v>562</v>
      </c>
      <c r="V35" s="99" t="s">
        <v>562</v>
      </c>
      <c r="W35" s="99">
        <v>16</v>
      </c>
      <c r="X35" s="99">
        <v>13</v>
      </c>
      <c r="Y35" s="99">
        <v>19</v>
      </c>
      <c r="Z35" s="99">
        <v>17</v>
      </c>
      <c r="AA35" s="99" t="s">
        <v>562</v>
      </c>
      <c r="AB35" s="99" t="s">
        <v>562</v>
      </c>
      <c r="AC35" s="99" t="s">
        <v>562</v>
      </c>
      <c r="AD35" s="98" t="s">
        <v>326</v>
      </c>
      <c r="AE35" s="100">
        <v>0.18489984591679506</v>
      </c>
      <c r="AF35" s="100">
        <v>0.13</v>
      </c>
      <c r="AG35" s="98">
        <v>308.1664098613251</v>
      </c>
      <c r="AH35" s="98" t="s">
        <v>562</v>
      </c>
      <c r="AI35" s="100">
        <v>0.017</v>
      </c>
      <c r="AJ35" s="100">
        <v>0.75</v>
      </c>
      <c r="AK35" s="100" t="s">
        <v>562</v>
      </c>
      <c r="AL35" s="100">
        <v>0.855292</v>
      </c>
      <c r="AM35" s="100">
        <v>0.537102</v>
      </c>
      <c r="AN35" s="100">
        <v>0.576923</v>
      </c>
      <c r="AO35" s="98">
        <v>1694.915254237288</v>
      </c>
      <c r="AP35" s="158">
        <v>0.8539974213000001</v>
      </c>
      <c r="AQ35" s="100" t="s">
        <v>562</v>
      </c>
      <c r="AR35" s="100" t="s">
        <v>562</v>
      </c>
      <c r="AS35" s="98">
        <v>513.6106831022086</v>
      </c>
      <c r="AT35" s="98">
        <v>770.4160246533128</v>
      </c>
      <c r="AU35" s="98" t="s">
        <v>562</v>
      </c>
      <c r="AV35" s="98" t="s">
        <v>562</v>
      </c>
      <c r="AW35" s="98">
        <v>821.7770929635336</v>
      </c>
      <c r="AX35" s="98">
        <v>667.6938880328711</v>
      </c>
      <c r="AY35" s="98">
        <v>975.8602978941962</v>
      </c>
      <c r="AZ35" s="98">
        <v>873.1381612737545</v>
      </c>
      <c r="BA35" s="100" t="s">
        <v>562</v>
      </c>
      <c r="BB35" s="100" t="s">
        <v>562</v>
      </c>
      <c r="BC35" s="100" t="s">
        <v>562</v>
      </c>
      <c r="BD35" s="158">
        <v>0.5878525162</v>
      </c>
      <c r="BE35" s="158">
        <v>1.199329834</v>
      </c>
      <c r="BF35" s="162">
        <v>256</v>
      </c>
      <c r="BG35" s="162" t="s">
        <v>562</v>
      </c>
      <c r="BH35" s="162">
        <v>463</v>
      </c>
      <c r="BI35" s="162">
        <v>283</v>
      </c>
      <c r="BJ35" s="162">
        <v>130</v>
      </c>
      <c r="BK35" s="97"/>
      <c r="BL35" s="97"/>
      <c r="BM35" s="97"/>
      <c r="BN35" s="97"/>
    </row>
    <row r="36" spans="1:66" ht="12.75">
      <c r="A36" s="79" t="s">
        <v>516</v>
      </c>
      <c r="B36" s="79" t="s">
        <v>285</v>
      </c>
      <c r="C36" s="79" t="s">
        <v>51</v>
      </c>
      <c r="D36" s="99">
        <v>9092</v>
      </c>
      <c r="E36" s="99">
        <v>2050</v>
      </c>
      <c r="F36" s="99" t="s">
        <v>348</v>
      </c>
      <c r="G36" s="99">
        <v>57</v>
      </c>
      <c r="H36" s="99">
        <v>35</v>
      </c>
      <c r="I36" s="99">
        <v>203</v>
      </c>
      <c r="J36" s="99">
        <v>1229</v>
      </c>
      <c r="K36" s="99">
        <v>17</v>
      </c>
      <c r="L36" s="99">
        <v>1836</v>
      </c>
      <c r="M36" s="99">
        <v>911</v>
      </c>
      <c r="N36" s="99">
        <v>488</v>
      </c>
      <c r="O36" s="99">
        <v>255</v>
      </c>
      <c r="P36" s="159">
        <v>255</v>
      </c>
      <c r="Q36" s="99">
        <v>28</v>
      </c>
      <c r="R36" s="99">
        <v>60</v>
      </c>
      <c r="S36" s="99">
        <v>65</v>
      </c>
      <c r="T36" s="99">
        <v>35</v>
      </c>
      <c r="U36" s="99">
        <v>15</v>
      </c>
      <c r="V36" s="99">
        <v>40</v>
      </c>
      <c r="W36" s="99">
        <v>54</v>
      </c>
      <c r="X36" s="99">
        <v>88</v>
      </c>
      <c r="Y36" s="99">
        <v>167</v>
      </c>
      <c r="Z36" s="99">
        <v>74</v>
      </c>
      <c r="AA36" s="99" t="s">
        <v>562</v>
      </c>
      <c r="AB36" s="99" t="s">
        <v>562</v>
      </c>
      <c r="AC36" s="99" t="s">
        <v>562</v>
      </c>
      <c r="AD36" s="98" t="s">
        <v>326</v>
      </c>
      <c r="AE36" s="100">
        <v>0.2254729432468104</v>
      </c>
      <c r="AF36" s="100">
        <v>0.1</v>
      </c>
      <c r="AG36" s="98">
        <v>626.9247690277167</v>
      </c>
      <c r="AH36" s="98">
        <v>384.9538055433348</v>
      </c>
      <c r="AI36" s="100">
        <v>0.022000000000000002</v>
      </c>
      <c r="AJ36" s="100">
        <v>0.824832</v>
      </c>
      <c r="AK36" s="100">
        <v>0.607143</v>
      </c>
      <c r="AL36" s="100">
        <v>0.833031</v>
      </c>
      <c r="AM36" s="100">
        <v>0.65634</v>
      </c>
      <c r="AN36" s="100">
        <v>0.682517</v>
      </c>
      <c r="AO36" s="98">
        <v>2804.6634403871535</v>
      </c>
      <c r="AP36" s="158">
        <v>1.250997772</v>
      </c>
      <c r="AQ36" s="100">
        <v>0.10980392156862745</v>
      </c>
      <c r="AR36" s="100">
        <v>0.4666666666666667</v>
      </c>
      <c r="AS36" s="98">
        <v>714.9142102947646</v>
      </c>
      <c r="AT36" s="98">
        <v>384.9538055433348</v>
      </c>
      <c r="AU36" s="98">
        <v>164.98020237571492</v>
      </c>
      <c r="AV36" s="98">
        <v>439.9472063352398</v>
      </c>
      <c r="AW36" s="98">
        <v>593.9287285525737</v>
      </c>
      <c r="AX36" s="98">
        <v>967.8838539375275</v>
      </c>
      <c r="AY36" s="98">
        <v>1836.779586449626</v>
      </c>
      <c r="AZ36" s="98">
        <v>813.9023317201936</v>
      </c>
      <c r="BA36" s="100" t="s">
        <v>562</v>
      </c>
      <c r="BB36" s="100" t="s">
        <v>562</v>
      </c>
      <c r="BC36" s="100" t="s">
        <v>562</v>
      </c>
      <c r="BD36" s="158">
        <v>1.10215126</v>
      </c>
      <c r="BE36" s="158">
        <v>1.4143415830000001</v>
      </c>
      <c r="BF36" s="162">
        <v>1490</v>
      </c>
      <c r="BG36" s="162">
        <v>28</v>
      </c>
      <c r="BH36" s="162">
        <v>2204</v>
      </c>
      <c r="BI36" s="162">
        <v>1388</v>
      </c>
      <c r="BJ36" s="162">
        <v>715</v>
      </c>
      <c r="BK36" s="97"/>
      <c r="BL36" s="97"/>
      <c r="BM36" s="97"/>
      <c r="BN36" s="97"/>
    </row>
    <row r="37" spans="1:66" ht="12.75">
      <c r="A37" s="79" t="s">
        <v>527</v>
      </c>
      <c r="B37" s="79" t="s">
        <v>296</v>
      </c>
      <c r="C37" s="79" t="s">
        <v>51</v>
      </c>
      <c r="D37" s="99">
        <v>9593</v>
      </c>
      <c r="E37" s="99">
        <v>2097</v>
      </c>
      <c r="F37" s="99" t="s">
        <v>348</v>
      </c>
      <c r="G37" s="99">
        <v>57</v>
      </c>
      <c r="H37" s="99">
        <v>27</v>
      </c>
      <c r="I37" s="99">
        <v>198</v>
      </c>
      <c r="J37" s="99">
        <v>1193</v>
      </c>
      <c r="K37" s="99">
        <v>17</v>
      </c>
      <c r="L37" s="99">
        <v>1877</v>
      </c>
      <c r="M37" s="99">
        <v>900</v>
      </c>
      <c r="N37" s="99">
        <v>468</v>
      </c>
      <c r="O37" s="99">
        <v>226</v>
      </c>
      <c r="P37" s="159">
        <v>226</v>
      </c>
      <c r="Q37" s="99">
        <v>16</v>
      </c>
      <c r="R37" s="99">
        <v>40</v>
      </c>
      <c r="S37" s="99">
        <v>47</v>
      </c>
      <c r="T37" s="99">
        <v>6</v>
      </c>
      <c r="U37" s="99">
        <v>9</v>
      </c>
      <c r="V37" s="99">
        <v>51</v>
      </c>
      <c r="W37" s="99">
        <v>51</v>
      </c>
      <c r="X37" s="99">
        <v>100</v>
      </c>
      <c r="Y37" s="99">
        <v>172</v>
      </c>
      <c r="Z37" s="99">
        <v>83</v>
      </c>
      <c r="AA37" s="99" t="s">
        <v>562</v>
      </c>
      <c r="AB37" s="99" t="s">
        <v>562</v>
      </c>
      <c r="AC37" s="99" t="s">
        <v>562</v>
      </c>
      <c r="AD37" s="98" t="s">
        <v>326</v>
      </c>
      <c r="AE37" s="100">
        <v>0.21859689356822684</v>
      </c>
      <c r="AF37" s="100">
        <v>0.11</v>
      </c>
      <c r="AG37" s="98">
        <v>594.1832586260815</v>
      </c>
      <c r="AH37" s="98">
        <v>281.45522777024917</v>
      </c>
      <c r="AI37" s="100">
        <v>0.021</v>
      </c>
      <c r="AJ37" s="100">
        <v>0.822192</v>
      </c>
      <c r="AK37" s="100">
        <v>0.708333</v>
      </c>
      <c r="AL37" s="100">
        <v>0.795002</v>
      </c>
      <c r="AM37" s="100">
        <v>0.65312</v>
      </c>
      <c r="AN37" s="100">
        <v>0.686217</v>
      </c>
      <c r="AO37" s="98">
        <v>2355.884499113937</v>
      </c>
      <c r="AP37" s="158">
        <v>1.071913834</v>
      </c>
      <c r="AQ37" s="100">
        <v>0.07079646017699115</v>
      </c>
      <c r="AR37" s="100">
        <v>0.4</v>
      </c>
      <c r="AS37" s="98">
        <v>489.9405816741374</v>
      </c>
      <c r="AT37" s="98">
        <v>62.545606171166476</v>
      </c>
      <c r="AU37" s="98">
        <v>93.81840925674972</v>
      </c>
      <c r="AV37" s="98">
        <v>531.637652454915</v>
      </c>
      <c r="AW37" s="98">
        <v>531.637652454915</v>
      </c>
      <c r="AX37" s="98">
        <v>1042.4267695194412</v>
      </c>
      <c r="AY37" s="98">
        <v>1792.974043573439</v>
      </c>
      <c r="AZ37" s="98">
        <v>865.2142187011362</v>
      </c>
      <c r="BA37" s="100" t="s">
        <v>562</v>
      </c>
      <c r="BB37" s="100" t="s">
        <v>562</v>
      </c>
      <c r="BC37" s="100" t="s">
        <v>562</v>
      </c>
      <c r="BD37" s="158">
        <v>0.9367082977</v>
      </c>
      <c r="BE37" s="158">
        <v>1.221153107</v>
      </c>
      <c r="BF37" s="162">
        <v>1451</v>
      </c>
      <c r="BG37" s="162">
        <v>24</v>
      </c>
      <c r="BH37" s="162">
        <v>2361</v>
      </c>
      <c r="BI37" s="162">
        <v>1378</v>
      </c>
      <c r="BJ37" s="162">
        <v>682</v>
      </c>
      <c r="BK37" s="97"/>
      <c r="BL37" s="97"/>
      <c r="BM37" s="97"/>
      <c r="BN37" s="97"/>
    </row>
    <row r="38" spans="1:66" ht="12.75">
      <c r="A38" s="79" t="s">
        <v>521</v>
      </c>
      <c r="B38" s="79" t="s">
        <v>290</v>
      </c>
      <c r="C38" s="79" t="s">
        <v>51</v>
      </c>
      <c r="D38" s="99">
        <v>6664</v>
      </c>
      <c r="E38" s="99">
        <v>1108</v>
      </c>
      <c r="F38" s="99" t="s">
        <v>346</v>
      </c>
      <c r="G38" s="99">
        <v>44</v>
      </c>
      <c r="H38" s="99">
        <v>25</v>
      </c>
      <c r="I38" s="99">
        <v>132</v>
      </c>
      <c r="J38" s="99">
        <v>573</v>
      </c>
      <c r="K38" s="99">
        <v>8</v>
      </c>
      <c r="L38" s="99">
        <v>1273</v>
      </c>
      <c r="M38" s="99">
        <v>403</v>
      </c>
      <c r="N38" s="99">
        <v>197</v>
      </c>
      <c r="O38" s="99">
        <v>209</v>
      </c>
      <c r="P38" s="159">
        <v>209</v>
      </c>
      <c r="Q38" s="99">
        <v>22</v>
      </c>
      <c r="R38" s="99">
        <v>43</v>
      </c>
      <c r="S38" s="99">
        <v>49</v>
      </c>
      <c r="T38" s="99">
        <v>19</v>
      </c>
      <c r="U38" s="99">
        <v>17</v>
      </c>
      <c r="V38" s="99">
        <v>26</v>
      </c>
      <c r="W38" s="99">
        <v>30</v>
      </c>
      <c r="X38" s="99">
        <v>78</v>
      </c>
      <c r="Y38" s="99">
        <v>124</v>
      </c>
      <c r="Z38" s="99">
        <v>96</v>
      </c>
      <c r="AA38" s="99" t="s">
        <v>562</v>
      </c>
      <c r="AB38" s="99" t="s">
        <v>562</v>
      </c>
      <c r="AC38" s="99" t="s">
        <v>562</v>
      </c>
      <c r="AD38" s="98" t="s">
        <v>326</v>
      </c>
      <c r="AE38" s="100">
        <v>0.16626650660264106</v>
      </c>
      <c r="AF38" s="100">
        <v>0.19</v>
      </c>
      <c r="AG38" s="98">
        <v>660.2641056422569</v>
      </c>
      <c r="AH38" s="98">
        <v>375.1500600240096</v>
      </c>
      <c r="AI38" s="100">
        <v>0.02</v>
      </c>
      <c r="AJ38" s="100">
        <v>0.693705</v>
      </c>
      <c r="AK38" s="100">
        <v>0.666667</v>
      </c>
      <c r="AL38" s="100">
        <v>0.796621</v>
      </c>
      <c r="AM38" s="100">
        <v>0.526797</v>
      </c>
      <c r="AN38" s="100">
        <v>0.55493</v>
      </c>
      <c r="AO38" s="98">
        <v>3136.2545018007204</v>
      </c>
      <c r="AP38" s="158">
        <v>1.677710419</v>
      </c>
      <c r="AQ38" s="100">
        <v>0.10526315789473684</v>
      </c>
      <c r="AR38" s="100">
        <v>0.5116279069767442</v>
      </c>
      <c r="AS38" s="98">
        <v>735.2941176470588</v>
      </c>
      <c r="AT38" s="98">
        <v>285.1140456182473</v>
      </c>
      <c r="AU38" s="98">
        <v>255.10204081632654</v>
      </c>
      <c r="AV38" s="98">
        <v>390.15606242497</v>
      </c>
      <c r="AW38" s="98">
        <v>450.18007202881154</v>
      </c>
      <c r="AX38" s="98">
        <v>1170.46818727491</v>
      </c>
      <c r="AY38" s="98">
        <v>1860.7442977190876</v>
      </c>
      <c r="AZ38" s="98">
        <v>1440.5762304921968</v>
      </c>
      <c r="BA38" s="100" t="s">
        <v>562</v>
      </c>
      <c r="BB38" s="100" t="s">
        <v>562</v>
      </c>
      <c r="BC38" s="100" t="s">
        <v>562</v>
      </c>
      <c r="BD38" s="158">
        <v>1.4579531860000001</v>
      </c>
      <c r="BE38" s="158">
        <v>1.921239777</v>
      </c>
      <c r="BF38" s="162">
        <v>826</v>
      </c>
      <c r="BG38" s="162">
        <v>12</v>
      </c>
      <c r="BH38" s="162">
        <v>1598</v>
      </c>
      <c r="BI38" s="162">
        <v>765</v>
      </c>
      <c r="BJ38" s="162">
        <v>355</v>
      </c>
      <c r="BK38" s="97"/>
      <c r="BL38" s="97"/>
      <c r="BM38" s="97"/>
      <c r="BN38" s="97"/>
    </row>
    <row r="39" spans="1:66" ht="12.75">
      <c r="A39" s="79" t="s">
        <v>549</v>
      </c>
      <c r="B39" s="79" t="s">
        <v>320</v>
      </c>
      <c r="C39" s="79" t="s">
        <v>51</v>
      </c>
      <c r="D39" s="99">
        <v>1770</v>
      </c>
      <c r="E39" s="99">
        <v>462</v>
      </c>
      <c r="F39" s="99" t="s">
        <v>348</v>
      </c>
      <c r="G39" s="99">
        <v>10</v>
      </c>
      <c r="H39" s="99">
        <v>10</v>
      </c>
      <c r="I39" s="99">
        <v>21</v>
      </c>
      <c r="J39" s="99">
        <v>225</v>
      </c>
      <c r="K39" s="99" t="s">
        <v>562</v>
      </c>
      <c r="L39" s="99">
        <v>337</v>
      </c>
      <c r="M39" s="99">
        <v>188</v>
      </c>
      <c r="N39" s="99">
        <v>94</v>
      </c>
      <c r="O39" s="99">
        <v>50</v>
      </c>
      <c r="P39" s="159">
        <v>50</v>
      </c>
      <c r="Q39" s="99">
        <v>8</v>
      </c>
      <c r="R39" s="99">
        <v>19</v>
      </c>
      <c r="S39" s="99">
        <v>8</v>
      </c>
      <c r="T39" s="99" t="s">
        <v>562</v>
      </c>
      <c r="U39" s="99" t="s">
        <v>562</v>
      </c>
      <c r="V39" s="99">
        <v>14</v>
      </c>
      <c r="W39" s="99">
        <v>10</v>
      </c>
      <c r="X39" s="99">
        <v>17</v>
      </c>
      <c r="Y39" s="99">
        <v>35</v>
      </c>
      <c r="Z39" s="99">
        <v>22</v>
      </c>
      <c r="AA39" s="99" t="s">
        <v>562</v>
      </c>
      <c r="AB39" s="99" t="s">
        <v>562</v>
      </c>
      <c r="AC39" s="99" t="s">
        <v>562</v>
      </c>
      <c r="AD39" s="98" t="s">
        <v>326</v>
      </c>
      <c r="AE39" s="100">
        <v>0.26101694915254237</v>
      </c>
      <c r="AF39" s="100">
        <v>0.11</v>
      </c>
      <c r="AG39" s="98">
        <v>564.9717514124294</v>
      </c>
      <c r="AH39" s="98">
        <v>564.9717514124294</v>
      </c>
      <c r="AI39" s="100">
        <v>0.012</v>
      </c>
      <c r="AJ39" s="100">
        <v>0.696594</v>
      </c>
      <c r="AK39" s="100" t="s">
        <v>562</v>
      </c>
      <c r="AL39" s="100">
        <v>0.79669</v>
      </c>
      <c r="AM39" s="100">
        <v>0.596825</v>
      </c>
      <c r="AN39" s="100">
        <v>0.635135</v>
      </c>
      <c r="AO39" s="98">
        <v>2824.858757062147</v>
      </c>
      <c r="AP39" s="158">
        <v>1.1327191159999999</v>
      </c>
      <c r="AQ39" s="100">
        <v>0.16</v>
      </c>
      <c r="AR39" s="100">
        <v>0.42105263157894735</v>
      </c>
      <c r="AS39" s="98">
        <v>451.97740112994353</v>
      </c>
      <c r="AT39" s="98" t="s">
        <v>562</v>
      </c>
      <c r="AU39" s="98" t="s">
        <v>562</v>
      </c>
      <c r="AV39" s="98">
        <v>790.9604519774011</v>
      </c>
      <c r="AW39" s="98">
        <v>564.9717514124294</v>
      </c>
      <c r="AX39" s="98">
        <v>960.45197740113</v>
      </c>
      <c r="AY39" s="98">
        <v>1977.4011299435028</v>
      </c>
      <c r="AZ39" s="98">
        <v>1242.9378531073446</v>
      </c>
      <c r="BA39" s="100" t="s">
        <v>562</v>
      </c>
      <c r="BB39" s="100" t="s">
        <v>562</v>
      </c>
      <c r="BC39" s="100" t="s">
        <v>562</v>
      </c>
      <c r="BD39" s="158">
        <v>0.8407259369000001</v>
      </c>
      <c r="BE39" s="158">
        <v>1.4933489990000002</v>
      </c>
      <c r="BF39" s="162">
        <v>323</v>
      </c>
      <c r="BG39" s="162" t="s">
        <v>562</v>
      </c>
      <c r="BH39" s="162">
        <v>423</v>
      </c>
      <c r="BI39" s="162">
        <v>315</v>
      </c>
      <c r="BJ39" s="162">
        <v>148</v>
      </c>
      <c r="BK39" s="97"/>
      <c r="BL39" s="97"/>
      <c r="BM39" s="97"/>
      <c r="BN39" s="97"/>
    </row>
    <row r="40" spans="1:66" ht="12.75">
      <c r="A40" s="79" t="s">
        <v>513</v>
      </c>
      <c r="B40" s="79" t="s">
        <v>282</v>
      </c>
      <c r="C40" s="79" t="s">
        <v>51</v>
      </c>
      <c r="D40" s="99">
        <v>5389</v>
      </c>
      <c r="E40" s="99">
        <v>1425</v>
      </c>
      <c r="F40" s="99" t="s">
        <v>350</v>
      </c>
      <c r="G40" s="99">
        <v>27</v>
      </c>
      <c r="H40" s="99">
        <v>19</v>
      </c>
      <c r="I40" s="99">
        <v>137</v>
      </c>
      <c r="J40" s="99">
        <v>749</v>
      </c>
      <c r="K40" s="99">
        <v>14</v>
      </c>
      <c r="L40" s="99">
        <v>1000</v>
      </c>
      <c r="M40" s="99">
        <v>651</v>
      </c>
      <c r="N40" s="99">
        <v>322</v>
      </c>
      <c r="O40" s="99">
        <v>223</v>
      </c>
      <c r="P40" s="159">
        <v>223</v>
      </c>
      <c r="Q40" s="99">
        <v>20</v>
      </c>
      <c r="R40" s="99">
        <v>31</v>
      </c>
      <c r="S40" s="99">
        <v>51</v>
      </c>
      <c r="T40" s="99">
        <v>34</v>
      </c>
      <c r="U40" s="99" t="s">
        <v>562</v>
      </c>
      <c r="V40" s="99">
        <v>35</v>
      </c>
      <c r="W40" s="99">
        <v>39</v>
      </c>
      <c r="X40" s="99">
        <v>60</v>
      </c>
      <c r="Y40" s="99">
        <v>89</v>
      </c>
      <c r="Z40" s="99">
        <v>43</v>
      </c>
      <c r="AA40" s="99" t="s">
        <v>562</v>
      </c>
      <c r="AB40" s="99" t="s">
        <v>562</v>
      </c>
      <c r="AC40" s="99" t="s">
        <v>562</v>
      </c>
      <c r="AD40" s="98" t="s">
        <v>326</v>
      </c>
      <c r="AE40" s="100">
        <v>0.2644275375765448</v>
      </c>
      <c r="AF40" s="100">
        <v>0.07</v>
      </c>
      <c r="AG40" s="98">
        <v>501.0205975134533</v>
      </c>
      <c r="AH40" s="98">
        <v>352.5700501020597</v>
      </c>
      <c r="AI40" s="100">
        <v>0.025</v>
      </c>
      <c r="AJ40" s="100">
        <v>0.747505</v>
      </c>
      <c r="AK40" s="100">
        <v>0.583333</v>
      </c>
      <c r="AL40" s="100">
        <v>0.782473</v>
      </c>
      <c r="AM40" s="100">
        <v>0.657576</v>
      </c>
      <c r="AN40" s="100">
        <v>0.669439</v>
      </c>
      <c r="AO40" s="98">
        <v>4138.059009092596</v>
      </c>
      <c r="AP40" s="158">
        <v>1.6765820310000001</v>
      </c>
      <c r="AQ40" s="100">
        <v>0.08968609865470852</v>
      </c>
      <c r="AR40" s="100">
        <v>0.6451612903225806</v>
      </c>
      <c r="AS40" s="98">
        <v>946.3722397476341</v>
      </c>
      <c r="AT40" s="98">
        <v>630.9148264984227</v>
      </c>
      <c r="AU40" s="98" t="s">
        <v>562</v>
      </c>
      <c r="AV40" s="98">
        <v>649.471144924847</v>
      </c>
      <c r="AW40" s="98">
        <v>723.6964186305437</v>
      </c>
      <c r="AX40" s="98">
        <v>1113.379105585452</v>
      </c>
      <c r="AY40" s="98">
        <v>1651.5123399517536</v>
      </c>
      <c r="AZ40" s="98">
        <v>797.9216923362405</v>
      </c>
      <c r="BA40" s="100" t="s">
        <v>562</v>
      </c>
      <c r="BB40" s="100" t="s">
        <v>562</v>
      </c>
      <c r="BC40" s="100" t="s">
        <v>562</v>
      </c>
      <c r="BD40" s="158">
        <v>1.46373764</v>
      </c>
      <c r="BE40" s="158">
        <v>1.91167511</v>
      </c>
      <c r="BF40" s="162">
        <v>1002</v>
      </c>
      <c r="BG40" s="162">
        <v>24</v>
      </c>
      <c r="BH40" s="162">
        <v>1278</v>
      </c>
      <c r="BI40" s="162">
        <v>990</v>
      </c>
      <c r="BJ40" s="162">
        <v>481</v>
      </c>
      <c r="BK40" s="97"/>
      <c r="BL40" s="97"/>
      <c r="BM40" s="97"/>
      <c r="BN40" s="97"/>
    </row>
    <row r="41" spans="1:66" ht="12.75">
      <c r="A41" s="79" t="s">
        <v>538</v>
      </c>
      <c r="B41" s="79" t="s">
        <v>307</v>
      </c>
      <c r="C41" s="79" t="s">
        <v>51</v>
      </c>
      <c r="D41" s="99">
        <v>6021</v>
      </c>
      <c r="E41" s="99">
        <v>1356</v>
      </c>
      <c r="F41" s="99" t="s">
        <v>348</v>
      </c>
      <c r="G41" s="99">
        <v>31</v>
      </c>
      <c r="H41" s="99">
        <v>22</v>
      </c>
      <c r="I41" s="99">
        <v>133</v>
      </c>
      <c r="J41" s="99">
        <v>750</v>
      </c>
      <c r="K41" s="99" t="s">
        <v>562</v>
      </c>
      <c r="L41" s="99">
        <v>1201</v>
      </c>
      <c r="M41" s="99">
        <v>531</v>
      </c>
      <c r="N41" s="99">
        <v>286</v>
      </c>
      <c r="O41" s="99">
        <v>224</v>
      </c>
      <c r="P41" s="159">
        <v>224</v>
      </c>
      <c r="Q41" s="99">
        <v>24</v>
      </c>
      <c r="R41" s="99">
        <v>37</v>
      </c>
      <c r="S41" s="99">
        <v>60</v>
      </c>
      <c r="T41" s="99">
        <v>37</v>
      </c>
      <c r="U41" s="99" t="s">
        <v>562</v>
      </c>
      <c r="V41" s="99">
        <v>39</v>
      </c>
      <c r="W41" s="99">
        <v>41</v>
      </c>
      <c r="X41" s="99">
        <v>45</v>
      </c>
      <c r="Y41" s="99">
        <v>86</v>
      </c>
      <c r="Z41" s="99">
        <v>61</v>
      </c>
      <c r="AA41" s="99" t="s">
        <v>562</v>
      </c>
      <c r="AB41" s="99" t="s">
        <v>562</v>
      </c>
      <c r="AC41" s="99" t="s">
        <v>562</v>
      </c>
      <c r="AD41" s="98" t="s">
        <v>326</v>
      </c>
      <c r="AE41" s="100">
        <v>0.22521175884404585</v>
      </c>
      <c r="AF41" s="100">
        <v>0.09</v>
      </c>
      <c r="AG41" s="98">
        <v>514.8646404251785</v>
      </c>
      <c r="AH41" s="98">
        <v>365.38780933399767</v>
      </c>
      <c r="AI41" s="100">
        <v>0.022000000000000002</v>
      </c>
      <c r="AJ41" s="100">
        <v>0.825991</v>
      </c>
      <c r="AK41" s="100" t="s">
        <v>562</v>
      </c>
      <c r="AL41" s="100">
        <v>0.828847</v>
      </c>
      <c r="AM41" s="100">
        <v>0.637455</v>
      </c>
      <c r="AN41" s="100">
        <v>0.685851</v>
      </c>
      <c r="AO41" s="98">
        <v>3720.3122404916126</v>
      </c>
      <c r="AP41" s="158">
        <v>1.665417328</v>
      </c>
      <c r="AQ41" s="100">
        <v>0.10714285714285714</v>
      </c>
      <c r="AR41" s="100">
        <v>0.6486486486486487</v>
      </c>
      <c r="AS41" s="98">
        <v>996.5122072745392</v>
      </c>
      <c r="AT41" s="98">
        <v>614.5158611526324</v>
      </c>
      <c r="AU41" s="98" t="s">
        <v>562</v>
      </c>
      <c r="AV41" s="98">
        <v>647.7329347284505</v>
      </c>
      <c r="AW41" s="98">
        <v>680.9500083042684</v>
      </c>
      <c r="AX41" s="98">
        <v>747.3841554559043</v>
      </c>
      <c r="AY41" s="98">
        <v>1428.3341637601727</v>
      </c>
      <c r="AZ41" s="98">
        <v>1013.1207440624481</v>
      </c>
      <c r="BA41" s="100" t="s">
        <v>562</v>
      </c>
      <c r="BB41" s="100" t="s">
        <v>562</v>
      </c>
      <c r="BC41" s="100" t="s">
        <v>562</v>
      </c>
      <c r="BD41" s="158">
        <v>1.4544467159999999</v>
      </c>
      <c r="BE41" s="158">
        <v>1.898388824</v>
      </c>
      <c r="BF41" s="162">
        <v>908</v>
      </c>
      <c r="BG41" s="162" t="s">
        <v>562</v>
      </c>
      <c r="BH41" s="162">
        <v>1449</v>
      </c>
      <c r="BI41" s="162">
        <v>833</v>
      </c>
      <c r="BJ41" s="162">
        <v>417</v>
      </c>
      <c r="BK41" s="97"/>
      <c r="BL41" s="97"/>
      <c r="BM41" s="97"/>
      <c r="BN41" s="97"/>
    </row>
    <row r="42" spans="1:66" ht="12.75">
      <c r="A42" s="79" t="s">
        <v>566</v>
      </c>
      <c r="B42" s="79" t="s">
        <v>316</v>
      </c>
      <c r="C42" s="79" t="s">
        <v>51</v>
      </c>
      <c r="D42" s="99">
        <v>6386</v>
      </c>
      <c r="E42" s="99">
        <v>1437</v>
      </c>
      <c r="F42" s="99" t="s">
        <v>349</v>
      </c>
      <c r="G42" s="99">
        <v>23</v>
      </c>
      <c r="H42" s="99">
        <v>27</v>
      </c>
      <c r="I42" s="99">
        <v>119</v>
      </c>
      <c r="J42" s="99">
        <v>702</v>
      </c>
      <c r="K42" s="99" t="s">
        <v>562</v>
      </c>
      <c r="L42" s="99">
        <v>1185</v>
      </c>
      <c r="M42" s="99">
        <v>527</v>
      </c>
      <c r="N42" s="99">
        <v>286</v>
      </c>
      <c r="O42" s="99">
        <v>54</v>
      </c>
      <c r="P42" s="159">
        <v>54</v>
      </c>
      <c r="Q42" s="99">
        <v>10</v>
      </c>
      <c r="R42" s="99">
        <v>35</v>
      </c>
      <c r="S42" s="99">
        <v>18</v>
      </c>
      <c r="T42" s="99">
        <v>8</v>
      </c>
      <c r="U42" s="99" t="s">
        <v>562</v>
      </c>
      <c r="V42" s="99">
        <v>15</v>
      </c>
      <c r="W42" s="99">
        <v>39</v>
      </c>
      <c r="X42" s="99">
        <v>55</v>
      </c>
      <c r="Y42" s="99">
        <v>78</v>
      </c>
      <c r="Z42" s="99">
        <v>42</v>
      </c>
      <c r="AA42" s="99" t="s">
        <v>562</v>
      </c>
      <c r="AB42" s="99" t="s">
        <v>562</v>
      </c>
      <c r="AC42" s="99" t="s">
        <v>562</v>
      </c>
      <c r="AD42" s="98" t="s">
        <v>326</v>
      </c>
      <c r="AE42" s="100">
        <v>0.22502348888192922</v>
      </c>
      <c r="AF42" s="100">
        <v>0.13</v>
      </c>
      <c r="AG42" s="98">
        <v>360.1628562480426</v>
      </c>
      <c r="AH42" s="98">
        <v>422.79987472596304</v>
      </c>
      <c r="AI42" s="100">
        <v>0.019</v>
      </c>
      <c r="AJ42" s="100">
        <v>0.735079</v>
      </c>
      <c r="AK42" s="100" t="s">
        <v>562</v>
      </c>
      <c r="AL42" s="100">
        <v>0.798518</v>
      </c>
      <c r="AM42" s="100">
        <v>0.562433</v>
      </c>
      <c r="AN42" s="100">
        <v>0.604651</v>
      </c>
      <c r="AO42" s="98">
        <v>845.5997494519261</v>
      </c>
      <c r="AP42" s="158">
        <v>0.3875208664</v>
      </c>
      <c r="AQ42" s="100">
        <v>0.18518518518518517</v>
      </c>
      <c r="AR42" s="100">
        <v>0.2857142857142857</v>
      </c>
      <c r="AS42" s="98">
        <v>281.86658315064204</v>
      </c>
      <c r="AT42" s="98">
        <v>125.2740369558409</v>
      </c>
      <c r="AU42" s="98" t="s">
        <v>562</v>
      </c>
      <c r="AV42" s="98">
        <v>234.8888192922017</v>
      </c>
      <c r="AW42" s="98">
        <v>610.7109301597244</v>
      </c>
      <c r="AX42" s="98">
        <v>861.2590040714063</v>
      </c>
      <c r="AY42" s="98">
        <v>1221.4218603194488</v>
      </c>
      <c r="AZ42" s="98">
        <v>657.6886940181647</v>
      </c>
      <c r="BA42" s="100" t="s">
        <v>562</v>
      </c>
      <c r="BB42" s="100" t="s">
        <v>562</v>
      </c>
      <c r="BC42" s="100" t="s">
        <v>562</v>
      </c>
      <c r="BD42" s="158">
        <v>0.2911176109</v>
      </c>
      <c r="BE42" s="158">
        <v>0.5056306839</v>
      </c>
      <c r="BF42" s="162">
        <v>955</v>
      </c>
      <c r="BG42" s="162" t="s">
        <v>562</v>
      </c>
      <c r="BH42" s="162">
        <v>1484</v>
      </c>
      <c r="BI42" s="162">
        <v>937</v>
      </c>
      <c r="BJ42" s="162">
        <v>473</v>
      </c>
      <c r="BK42" s="97"/>
      <c r="BL42" s="97"/>
      <c r="BM42" s="97"/>
      <c r="BN42" s="97"/>
    </row>
    <row r="43" spans="1:66" ht="12.75">
      <c r="A43" s="79" t="s">
        <v>535</v>
      </c>
      <c r="B43" s="79" t="s">
        <v>304</v>
      </c>
      <c r="C43" s="79" t="s">
        <v>51</v>
      </c>
      <c r="D43" s="99">
        <v>9024</v>
      </c>
      <c r="E43" s="99">
        <v>1843</v>
      </c>
      <c r="F43" s="99" t="s">
        <v>349</v>
      </c>
      <c r="G43" s="99">
        <v>41</v>
      </c>
      <c r="H43" s="99">
        <v>33</v>
      </c>
      <c r="I43" s="99">
        <v>166</v>
      </c>
      <c r="J43" s="99">
        <v>1054</v>
      </c>
      <c r="K43" s="99">
        <v>19</v>
      </c>
      <c r="L43" s="99">
        <v>1869</v>
      </c>
      <c r="M43" s="99">
        <v>862</v>
      </c>
      <c r="N43" s="99">
        <v>429</v>
      </c>
      <c r="O43" s="99">
        <v>224</v>
      </c>
      <c r="P43" s="159">
        <v>224</v>
      </c>
      <c r="Q43" s="99">
        <v>28</v>
      </c>
      <c r="R43" s="99">
        <v>56</v>
      </c>
      <c r="S43" s="99">
        <v>45</v>
      </c>
      <c r="T43" s="99">
        <v>9</v>
      </c>
      <c r="U43" s="99">
        <v>10</v>
      </c>
      <c r="V43" s="99">
        <v>49</v>
      </c>
      <c r="W43" s="99">
        <v>64</v>
      </c>
      <c r="X43" s="99">
        <v>104</v>
      </c>
      <c r="Y43" s="99">
        <v>167</v>
      </c>
      <c r="Z43" s="99">
        <v>61</v>
      </c>
      <c r="AA43" s="99" t="s">
        <v>562</v>
      </c>
      <c r="AB43" s="99" t="s">
        <v>562</v>
      </c>
      <c r="AC43" s="99" t="s">
        <v>562</v>
      </c>
      <c r="AD43" s="98" t="s">
        <v>326</v>
      </c>
      <c r="AE43" s="100">
        <v>0.2042331560283688</v>
      </c>
      <c r="AF43" s="100">
        <v>0.13</v>
      </c>
      <c r="AG43" s="98">
        <v>454.34397163120565</v>
      </c>
      <c r="AH43" s="98">
        <v>365.6914893617021</v>
      </c>
      <c r="AI43" s="100">
        <v>0.018000000000000002</v>
      </c>
      <c r="AJ43" s="100">
        <v>0.774431</v>
      </c>
      <c r="AK43" s="100">
        <v>0.826087</v>
      </c>
      <c r="AL43" s="100">
        <v>0.831776</v>
      </c>
      <c r="AM43" s="100">
        <v>0.615714</v>
      </c>
      <c r="AN43" s="100">
        <v>0.622642</v>
      </c>
      <c r="AO43" s="98">
        <v>2482.2695035460993</v>
      </c>
      <c r="AP43" s="158">
        <v>1.183849106</v>
      </c>
      <c r="AQ43" s="100">
        <v>0.125</v>
      </c>
      <c r="AR43" s="100">
        <v>0.5</v>
      </c>
      <c r="AS43" s="98">
        <v>498.67021276595744</v>
      </c>
      <c r="AT43" s="98">
        <v>99.73404255319149</v>
      </c>
      <c r="AU43" s="98">
        <v>110.81560283687944</v>
      </c>
      <c r="AV43" s="98">
        <v>542.9964539007092</v>
      </c>
      <c r="AW43" s="98">
        <v>709.2198581560284</v>
      </c>
      <c r="AX43" s="98">
        <v>1152.4822695035461</v>
      </c>
      <c r="AY43" s="98">
        <v>1850.6205673758866</v>
      </c>
      <c r="AZ43" s="98">
        <v>675.9751773049645</v>
      </c>
      <c r="BA43" s="100" t="s">
        <v>562</v>
      </c>
      <c r="BB43" s="100" t="s">
        <v>562</v>
      </c>
      <c r="BC43" s="100" t="s">
        <v>562</v>
      </c>
      <c r="BD43" s="158">
        <v>1.033882217</v>
      </c>
      <c r="BE43" s="158">
        <v>1.349455109</v>
      </c>
      <c r="BF43" s="162">
        <v>1361</v>
      </c>
      <c r="BG43" s="162">
        <v>23</v>
      </c>
      <c r="BH43" s="162">
        <v>2247</v>
      </c>
      <c r="BI43" s="162">
        <v>1400</v>
      </c>
      <c r="BJ43" s="162">
        <v>689</v>
      </c>
      <c r="BK43" s="97"/>
      <c r="BL43" s="97"/>
      <c r="BM43" s="97"/>
      <c r="BN43" s="97"/>
    </row>
    <row r="44" spans="1:66" ht="12.75">
      <c r="A44" s="79" t="s">
        <v>519</v>
      </c>
      <c r="B44" s="79" t="s">
        <v>288</v>
      </c>
      <c r="C44" s="79" t="s">
        <v>51</v>
      </c>
      <c r="D44" s="99">
        <v>13587</v>
      </c>
      <c r="E44" s="99">
        <v>2207</v>
      </c>
      <c r="F44" s="99" t="s">
        <v>346</v>
      </c>
      <c r="G44" s="99">
        <v>77</v>
      </c>
      <c r="H44" s="99">
        <v>40</v>
      </c>
      <c r="I44" s="99">
        <v>253</v>
      </c>
      <c r="J44" s="99">
        <v>1333</v>
      </c>
      <c r="K44" s="99">
        <v>1311</v>
      </c>
      <c r="L44" s="99">
        <v>2353</v>
      </c>
      <c r="M44" s="99">
        <v>889</v>
      </c>
      <c r="N44" s="99">
        <v>467</v>
      </c>
      <c r="O44" s="99">
        <v>271</v>
      </c>
      <c r="P44" s="159">
        <v>271</v>
      </c>
      <c r="Q44" s="99">
        <v>34</v>
      </c>
      <c r="R44" s="99">
        <v>74</v>
      </c>
      <c r="S44" s="99">
        <v>63</v>
      </c>
      <c r="T44" s="99" t="s">
        <v>562</v>
      </c>
      <c r="U44" s="99">
        <v>13</v>
      </c>
      <c r="V44" s="99">
        <v>37</v>
      </c>
      <c r="W44" s="99">
        <v>80</v>
      </c>
      <c r="X44" s="99">
        <v>143</v>
      </c>
      <c r="Y44" s="99">
        <v>204</v>
      </c>
      <c r="Z44" s="99">
        <v>101</v>
      </c>
      <c r="AA44" s="99" t="s">
        <v>562</v>
      </c>
      <c r="AB44" s="99" t="s">
        <v>562</v>
      </c>
      <c r="AC44" s="99" t="s">
        <v>562</v>
      </c>
      <c r="AD44" s="98" t="s">
        <v>326</v>
      </c>
      <c r="AE44" s="100">
        <v>0.16243468020902332</v>
      </c>
      <c r="AF44" s="100">
        <v>0.21</v>
      </c>
      <c r="AG44" s="98">
        <v>566.7181865018032</v>
      </c>
      <c r="AH44" s="98">
        <v>294.39905792301465</v>
      </c>
      <c r="AI44" s="100">
        <v>0.019</v>
      </c>
      <c r="AJ44" s="100">
        <v>0.75868</v>
      </c>
      <c r="AK44" s="100">
        <v>0.766667</v>
      </c>
      <c r="AL44" s="100">
        <v>0.733936</v>
      </c>
      <c r="AM44" s="100">
        <v>0.582187</v>
      </c>
      <c r="AN44" s="100">
        <v>0.609661</v>
      </c>
      <c r="AO44" s="98">
        <v>1994.5536174284243</v>
      </c>
      <c r="AP44" s="158">
        <v>1.06079834</v>
      </c>
      <c r="AQ44" s="100">
        <v>0.12546125461254612</v>
      </c>
      <c r="AR44" s="100">
        <v>0.4594594594594595</v>
      </c>
      <c r="AS44" s="98">
        <v>463.6785162287481</v>
      </c>
      <c r="AT44" s="98" t="s">
        <v>562</v>
      </c>
      <c r="AU44" s="98">
        <v>95.67969382497976</v>
      </c>
      <c r="AV44" s="98">
        <v>272.31912857878854</v>
      </c>
      <c r="AW44" s="98">
        <v>588.7981158460293</v>
      </c>
      <c r="AX44" s="98">
        <v>1052.4766320747774</v>
      </c>
      <c r="AY44" s="98">
        <v>1501.4351954073747</v>
      </c>
      <c r="AZ44" s="98">
        <v>743.357621255612</v>
      </c>
      <c r="BA44" s="100" t="s">
        <v>562</v>
      </c>
      <c r="BB44" s="100" t="s">
        <v>562</v>
      </c>
      <c r="BC44" s="100" t="s">
        <v>562</v>
      </c>
      <c r="BD44" s="158">
        <v>0.9382477570000001</v>
      </c>
      <c r="BE44" s="158">
        <v>1.19490921</v>
      </c>
      <c r="BF44" s="162">
        <v>1757</v>
      </c>
      <c r="BG44" s="162">
        <v>1710</v>
      </c>
      <c r="BH44" s="162">
        <v>3206</v>
      </c>
      <c r="BI44" s="162">
        <v>1527</v>
      </c>
      <c r="BJ44" s="162">
        <v>766</v>
      </c>
      <c r="BK44" s="97"/>
      <c r="BL44" s="97"/>
      <c r="BM44" s="97"/>
      <c r="BN44" s="97"/>
    </row>
    <row r="45" spans="1:66" ht="12.75">
      <c r="A45" s="79" t="s">
        <v>531</v>
      </c>
      <c r="B45" s="79" t="s">
        <v>300</v>
      </c>
      <c r="C45" s="79" t="s">
        <v>51</v>
      </c>
      <c r="D45" s="99">
        <v>9603</v>
      </c>
      <c r="E45" s="99">
        <v>2085</v>
      </c>
      <c r="F45" s="99" t="s">
        <v>349</v>
      </c>
      <c r="G45" s="99">
        <v>63</v>
      </c>
      <c r="H45" s="99">
        <v>28</v>
      </c>
      <c r="I45" s="99">
        <v>129</v>
      </c>
      <c r="J45" s="99">
        <v>1041</v>
      </c>
      <c r="K45" s="99">
        <v>6</v>
      </c>
      <c r="L45" s="99">
        <v>1833</v>
      </c>
      <c r="M45" s="99">
        <v>819</v>
      </c>
      <c r="N45" s="99">
        <v>371</v>
      </c>
      <c r="O45" s="99">
        <v>210</v>
      </c>
      <c r="P45" s="159">
        <v>210</v>
      </c>
      <c r="Q45" s="99">
        <v>23</v>
      </c>
      <c r="R45" s="99">
        <v>42</v>
      </c>
      <c r="S45" s="99">
        <v>48</v>
      </c>
      <c r="T45" s="99">
        <v>25</v>
      </c>
      <c r="U45" s="99">
        <v>8</v>
      </c>
      <c r="V45" s="99">
        <v>35</v>
      </c>
      <c r="W45" s="99">
        <v>57</v>
      </c>
      <c r="X45" s="99">
        <v>69</v>
      </c>
      <c r="Y45" s="99">
        <v>119</v>
      </c>
      <c r="Z45" s="99">
        <v>58</v>
      </c>
      <c r="AA45" s="99" t="s">
        <v>562</v>
      </c>
      <c r="AB45" s="99" t="s">
        <v>562</v>
      </c>
      <c r="AC45" s="99" t="s">
        <v>562</v>
      </c>
      <c r="AD45" s="98" t="s">
        <v>326</v>
      </c>
      <c r="AE45" s="100">
        <v>0.21711965010934084</v>
      </c>
      <c r="AF45" s="100">
        <v>0.14</v>
      </c>
      <c r="AG45" s="98">
        <v>656.0449859418932</v>
      </c>
      <c r="AH45" s="98">
        <v>291.5755493075081</v>
      </c>
      <c r="AI45" s="100">
        <v>0.013000000000000001</v>
      </c>
      <c r="AJ45" s="100">
        <v>0.735689</v>
      </c>
      <c r="AK45" s="100">
        <v>0.5</v>
      </c>
      <c r="AL45" s="100">
        <v>0.813221</v>
      </c>
      <c r="AM45" s="100">
        <v>0.623762</v>
      </c>
      <c r="AN45" s="100">
        <v>0.633106</v>
      </c>
      <c r="AO45" s="98">
        <v>2186.8166198063104</v>
      </c>
      <c r="AP45" s="158">
        <v>1.018372498</v>
      </c>
      <c r="AQ45" s="100">
        <v>0.10952380952380952</v>
      </c>
      <c r="AR45" s="100">
        <v>0.5476190476190477</v>
      </c>
      <c r="AS45" s="98">
        <v>499.843798812871</v>
      </c>
      <c r="AT45" s="98">
        <v>260.33531188170366</v>
      </c>
      <c r="AU45" s="98">
        <v>83.30729980214517</v>
      </c>
      <c r="AV45" s="98">
        <v>364.4694366343851</v>
      </c>
      <c r="AW45" s="98">
        <v>593.5645110902843</v>
      </c>
      <c r="AX45" s="98">
        <v>718.525460793502</v>
      </c>
      <c r="AY45" s="98">
        <v>1239.1960845569092</v>
      </c>
      <c r="AZ45" s="98">
        <v>603.9779235655525</v>
      </c>
      <c r="BA45" s="101" t="s">
        <v>562</v>
      </c>
      <c r="BB45" s="101" t="s">
        <v>562</v>
      </c>
      <c r="BC45" s="101" t="s">
        <v>562</v>
      </c>
      <c r="BD45" s="158">
        <v>0.8852862549</v>
      </c>
      <c r="BE45" s="158">
        <v>1.165818863</v>
      </c>
      <c r="BF45" s="162">
        <v>1415</v>
      </c>
      <c r="BG45" s="162">
        <v>12</v>
      </c>
      <c r="BH45" s="162">
        <v>2254</v>
      </c>
      <c r="BI45" s="162">
        <v>1313</v>
      </c>
      <c r="BJ45" s="162">
        <v>586</v>
      </c>
      <c r="BK45" s="97"/>
      <c r="BL45" s="97"/>
      <c r="BM45" s="97"/>
      <c r="BN45" s="97"/>
    </row>
    <row r="46" spans="1:66" ht="12.75">
      <c r="A46" s="79" t="s">
        <v>541</v>
      </c>
      <c r="B46" s="79" t="s">
        <v>309</v>
      </c>
      <c r="C46" s="79" t="s">
        <v>51</v>
      </c>
      <c r="D46" s="99">
        <v>16877</v>
      </c>
      <c r="E46" s="99">
        <v>3334</v>
      </c>
      <c r="F46" s="99" t="s">
        <v>349</v>
      </c>
      <c r="G46" s="99">
        <v>94</v>
      </c>
      <c r="H46" s="99">
        <v>48</v>
      </c>
      <c r="I46" s="99">
        <v>392</v>
      </c>
      <c r="J46" s="99">
        <v>1769</v>
      </c>
      <c r="K46" s="99">
        <v>50</v>
      </c>
      <c r="L46" s="99">
        <v>3322</v>
      </c>
      <c r="M46" s="99">
        <v>1166</v>
      </c>
      <c r="N46" s="99">
        <v>573</v>
      </c>
      <c r="O46" s="99">
        <v>535</v>
      </c>
      <c r="P46" s="159">
        <v>535</v>
      </c>
      <c r="Q46" s="99">
        <v>50</v>
      </c>
      <c r="R46" s="99">
        <v>87</v>
      </c>
      <c r="S46" s="99">
        <v>96</v>
      </c>
      <c r="T46" s="99">
        <v>99</v>
      </c>
      <c r="U46" s="99">
        <v>26</v>
      </c>
      <c r="V46" s="99">
        <v>52</v>
      </c>
      <c r="W46" s="99">
        <v>125</v>
      </c>
      <c r="X46" s="99">
        <v>234</v>
      </c>
      <c r="Y46" s="99">
        <v>327</v>
      </c>
      <c r="Z46" s="99">
        <v>138</v>
      </c>
      <c r="AA46" s="99" t="s">
        <v>562</v>
      </c>
      <c r="AB46" s="99" t="s">
        <v>562</v>
      </c>
      <c r="AC46" s="99" t="s">
        <v>562</v>
      </c>
      <c r="AD46" s="98" t="s">
        <v>326</v>
      </c>
      <c r="AE46" s="100">
        <v>0.19754695739764175</v>
      </c>
      <c r="AF46" s="100">
        <v>0.16</v>
      </c>
      <c r="AG46" s="98">
        <v>556.9710256562186</v>
      </c>
      <c r="AH46" s="98">
        <v>284.4107365053031</v>
      </c>
      <c r="AI46" s="100">
        <v>0.023</v>
      </c>
      <c r="AJ46" s="100">
        <v>0.742965</v>
      </c>
      <c r="AK46" s="100">
        <v>0.609756</v>
      </c>
      <c r="AL46" s="100">
        <v>0.808469</v>
      </c>
      <c r="AM46" s="100">
        <v>0.552345</v>
      </c>
      <c r="AN46" s="100">
        <v>0.582317</v>
      </c>
      <c r="AO46" s="98">
        <v>3169.9946672986907</v>
      </c>
      <c r="AP46" s="158">
        <v>1.5244442749999998</v>
      </c>
      <c r="AQ46" s="100">
        <v>0.09345794392523364</v>
      </c>
      <c r="AR46" s="100">
        <v>0.5747126436781609</v>
      </c>
      <c r="AS46" s="98">
        <v>568.8214730106062</v>
      </c>
      <c r="AT46" s="98">
        <v>586.5971440421876</v>
      </c>
      <c r="AU46" s="98">
        <v>154.05581560703916</v>
      </c>
      <c r="AV46" s="98">
        <v>308.11163121407833</v>
      </c>
      <c r="AW46" s="98">
        <v>740.6529596492268</v>
      </c>
      <c r="AX46" s="98">
        <v>1386.5023404633525</v>
      </c>
      <c r="AY46" s="98">
        <v>1937.5481424423772</v>
      </c>
      <c r="AZ46" s="98">
        <v>817.6808674527464</v>
      </c>
      <c r="BA46" s="101" t="s">
        <v>562</v>
      </c>
      <c r="BB46" s="101" t="s">
        <v>562</v>
      </c>
      <c r="BC46" s="101" t="s">
        <v>562</v>
      </c>
      <c r="BD46" s="158">
        <v>1.397985535</v>
      </c>
      <c r="BE46" s="158">
        <v>1.6592697140000001</v>
      </c>
      <c r="BF46" s="162">
        <v>2381</v>
      </c>
      <c r="BG46" s="162">
        <v>82</v>
      </c>
      <c r="BH46" s="162">
        <v>4109</v>
      </c>
      <c r="BI46" s="162">
        <v>2111</v>
      </c>
      <c r="BJ46" s="162">
        <v>984</v>
      </c>
      <c r="BK46" s="97"/>
      <c r="BL46" s="97"/>
      <c r="BM46" s="97"/>
      <c r="BN46" s="97"/>
    </row>
    <row r="47" spans="1:66" ht="12.75">
      <c r="A47" s="79" t="s">
        <v>520</v>
      </c>
      <c r="B47" s="79" t="s">
        <v>289</v>
      </c>
      <c r="C47" s="79" t="s">
        <v>51</v>
      </c>
      <c r="D47" s="99">
        <v>6832</v>
      </c>
      <c r="E47" s="99">
        <v>1576</v>
      </c>
      <c r="F47" s="99" t="s">
        <v>350</v>
      </c>
      <c r="G47" s="99">
        <v>28</v>
      </c>
      <c r="H47" s="99">
        <v>13</v>
      </c>
      <c r="I47" s="99">
        <v>129</v>
      </c>
      <c r="J47" s="99">
        <v>802</v>
      </c>
      <c r="K47" s="99">
        <v>6</v>
      </c>
      <c r="L47" s="99">
        <v>1342</v>
      </c>
      <c r="M47" s="99">
        <v>613</v>
      </c>
      <c r="N47" s="99">
        <v>312</v>
      </c>
      <c r="O47" s="99">
        <v>209</v>
      </c>
      <c r="P47" s="159">
        <v>209</v>
      </c>
      <c r="Q47" s="99">
        <v>14</v>
      </c>
      <c r="R47" s="99">
        <v>37</v>
      </c>
      <c r="S47" s="99">
        <v>49</v>
      </c>
      <c r="T47" s="99">
        <v>26</v>
      </c>
      <c r="U47" s="99" t="s">
        <v>562</v>
      </c>
      <c r="V47" s="99">
        <v>46</v>
      </c>
      <c r="W47" s="99">
        <v>69</v>
      </c>
      <c r="X47" s="99">
        <v>48</v>
      </c>
      <c r="Y47" s="99">
        <v>141</v>
      </c>
      <c r="Z47" s="99">
        <v>35</v>
      </c>
      <c r="AA47" s="99" t="s">
        <v>562</v>
      </c>
      <c r="AB47" s="99" t="s">
        <v>562</v>
      </c>
      <c r="AC47" s="99" t="s">
        <v>562</v>
      </c>
      <c r="AD47" s="98" t="s">
        <v>326</v>
      </c>
      <c r="AE47" s="100">
        <v>0.2306791569086651</v>
      </c>
      <c r="AF47" s="100">
        <v>0.06</v>
      </c>
      <c r="AG47" s="98">
        <v>409.8360655737705</v>
      </c>
      <c r="AH47" s="98">
        <v>190.28103044496487</v>
      </c>
      <c r="AI47" s="100">
        <v>0.019</v>
      </c>
      <c r="AJ47" s="100">
        <v>0.771154</v>
      </c>
      <c r="AK47" s="100">
        <v>0.5</v>
      </c>
      <c r="AL47" s="100">
        <v>0.812841</v>
      </c>
      <c r="AM47" s="100">
        <v>0.636552</v>
      </c>
      <c r="AN47" s="100">
        <v>0.669528</v>
      </c>
      <c r="AO47" s="98">
        <v>3059.1334894613583</v>
      </c>
      <c r="AP47" s="158">
        <v>1.3619033809999999</v>
      </c>
      <c r="AQ47" s="100">
        <v>0.06698564593301436</v>
      </c>
      <c r="AR47" s="100">
        <v>0.3783783783783784</v>
      </c>
      <c r="AS47" s="98">
        <v>717.2131147540983</v>
      </c>
      <c r="AT47" s="98">
        <v>380.56206088992974</v>
      </c>
      <c r="AU47" s="98" t="s">
        <v>562</v>
      </c>
      <c r="AV47" s="98">
        <v>673.3021077283372</v>
      </c>
      <c r="AW47" s="98">
        <v>1009.9531615925058</v>
      </c>
      <c r="AX47" s="98">
        <v>702.576112412178</v>
      </c>
      <c r="AY47" s="98">
        <v>2063.817330210773</v>
      </c>
      <c r="AZ47" s="98">
        <v>512.2950819672132</v>
      </c>
      <c r="BA47" s="100" t="s">
        <v>562</v>
      </c>
      <c r="BB47" s="100" t="s">
        <v>562</v>
      </c>
      <c r="BC47" s="100" t="s">
        <v>562</v>
      </c>
      <c r="BD47" s="158">
        <v>1.183512573</v>
      </c>
      <c r="BE47" s="158">
        <v>1.559591522</v>
      </c>
      <c r="BF47" s="162">
        <v>1040</v>
      </c>
      <c r="BG47" s="162">
        <v>12</v>
      </c>
      <c r="BH47" s="162">
        <v>1651</v>
      </c>
      <c r="BI47" s="162">
        <v>963</v>
      </c>
      <c r="BJ47" s="162">
        <v>466</v>
      </c>
      <c r="BK47" s="97"/>
      <c r="BL47" s="97"/>
      <c r="BM47" s="97"/>
      <c r="BN47" s="97"/>
    </row>
    <row r="48" spans="1:66" ht="12.75">
      <c r="A48" s="79" t="s">
        <v>534</v>
      </c>
      <c r="B48" s="79" t="s">
        <v>303</v>
      </c>
      <c r="C48" s="79" t="s">
        <v>51</v>
      </c>
      <c r="D48" s="99">
        <v>3019</v>
      </c>
      <c r="E48" s="99">
        <v>543</v>
      </c>
      <c r="F48" s="99" t="s">
        <v>349</v>
      </c>
      <c r="G48" s="99">
        <v>15</v>
      </c>
      <c r="H48" s="99">
        <v>10</v>
      </c>
      <c r="I48" s="99">
        <v>50</v>
      </c>
      <c r="J48" s="99">
        <v>339</v>
      </c>
      <c r="K48" s="99">
        <v>324</v>
      </c>
      <c r="L48" s="99">
        <v>542</v>
      </c>
      <c r="M48" s="99">
        <v>253</v>
      </c>
      <c r="N48" s="99">
        <v>127</v>
      </c>
      <c r="O48" s="99">
        <v>75</v>
      </c>
      <c r="P48" s="159">
        <v>75</v>
      </c>
      <c r="Q48" s="99" t="s">
        <v>562</v>
      </c>
      <c r="R48" s="99">
        <v>16</v>
      </c>
      <c r="S48" s="99">
        <v>13</v>
      </c>
      <c r="T48" s="99">
        <v>8</v>
      </c>
      <c r="U48" s="99">
        <v>7</v>
      </c>
      <c r="V48" s="99">
        <v>15</v>
      </c>
      <c r="W48" s="99">
        <v>17</v>
      </c>
      <c r="X48" s="99">
        <v>37</v>
      </c>
      <c r="Y48" s="99">
        <v>54</v>
      </c>
      <c r="Z48" s="99">
        <v>33</v>
      </c>
      <c r="AA48" s="99" t="s">
        <v>562</v>
      </c>
      <c r="AB48" s="99" t="s">
        <v>562</v>
      </c>
      <c r="AC48" s="99" t="s">
        <v>562</v>
      </c>
      <c r="AD48" s="98" t="s">
        <v>326</v>
      </c>
      <c r="AE48" s="100">
        <v>0.17986088108645246</v>
      </c>
      <c r="AF48" s="100">
        <v>0.14</v>
      </c>
      <c r="AG48" s="98">
        <v>496.8532626697582</v>
      </c>
      <c r="AH48" s="98">
        <v>331.2355084465055</v>
      </c>
      <c r="AI48" s="100">
        <v>0.017</v>
      </c>
      <c r="AJ48" s="100">
        <v>0.801418</v>
      </c>
      <c r="AK48" s="100">
        <v>0.8</v>
      </c>
      <c r="AL48" s="100">
        <v>0.78437</v>
      </c>
      <c r="AM48" s="100">
        <v>0.575</v>
      </c>
      <c r="AN48" s="100">
        <v>0.616505</v>
      </c>
      <c r="AO48" s="98">
        <v>2484.266313348791</v>
      </c>
      <c r="AP48" s="158">
        <v>1.250160675</v>
      </c>
      <c r="AQ48" s="100" t="s">
        <v>562</v>
      </c>
      <c r="AR48" s="100" t="s">
        <v>562</v>
      </c>
      <c r="AS48" s="98">
        <v>430.6061609804571</v>
      </c>
      <c r="AT48" s="98">
        <v>264.98840675720436</v>
      </c>
      <c r="AU48" s="98">
        <v>231.86485591255382</v>
      </c>
      <c r="AV48" s="98">
        <v>496.8532626697582</v>
      </c>
      <c r="AW48" s="98">
        <v>563.1003643590593</v>
      </c>
      <c r="AX48" s="98">
        <v>1225.5713812520703</v>
      </c>
      <c r="AY48" s="98">
        <v>1788.6717456111296</v>
      </c>
      <c r="AZ48" s="98">
        <v>1093.0771778734681</v>
      </c>
      <c r="BA48" s="100" t="s">
        <v>562</v>
      </c>
      <c r="BB48" s="100" t="s">
        <v>562</v>
      </c>
      <c r="BC48" s="100" t="s">
        <v>562</v>
      </c>
      <c r="BD48" s="158">
        <v>0.9833306885</v>
      </c>
      <c r="BE48" s="158">
        <v>1.56708725</v>
      </c>
      <c r="BF48" s="162">
        <v>423</v>
      </c>
      <c r="BG48" s="162">
        <v>405</v>
      </c>
      <c r="BH48" s="162">
        <v>691</v>
      </c>
      <c r="BI48" s="162">
        <v>440</v>
      </c>
      <c r="BJ48" s="162">
        <v>206</v>
      </c>
      <c r="BK48" s="97"/>
      <c r="BL48" s="97"/>
      <c r="BM48" s="97"/>
      <c r="BN48" s="97"/>
    </row>
    <row r="49" spans="1:66" ht="12.75">
      <c r="A49" s="79" t="s">
        <v>52</v>
      </c>
      <c r="B49" s="94" t="s">
        <v>51</v>
      </c>
      <c r="C49" s="94" t="s">
        <v>7</v>
      </c>
      <c r="D49" s="99">
        <v>320818</v>
      </c>
      <c r="E49" s="99">
        <v>63232</v>
      </c>
      <c r="F49" s="99">
        <v>43378.31999999999</v>
      </c>
      <c r="G49" s="99">
        <v>1820</v>
      </c>
      <c r="H49" s="99">
        <v>919</v>
      </c>
      <c r="I49" s="99">
        <v>6431</v>
      </c>
      <c r="J49" s="99">
        <v>36235</v>
      </c>
      <c r="K49" s="99">
        <v>8666</v>
      </c>
      <c r="L49" s="99">
        <v>63190</v>
      </c>
      <c r="M49" s="99">
        <v>26995</v>
      </c>
      <c r="N49" s="99">
        <v>13760</v>
      </c>
      <c r="O49" s="99">
        <v>8398</v>
      </c>
      <c r="P49" s="99">
        <v>8398</v>
      </c>
      <c r="Q49" s="99">
        <v>793</v>
      </c>
      <c r="R49" s="99">
        <v>1690</v>
      </c>
      <c r="S49" s="99">
        <v>1979</v>
      </c>
      <c r="T49" s="99">
        <v>1102</v>
      </c>
      <c r="U49" s="99">
        <v>314</v>
      </c>
      <c r="V49" s="99">
        <v>1399</v>
      </c>
      <c r="W49" s="99">
        <v>2160</v>
      </c>
      <c r="X49" s="99">
        <v>3192</v>
      </c>
      <c r="Y49" s="99">
        <v>5187</v>
      </c>
      <c r="Z49" s="99">
        <v>2594</v>
      </c>
      <c r="AA49" s="99">
        <v>0</v>
      </c>
      <c r="AB49" s="99">
        <v>0</v>
      </c>
      <c r="AC49" s="99">
        <v>0</v>
      </c>
      <c r="AD49" s="98">
        <v>0</v>
      </c>
      <c r="AE49" s="101">
        <v>0.1970961729080039</v>
      </c>
      <c r="AF49" s="101">
        <v>0.13521161530836795</v>
      </c>
      <c r="AG49" s="98">
        <v>567.2998397845507</v>
      </c>
      <c r="AH49" s="98">
        <v>286.45524877033085</v>
      </c>
      <c r="AI49" s="101">
        <v>0.0200456333497497</v>
      </c>
      <c r="AJ49" s="101">
        <v>0.7688798353385533</v>
      </c>
      <c r="AK49" s="101">
        <v>0.7842533936651583</v>
      </c>
      <c r="AL49" s="101">
        <v>0.8102113037234588</v>
      </c>
      <c r="AM49" s="101">
        <v>0.6187681940082976</v>
      </c>
      <c r="AN49" s="101">
        <v>0.6500685028582227</v>
      </c>
      <c r="AO49" s="98">
        <v>2617.683546434427</v>
      </c>
      <c r="AP49" s="98">
        <v>0</v>
      </c>
      <c r="AQ49" s="101">
        <v>0.09442724458204334</v>
      </c>
      <c r="AR49" s="101">
        <v>0.46923076923076923</v>
      </c>
      <c r="AS49" s="98">
        <v>616.8606499635307</v>
      </c>
      <c r="AT49" s="98">
        <v>343.49693595745873</v>
      </c>
      <c r="AU49" s="98">
        <v>97.87480752326864</v>
      </c>
      <c r="AV49" s="98">
        <v>436.0727889332893</v>
      </c>
      <c r="AW49" s="98">
        <v>673.278930733313</v>
      </c>
      <c r="AX49" s="98">
        <v>994.9566420836736</v>
      </c>
      <c r="AY49" s="98">
        <v>1616.8045433859695</v>
      </c>
      <c r="AZ49" s="98">
        <v>808.5581232973212</v>
      </c>
      <c r="BA49" s="101">
        <v>0</v>
      </c>
      <c r="BB49" s="101">
        <v>0</v>
      </c>
      <c r="BC49" s="101">
        <v>0</v>
      </c>
      <c r="BD49" s="98">
        <v>0</v>
      </c>
      <c r="BE49" s="98">
        <v>0</v>
      </c>
      <c r="BF49" s="99">
        <v>47127</v>
      </c>
      <c r="BG49" s="99">
        <v>11050</v>
      </c>
      <c r="BH49" s="99">
        <v>77992</v>
      </c>
      <c r="BI49" s="99">
        <v>43627</v>
      </c>
      <c r="BJ49" s="99">
        <v>21167</v>
      </c>
      <c r="BK49" s="97"/>
      <c r="BL49" s="97"/>
      <c r="BM49" s="97"/>
      <c r="BN49" s="97"/>
    </row>
    <row r="50" spans="1:66" ht="12.75">
      <c r="A50" s="79" t="s">
        <v>24</v>
      </c>
      <c r="B50" s="94" t="s">
        <v>7</v>
      </c>
      <c r="C50" s="94" t="s">
        <v>7</v>
      </c>
      <c r="D50" s="99">
        <v>54615830</v>
      </c>
      <c r="E50" s="99">
        <v>8737890</v>
      </c>
      <c r="F50" s="99">
        <v>8198344.169999988</v>
      </c>
      <c r="G50" s="99">
        <v>243379</v>
      </c>
      <c r="H50" s="99">
        <v>127868</v>
      </c>
      <c r="I50" s="99">
        <v>870616</v>
      </c>
      <c r="J50" s="99">
        <v>4592627</v>
      </c>
      <c r="K50" s="99">
        <v>1679592</v>
      </c>
      <c r="L50" s="99">
        <v>10150944</v>
      </c>
      <c r="M50" s="99">
        <v>2959539</v>
      </c>
      <c r="N50" s="99">
        <v>1629320</v>
      </c>
      <c r="O50" s="99">
        <v>989730</v>
      </c>
      <c r="P50" s="99">
        <v>989730</v>
      </c>
      <c r="Q50" s="99">
        <v>108072</v>
      </c>
      <c r="R50" s="99">
        <v>238330</v>
      </c>
      <c r="S50" s="99">
        <v>206300</v>
      </c>
      <c r="T50" s="99">
        <v>154264</v>
      </c>
      <c r="U50" s="99">
        <v>38486</v>
      </c>
      <c r="V50" s="99">
        <v>176535</v>
      </c>
      <c r="W50" s="99">
        <v>307276</v>
      </c>
      <c r="X50" s="99">
        <v>221506</v>
      </c>
      <c r="Y50" s="99">
        <v>578574</v>
      </c>
      <c r="Z50" s="99">
        <v>318377</v>
      </c>
      <c r="AA50" s="99">
        <v>0</v>
      </c>
      <c r="AB50" s="99">
        <v>0</v>
      </c>
      <c r="AC50" s="99">
        <v>0</v>
      </c>
      <c r="AD50" s="98">
        <v>0</v>
      </c>
      <c r="AE50" s="101">
        <v>0.1599882305185145</v>
      </c>
      <c r="AF50" s="101">
        <v>0.15010930292554353</v>
      </c>
      <c r="AG50" s="98">
        <v>445.6198871279627</v>
      </c>
      <c r="AH50" s="98">
        <v>234.12259778895606</v>
      </c>
      <c r="AI50" s="101">
        <v>0.015940726342527432</v>
      </c>
      <c r="AJ50" s="101">
        <v>0.7248631360507991</v>
      </c>
      <c r="AK50" s="101">
        <v>0.7467412166569077</v>
      </c>
      <c r="AL50" s="101">
        <v>0.7559681673907895</v>
      </c>
      <c r="AM50" s="101">
        <v>0.5147293797466616</v>
      </c>
      <c r="AN50" s="101">
        <v>0.5752927626212945</v>
      </c>
      <c r="AO50" s="98">
        <v>1812.1669120472948</v>
      </c>
      <c r="AP50" s="98">
        <v>1</v>
      </c>
      <c r="AQ50" s="101">
        <v>0.10919341638628717</v>
      </c>
      <c r="AR50" s="101">
        <v>0.4534552930810221</v>
      </c>
      <c r="AS50" s="98">
        <v>377.7293140102421</v>
      </c>
      <c r="AT50" s="98">
        <v>282.45290788403287</v>
      </c>
      <c r="AU50" s="98">
        <v>70.46674929228394</v>
      </c>
      <c r="AV50" s="98">
        <v>323.23046266988894</v>
      </c>
      <c r="AW50" s="98">
        <v>562.6134400960308</v>
      </c>
      <c r="AX50" s="98">
        <v>405.57105879375996</v>
      </c>
      <c r="AY50" s="98">
        <v>1059.3522061277838</v>
      </c>
      <c r="AZ50" s="98">
        <v>582.9390489900089</v>
      </c>
      <c r="BA50" s="101">
        <v>0</v>
      </c>
      <c r="BB50" s="101">
        <v>0</v>
      </c>
      <c r="BC50" s="101">
        <v>0</v>
      </c>
      <c r="BD50" s="98">
        <v>0</v>
      </c>
      <c r="BE50" s="98">
        <v>0</v>
      </c>
      <c r="BF50" s="99">
        <v>6335854</v>
      </c>
      <c r="BG50" s="99">
        <v>2249229</v>
      </c>
      <c r="BH50" s="99">
        <v>13427740</v>
      </c>
      <c r="BI50" s="99">
        <v>5749699</v>
      </c>
      <c r="BJ50" s="99">
        <v>2832158</v>
      </c>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458</v>
      </c>
      <c r="Q4" s="75" t="s">
        <v>459</v>
      </c>
      <c r="R4" s="75" t="s">
        <v>460</v>
      </c>
      <c r="S4" s="75" t="s">
        <v>461</v>
      </c>
      <c r="T4" s="39" t="s">
        <v>278</v>
      </c>
      <c r="U4" s="40" t="s">
        <v>279</v>
      </c>
      <c r="V4" s="41" t="s">
        <v>7</v>
      </c>
      <c r="W4" s="24" t="s">
        <v>2</v>
      </c>
      <c r="X4" s="24" t="s">
        <v>3</v>
      </c>
      <c r="Y4" s="75" t="s">
        <v>569</v>
      </c>
      <c r="Z4" s="75" t="s">
        <v>568</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490</v>
      </c>
      <c r="E7" s="38">
        <f>IF(LEFT(VLOOKUP($B7,'Indicator chart'!$D$1:$J$36,5,FALSE),1)=" "," ",VLOOKUP($B7,'Indicator chart'!$D$1:$J$36,5,FALSE))</f>
        <v>0.22333637192342753</v>
      </c>
      <c r="F7" s="38">
        <f>IF(LEFT(VLOOKUP($B7,'Indicator chart'!$D$1:$J$36,6,FALSE),1)=" "," ",VLOOKUP($B7,'Indicator chart'!$D$1:$J$36,6,FALSE))</f>
        <v>0.20640101985193382</v>
      </c>
      <c r="G7" s="38">
        <f>IF(LEFT(VLOOKUP($B7,'Indicator chart'!$D$1:$J$36,7,FALSE),1)=" "," ",VLOOKUP($B7,'Indicator chart'!$D$1:$J$36,7,FALSE))</f>
        <v>0.2412388828598903</v>
      </c>
      <c r="H7" s="50">
        <f aca="true" t="shared" si="0" ref="H7:H31">IF(LEFT(F7,1)=" ",4,IF(AND(ABS(N7-E7)&gt;SQRT((E7-G7)^2+(N7-R7)^2),E7&lt;N7),1,IF(AND(ABS(N7-E7)&gt;SQRT((E7-F7)^2+(N7-S7)^2),E7&gt;N7),3,2)))</f>
        <v>3</v>
      </c>
      <c r="I7" s="38">
        <v>0.13052555918693542</v>
      </c>
      <c r="J7" s="38">
        <v>0.17779351770877838</v>
      </c>
      <c r="K7" s="38">
        <v>0.21081408858299255</v>
      </c>
      <c r="L7" s="38">
        <v>0.2252117544412613</v>
      </c>
      <c r="M7" s="38">
        <v>0.27948662638664246</v>
      </c>
      <c r="N7" s="80">
        <f>VLOOKUP('Hide - Control'!B$3,'All practice data'!A:CA,A7+29,FALSE)</f>
        <v>0.1970961729080039</v>
      </c>
      <c r="O7" s="80">
        <f>VLOOKUP('Hide - Control'!C$3,'All practice data'!A:CA,A7+29,FALSE)</f>
        <v>0.1599882305185145</v>
      </c>
      <c r="P7" s="38">
        <f>VLOOKUP('Hide - Control'!$B$4,'All practice data'!B:BC,A7+2,FALSE)</f>
        <v>63232</v>
      </c>
      <c r="Q7" s="38">
        <f>VLOOKUP('Hide - Control'!$B$4,'All practice data'!B:BC,3,FALSE)</f>
        <v>320818</v>
      </c>
      <c r="R7" s="38">
        <f>+((2*P7+1.96^2-1.96*SQRT(1.96^2+4*P7*(1-P7/Q7)))/(2*(Q7+1.96^2)))</f>
        <v>0.1957232357400815</v>
      </c>
      <c r="S7" s="38">
        <f>+((2*P7+1.96^2+1.96*SQRT(1.96^2+4*P7*(1-P7/Q7)))/(2*(Q7+1.96^2)))</f>
        <v>0.19847636416646056</v>
      </c>
      <c r="T7" s="53">
        <f>IF($C7=1,M7,I7)</f>
        <v>0.27948662638664246</v>
      </c>
      <c r="U7" s="51">
        <f aca="true" t="shared" si="1" ref="U7:U15">IF($C7=1,I7,M7)</f>
        <v>0.13052555918693542</v>
      </c>
      <c r="V7" s="7">
        <v>1</v>
      </c>
      <c r="W7" s="27">
        <f aca="true" t="shared" si="2" ref="W7:W31">IF((K7-I7)&gt;(M7-K7),I7,(K7-(M7-K7)))</f>
        <v>0.13052555918693542</v>
      </c>
      <c r="X7" s="27">
        <f aca="true" t="shared" si="3" ref="X7:X31">IF(W7=I7,K7+(K7-I7),M7)</f>
        <v>0.2911026179790497</v>
      </c>
      <c r="Y7" s="27">
        <f aca="true" t="shared" si="4" ref="Y7:Y31">IF(C7=1,W7,X7)</f>
        <v>0.13052555918693542</v>
      </c>
      <c r="Z7" s="27">
        <f aca="true" t="shared" si="5" ref="Z7:Z31">IF(C7=1,X7,W7)</f>
        <v>0.2911026179790497</v>
      </c>
      <c r="AA7" s="32">
        <f aca="true" t="shared" si="6" ref="AA7:AA31">IF(ISERROR(IF(C7=1,(I7-$Y7)/($Z7-$Y7),(U7-$Y7)/($Z7-$Y7))),"",IF(C7=1,(I7-$Y7)/($Z7-$Y7),(U7-$Y7)/($Z7-$Y7)))</f>
        <v>0</v>
      </c>
      <c r="AB7" s="33">
        <f aca="true" t="shared" si="7" ref="AB7:AB31">IF(ISERROR(IF(C7=1,(J7-$Y7)/($Z7-$Y7),(L7-$Y7)/($Z7-$Y7))),"",IF(C7=1,(J7-$Y7)/($Z7-$Y7),(L7-$Y7)/($Z7-$Y7)))</f>
        <v>0.2943630857197157</v>
      </c>
      <c r="AC7" s="33">
        <v>0.5</v>
      </c>
      <c r="AD7" s="33">
        <f aca="true" t="shared" si="8" ref="AD7:AD31">IF(ISERROR(IF(C7=1,(L7-$Y7)/($Z7-$Y7),(J7-$Y7)/($Z7-$Y7))),"",IF(C7=1,(L7-$Y7)/($Z7-$Y7),(J7-$Y7)/($Z7-$Y7)))</f>
        <v>0.5896620349542471</v>
      </c>
      <c r="AE7" s="33">
        <f aca="true" t="shared" si="9" ref="AE7:AE31">IF(ISERROR(IF(C7=1,(M7-$Y7)/($Z7-$Y7),(I7-$Y7)/($Z7-$Y7))),"",IF(C7=1,(M7-$Y7)/($Z7-$Y7),(I7-$Y7)/($Z7-$Y7)))</f>
        <v>0.9276609518209853</v>
      </c>
      <c r="AF7" s="33">
        <f aca="true" t="shared" si="10" ref="AF7:AF30">IF(E7=" ",-999,IF(H7=4,(E7-$Y7)/($Z7-$Y7),-999))</f>
        <v>-999</v>
      </c>
      <c r="AG7" s="33">
        <f aca="true" t="shared" si="11" ref="AG7:AG31">IF(E7=" ",-999,IF(H7=2,(E7-$Y7)/($Z7-$Y7),-999))</f>
        <v>-999</v>
      </c>
      <c r="AH7" s="33">
        <f aca="true" t="shared" si="12" ref="AH7:AH31">IF(E7=" ",-999,IF(MAX(AK7:AL7)&gt;-999,MAX(AK7:AL7),-999))</f>
        <v>0.5779830159714566</v>
      </c>
      <c r="AI7" s="34">
        <f aca="true" t="shared" si="13" ref="AI7:AI31">IF(ISERROR((O7-$Y7)/($Z7-$Y7)),-999,(O7-$Y7)/($Z7-$Y7))</f>
        <v>0.1834799538190691</v>
      </c>
      <c r="AJ7" s="4">
        <v>2.7020512924389086</v>
      </c>
      <c r="AK7" s="32">
        <f aca="true" t="shared" si="14" ref="AK7:AK31">IF(H7=1,(E7-$Y7)/($Z7-$Y7),-999)</f>
        <v>-999</v>
      </c>
      <c r="AL7" s="34">
        <f aca="true" t="shared" si="15" ref="AL7:AL31">IF(H7=3,(E7-$Y7)/($Z7-$Y7),-999)</f>
        <v>0.5779830159714566</v>
      </c>
      <c r="AQ7" s="103">
        <v>2</v>
      </c>
      <c r="AR7" s="103">
        <v>0.2422</v>
      </c>
      <c r="AS7" s="103">
        <v>7.2247</v>
      </c>
      <c r="AY7" s="103" t="s">
        <v>68</v>
      </c>
      <c r="AZ7" s="103" t="s">
        <v>380</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0.09</v>
      </c>
      <c r="F8" s="38">
        <f>IF(LEFT(VLOOKUP($B8,'Indicator chart'!$D$1:$J$36,6,FALSE),1)=" "," ",VLOOKUP($B8,'Indicator chart'!$D$1:$J$36,6,FALSE))</f>
        <v>0.07873054960251273</v>
      </c>
      <c r="G8" s="38">
        <f>IF(LEFT(VLOOKUP($B8,'Indicator chart'!$D$1:$J$36,7,FALSE),1)=" "," ",VLOOKUP($B8,'Indicator chart'!$D$1:$J$36,7,FALSE))</f>
        <v>0.10270272566172828</v>
      </c>
      <c r="H8" s="50">
        <f t="shared" si="0"/>
        <v>1</v>
      </c>
      <c r="I8" s="38">
        <v>0.05999999865889549</v>
      </c>
      <c r="J8" s="38">
        <v>0.09000000357627869</v>
      </c>
      <c r="K8" s="38">
        <v>0.10999999940395355</v>
      </c>
      <c r="L8" s="38">
        <v>0.15000000596046448</v>
      </c>
      <c r="M8" s="38">
        <v>0.23999999463558197</v>
      </c>
      <c r="N8" s="80">
        <f>VLOOKUP('Hide - Control'!B$3,'All practice data'!A:CA,A8+29,FALSE)</f>
        <v>0.13521161530836795</v>
      </c>
      <c r="O8" s="80">
        <f>VLOOKUP('Hide - Control'!C$3,'All practice data'!A:CA,A8+29,FALSE)</f>
        <v>0.15010930292554353</v>
      </c>
      <c r="P8" s="38">
        <f>VLOOKUP('Hide - Control'!$B$4,'All practice data'!B:BC,A8+2,FALSE)</f>
        <v>43378.31999999999</v>
      </c>
      <c r="Q8" s="38">
        <f>VLOOKUP('Hide - Control'!$B$4,'All practice data'!B:BC,3,FALSE)</f>
        <v>320818</v>
      </c>
      <c r="R8" s="38">
        <f>+((2*P8+1.96^2-1.96*SQRT(1.96^2+4*P8*(1-P8/Q8)))/(2*(Q8+1.96^2)))</f>
        <v>0.13403269937727452</v>
      </c>
      <c r="S8" s="38">
        <f>+((2*P8+1.96^2+1.96*SQRT(1.96^2+4*P8*(1-P8/Q8)))/(2*(Q8+1.96^2)))</f>
        <v>0.1363992673719619</v>
      </c>
      <c r="T8" s="53">
        <f aca="true" t="shared" si="16" ref="T8:T15">IF($C8=1,M8,I8)</f>
        <v>0.23999999463558197</v>
      </c>
      <c r="U8" s="51">
        <f t="shared" si="1"/>
        <v>0.05999999865889549</v>
      </c>
      <c r="V8" s="7"/>
      <c r="W8" s="27">
        <f t="shared" si="2"/>
        <v>-0.019999995827674866</v>
      </c>
      <c r="X8" s="27">
        <f t="shared" si="3"/>
        <v>0.23999999463558197</v>
      </c>
      <c r="Y8" s="27">
        <f t="shared" si="4"/>
        <v>-0.019999995827674866</v>
      </c>
      <c r="Z8" s="27">
        <f t="shared" si="5"/>
        <v>0.23999999463558197</v>
      </c>
      <c r="AA8" s="32">
        <f t="shared" si="6"/>
        <v>0.3076922977728953</v>
      </c>
      <c r="AB8" s="33">
        <f t="shared" si="7"/>
        <v>0.4230769363028063</v>
      </c>
      <c r="AC8" s="33">
        <v>0.5</v>
      </c>
      <c r="AD8" s="33">
        <f t="shared" si="8"/>
        <v>0.653846184706548</v>
      </c>
      <c r="AE8" s="33">
        <f t="shared" si="9"/>
        <v>1</v>
      </c>
      <c r="AF8" s="33">
        <f t="shared" si="10"/>
        <v>-999</v>
      </c>
      <c r="AG8" s="33">
        <f t="shared" si="11"/>
        <v>-999</v>
      </c>
      <c r="AH8" s="33">
        <f t="shared" si="12"/>
        <v>0.42307692254788776</v>
      </c>
      <c r="AI8" s="34">
        <f t="shared" si="13"/>
        <v>0.6542665576645789</v>
      </c>
      <c r="AJ8" s="4">
        <v>3.778046717820832</v>
      </c>
      <c r="AK8" s="32">
        <f t="shared" si="14"/>
        <v>0.42307692254788776</v>
      </c>
      <c r="AL8" s="34">
        <f t="shared" si="15"/>
        <v>-999</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911.5770282588878</v>
      </c>
      <c r="F9" s="38">
        <f>IF(LEFT(VLOOKUP($B9,'Indicator chart'!$D$1:$J$36,6,FALSE),1)=" "," ",VLOOKUP($B9,'Indicator chart'!$D$1:$J$36,6,FALSE))</f>
        <v>556.577616881292</v>
      </c>
      <c r="G9" s="38">
        <f>IF(LEFT(VLOOKUP($B9,'Indicator chart'!$D$1:$J$36,7,FALSE),1)=" "," ",VLOOKUP($B9,'Indicator chart'!$D$1:$J$36,7,FALSE))</f>
        <v>1407.9349970953915</v>
      </c>
      <c r="H9" s="50">
        <f t="shared" si="0"/>
        <v>2</v>
      </c>
      <c r="I9" s="38">
        <v>250</v>
      </c>
      <c r="J9" s="38">
        <v>494.91082763671875</v>
      </c>
      <c r="K9" s="38">
        <v>564.9717407226562</v>
      </c>
      <c r="L9" s="38">
        <v>641.9074096679688</v>
      </c>
      <c r="M9" s="38">
        <v>911.5770263671875</v>
      </c>
      <c r="N9" s="80">
        <f>VLOOKUP('Hide - Control'!B$3,'All practice data'!A:CA,A9+29,FALSE)</f>
        <v>567.2998397845507</v>
      </c>
      <c r="O9" s="80">
        <f>VLOOKUP('Hide - Control'!C$3,'All practice data'!A:CA,A9+29,FALSE)</f>
        <v>445.6198871279627</v>
      </c>
      <c r="P9" s="38">
        <f>VLOOKUP('Hide - Control'!$B$4,'All practice data'!B:BC,A9+2,FALSE)</f>
        <v>1820</v>
      </c>
      <c r="Q9" s="38">
        <f>VLOOKUP('Hide - Control'!$B$4,'All practice data'!B:BC,3,FALSE)</f>
        <v>320818</v>
      </c>
      <c r="R9" s="38">
        <f>100000*(P9*(1-1/(9*P9)-1.96/(3*SQRT(P9)))^3)/Q9</f>
        <v>541.5326935761915</v>
      </c>
      <c r="S9" s="38">
        <f>100000*((P9+1)*(1-1/(9*(P9+1))+1.96/(3*SQRT(P9+1)))^3)/Q9</f>
        <v>593.9763033584442</v>
      </c>
      <c r="T9" s="53">
        <f t="shared" si="16"/>
        <v>911.5770263671875</v>
      </c>
      <c r="U9" s="51">
        <f t="shared" si="1"/>
        <v>250</v>
      </c>
      <c r="V9" s="7"/>
      <c r="W9" s="27">
        <f t="shared" si="2"/>
        <v>218.366455078125</v>
      </c>
      <c r="X9" s="27">
        <f t="shared" si="3"/>
        <v>911.5770263671875</v>
      </c>
      <c r="Y9" s="27">
        <f t="shared" si="4"/>
        <v>218.366455078125</v>
      </c>
      <c r="Z9" s="27">
        <f t="shared" si="5"/>
        <v>911.5770263671875</v>
      </c>
      <c r="AA9" s="32">
        <f t="shared" si="6"/>
        <v>0.04563338505217933</v>
      </c>
      <c r="AB9" s="33">
        <f t="shared" si="7"/>
        <v>0.39893271108711537</v>
      </c>
      <c r="AC9" s="33">
        <v>0.5</v>
      </c>
      <c r="AD9" s="33">
        <f t="shared" si="8"/>
        <v>0.6109845581296408</v>
      </c>
      <c r="AE9" s="33">
        <f t="shared" si="9"/>
        <v>1</v>
      </c>
      <c r="AF9" s="33">
        <f t="shared" si="10"/>
        <v>-999</v>
      </c>
      <c r="AG9" s="33">
        <f t="shared" si="11"/>
        <v>1.000000002728897</v>
      </c>
      <c r="AH9" s="33">
        <f t="shared" si="12"/>
        <v>-999</v>
      </c>
      <c r="AI9" s="34">
        <f t="shared" si="13"/>
        <v>0.3278274184815845</v>
      </c>
      <c r="AJ9" s="4">
        <v>4.854042143202755</v>
      </c>
      <c r="AK9" s="32">
        <f t="shared" si="14"/>
        <v>-999</v>
      </c>
      <c r="AL9" s="34">
        <f t="shared" si="15"/>
        <v>-999</v>
      </c>
      <c r="AQ9" s="103">
        <v>4</v>
      </c>
      <c r="AR9" s="103">
        <v>1.0899</v>
      </c>
      <c r="AS9" s="103">
        <v>10.2416</v>
      </c>
      <c r="AY9" s="103" t="s">
        <v>90</v>
      </c>
      <c r="AZ9" s="103" t="s">
        <v>390</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273.47310847766636</v>
      </c>
      <c r="F10" s="38">
        <f>IF(LEFT(VLOOKUP($B10,'Indicator chart'!$D$1:$J$36,6,FALSE),1)=" "," ",VLOOKUP($B10,'Indicator chart'!$D$1:$J$36,6,FALSE))</f>
        <v>99.86056247418776</v>
      </c>
      <c r="G10" s="38">
        <f>IF(LEFT(VLOOKUP($B10,'Indicator chart'!$D$1:$J$36,7,FALSE),1)=" "," ",VLOOKUP($B10,'Indicator chart'!$D$1:$J$36,7,FALSE))</f>
        <v>595.2550259196792</v>
      </c>
      <c r="H10" s="50">
        <f t="shared" si="0"/>
        <v>2</v>
      </c>
      <c r="I10" s="38">
        <v>44.173431396484375</v>
      </c>
      <c r="J10" s="38">
        <v>227.3071746826172</v>
      </c>
      <c r="K10" s="38">
        <v>281.4552307128906</v>
      </c>
      <c r="L10" s="38">
        <v>357.9952392578125</v>
      </c>
      <c r="M10" s="38">
        <v>564.9717407226562</v>
      </c>
      <c r="N10" s="80">
        <f>VLOOKUP('Hide - Control'!B$3,'All practice data'!A:CA,A10+29,FALSE)</f>
        <v>286.45524877033085</v>
      </c>
      <c r="O10" s="80">
        <f>VLOOKUP('Hide - Control'!C$3,'All practice data'!A:CA,A10+29,FALSE)</f>
        <v>234.12259778895606</v>
      </c>
      <c r="P10" s="38">
        <f>VLOOKUP('Hide - Control'!$B$4,'All practice data'!B:BC,A10+2,FALSE)</f>
        <v>919</v>
      </c>
      <c r="Q10" s="38">
        <f>VLOOKUP('Hide - Control'!$B$4,'All practice data'!B:BC,3,FALSE)</f>
        <v>320818</v>
      </c>
      <c r="R10" s="38">
        <f>100000*(P10*(1-1/(9*P10)-1.96/(3*SQRT(P10)))^3)/Q10</f>
        <v>268.23146708693764</v>
      </c>
      <c r="S10" s="38">
        <f>100000*((P10+1)*(1-1/(9*(P10+1))+1.96/(3*SQRT(P10+1)))^3)/Q10</f>
        <v>305.59122749880885</v>
      </c>
      <c r="T10" s="53">
        <f t="shared" si="16"/>
        <v>564.9717407226562</v>
      </c>
      <c r="U10" s="51">
        <f t="shared" si="1"/>
        <v>44.173431396484375</v>
      </c>
      <c r="V10" s="7"/>
      <c r="W10" s="27">
        <f t="shared" si="2"/>
        <v>-2.061279296875</v>
      </c>
      <c r="X10" s="27">
        <f t="shared" si="3"/>
        <v>564.9717407226562</v>
      </c>
      <c r="Y10" s="27">
        <f t="shared" si="4"/>
        <v>-2.061279296875</v>
      </c>
      <c r="Z10" s="27">
        <f t="shared" si="5"/>
        <v>564.9717407226562</v>
      </c>
      <c r="AA10" s="32">
        <f t="shared" si="6"/>
        <v>0.08153795116158638</v>
      </c>
      <c r="AB10" s="33">
        <f t="shared" si="7"/>
        <v>0.40450634421888104</v>
      </c>
      <c r="AC10" s="33">
        <v>0.5</v>
      </c>
      <c r="AD10" s="33">
        <f t="shared" si="8"/>
        <v>0.6349833357893081</v>
      </c>
      <c r="AE10" s="33">
        <f t="shared" si="9"/>
        <v>1</v>
      </c>
      <c r="AF10" s="33">
        <f t="shared" si="10"/>
        <v>-999</v>
      </c>
      <c r="AG10" s="33">
        <f t="shared" si="11"/>
        <v>0.4859230027998205</v>
      </c>
      <c r="AH10" s="33">
        <f t="shared" si="12"/>
        <v>-999</v>
      </c>
      <c r="AI10" s="34">
        <f t="shared" si="13"/>
        <v>0.4165257908220156</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40</v>
      </c>
      <c r="E11" s="38">
        <f>IF(LEFT(VLOOKUP($B11,'Indicator chart'!$D$1:$J$36,5,FALSE),1)=" "," ",VLOOKUP($B11,'Indicator chart'!$D$1:$J$36,5,FALSE))</f>
        <v>0.018000000000000002</v>
      </c>
      <c r="F11" s="38">
        <f>IF(LEFT(VLOOKUP($B11,'Indicator chart'!$D$1:$J$36,6,FALSE),1)=" "," ",VLOOKUP($B11,'Indicator chart'!$D$1:$J$36,6,FALSE))</f>
        <v>0.013417212550630126</v>
      </c>
      <c r="G11" s="38">
        <f>IF(LEFT(VLOOKUP($B11,'Indicator chart'!$D$1:$J$36,7,FALSE),1)=" "," ",VLOOKUP($B11,'Indicator chart'!$D$1:$J$36,7,FALSE))</f>
        <v>0.024730031545577714</v>
      </c>
      <c r="H11" s="50">
        <f t="shared" si="0"/>
        <v>2</v>
      </c>
      <c r="I11" s="38">
        <v>0.012000000104308128</v>
      </c>
      <c r="J11" s="38">
        <v>0.017000000923871994</v>
      </c>
      <c r="K11" s="38">
        <v>0.019999999552965164</v>
      </c>
      <c r="L11" s="38">
        <v>0.023000000044703484</v>
      </c>
      <c r="M11" s="38">
        <v>0.029999999329447746</v>
      </c>
      <c r="N11" s="80">
        <f>VLOOKUP('Hide - Control'!B$3,'All practice data'!A:CA,A11+29,FALSE)</f>
        <v>0.0200456333497497</v>
      </c>
      <c r="O11" s="80">
        <f>VLOOKUP('Hide - Control'!C$3,'All practice data'!A:CA,A11+29,FALSE)</f>
        <v>0.015940726342527432</v>
      </c>
      <c r="P11" s="38">
        <f>VLOOKUP('Hide - Control'!$B$4,'All practice data'!B:BC,A11+2,FALSE)</f>
        <v>6431</v>
      </c>
      <c r="Q11" s="38">
        <f>VLOOKUP('Hide - Control'!$B$4,'All practice data'!B:BC,3,FALSE)</f>
        <v>320818</v>
      </c>
      <c r="R11" s="80">
        <f aca="true" t="shared" si="17" ref="R11:R16">+((2*P11+1.96^2-1.96*SQRT(1.96^2+4*P11*(1-P11/Q11)))/(2*(Q11+1.96^2)))</f>
        <v>0.019566351767608587</v>
      </c>
      <c r="S11" s="80">
        <f aca="true" t="shared" si="18" ref="S11:S16">+((2*P11+1.96^2+1.96*SQRT(1.96^2+4*P11*(1-P11/Q11)))/(2*(Q11+1.96^2)))</f>
        <v>0.02053640911623767</v>
      </c>
      <c r="T11" s="53">
        <f t="shared" si="16"/>
        <v>0.029999999329447746</v>
      </c>
      <c r="U11" s="51">
        <f t="shared" si="1"/>
        <v>0.012000000104308128</v>
      </c>
      <c r="V11" s="7"/>
      <c r="W11" s="27">
        <f t="shared" si="2"/>
        <v>0.009999999776482582</v>
      </c>
      <c r="X11" s="27">
        <f t="shared" si="3"/>
        <v>0.029999999329447746</v>
      </c>
      <c r="Y11" s="27">
        <f t="shared" si="4"/>
        <v>0.009999999776482582</v>
      </c>
      <c r="Z11" s="27">
        <f t="shared" si="5"/>
        <v>0.029999999329447746</v>
      </c>
      <c r="AA11" s="32">
        <f t="shared" si="6"/>
        <v>0.10000001862645191</v>
      </c>
      <c r="AB11" s="33">
        <f t="shared" si="7"/>
        <v>0.3500000651925817</v>
      </c>
      <c r="AC11" s="33">
        <v>0.5</v>
      </c>
      <c r="AD11" s="33">
        <f t="shared" si="8"/>
        <v>0.6500000279396778</v>
      </c>
      <c r="AE11" s="33">
        <f t="shared" si="9"/>
        <v>1</v>
      </c>
      <c r="AF11" s="33">
        <f t="shared" si="10"/>
        <v>-999</v>
      </c>
      <c r="AG11" s="33">
        <f t="shared" si="11"/>
        <v>0.40000002011656816</v>
      </c>
      <c r="AH11" s="33">
        <f t="shared" si="12"/>
        <v>-999</v>
      </c>
      <c r="AI11" s="34">
        <f t="shared" si="13"/>
        <v>0.297036334941522</v>
      </c>
      <c r="AJ11" s="4">
        <v>7.0060329939666</v>
      </c>
      <c r="AK11" s="32">
        <f t="shared" si="14"/>
        <v>-999</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308</v>
      </c>
      <c r="E12" s="38">
        <f>IF(LEFT(VLOOKUP($B12,'Indicator chart'!$D$1:$J$36,5,FALSE),1)=" "," ",VLOOKUP($B12,'Indicator chart'!$D$1:$J$36,5,FALSE))</f>
        <v>0.779747</v>
      </c>
      <c r="F12" s="38">
        <f>IF(LEFT(VLOOKUP($B12,'Indicator chart'!$D$1:$J$36,6,FALSE),1)=" "," ",VLOOKUP($B12,'Indicator chart'!$D$1:$J$36,6,FALSE))</f>
        <v>0.7362913547895652</v>
      </c>
      <c r="G12" s="38">
        <f>IF(LEFT(VLOOKUP($B12,'Indicator chart'!$D$1:$J$36,7,FALSE),1)=" "," ",VLOOKUP($B12,'Indicator chart'!$D$1:$J$36,7,FALSE))</f>
        <v>0.8178133323844908</v>
      </c>
      <c r="H12" s="50">
        <f t="shared" si="0"/>
        <v>2</v>
      </c>
      <c r="I12" s="38">
        <v>0.5063750147819519</v>
      </c>
      <c r="J12" s="38">
        <v>0.7350789904594421</v>
      </c>
      <c r="K12" s="38">
        <v>0.7671530246734619</v>
      </c>
      <c r="L12" s="38">
        <v>0.8020129799842834</v>
      </c>
      <c r="M12" s="38">
        <v>0.8259909749031067</v>
      </c>
      <c r="N12" s="80">
        <f>VLOOKUP('Hide - Control'!B$3,'All practice data'!A:CA,A12+29,FALSE)</f>
        <v>0.7688798353385533</v>
      </c>
      <c r="O12" s="80">
        <f>VLOOKUP('Hide - Control'!C$3,'All practice data'!A:CA,A12+29,FALSE)</f>
        <v>0.7248631360507991</v>
      </c>
      <c r="P12" s="38">
        <f>VLOOKUP('Hide - Control'!$B$4,'All practice data'!B:BC,A12+2,FALSE)</f>
        <v>36235</v>
      </c>
      <c r="Q12" s="38">
        <f>VLOOKUP('Hide - Control'!$B$4,'All practice data'!B:BJ,57,FALSE)</f>
        <v>47127</v>
      </c>
      <c r="R12" s="38">
        <f t="shared" si="17"/>
        <v>0.7650520063798089</v>
      </c>
      <c r="S12" s="38">
        <f t="shared" si="18"/>
        <v>0.772663831904734</v>
      </c>
      <c r="T12" s="53">
        <f t="shared" si="16"/>
        <v>0.8259909749031067</v>
      </c>
      <c r="U12" s="51">
        <f t="shared" si="1"/>
        <v>0.5063750147819519</v>
      </c>
      <c r="V12" s="7"/>
      <c r="W12" s="27">
        <f t="shared" si="2"/>
        <v>0.5063750147819519</v>
      </c>
      <c r="X12" s="27">
        <f t="shared" si="3"/>
        <v>1.027931034564972</v>
      </c>
      <c r="Y12" s="27">
        <f t="shared" si="4"/>
        <v>0.5063750147819519</v>
      </c>
      <c r="Z12" s="27">
        <f t="shared" si="5"/>
        <v>1.027931034564972</v>
      </c>
      <c r="AA12" s="32">
        <f t="shared" si="6"/>
        <v>0</v>
      </c>
      <c r="AB12" s="33">
        <f t="shared" si="7"/>
        <v>0.43850318470609667</v>
      </c>
      <c r="AC12" s="33">
        <v>0.5</v>
      </c>
      <c r="AD12" s="33">
        <f t="shared" si="8"/>
        <v>0.5668383720800004</v>
      </c>
      <c r="AE12" s="33">
        <f t="shared" si="9"/>
        <v>0.6128123307907035</v>
      </c>
      <c r="AF12" s="33">
        <f t="shared" si="10"/>
        <v>-999</v>
      </c>
      <c r="AG12" s="33">
        <f t="shared" si="11"/>
        <v>0.524146927365113</v>
      </c>
      <c r="AH12" s="33">
        <f t="shared" si="12"/>
        <v>-999</v>
      </c>
      <c r="AI12" s="34">
        <f t="shared" si="13"/>
        <v>0.418915922703267</v>
      </c>
      <c r="AJ12" s="4">
        <v>8.082028419348523</v>
      </c>
      <c r="AK12" s="32">
        <f t="shared" si="14"/>
        <v>-999</v>
      </c>
      <c r="AL12" s="34">
        <f t="shared" si="15"/>
        <v>-999</v>
      </c>
      <c r="AY12" s="103" t="s">
        <v>261</v>
      </c>
      <c r="AZ12" s="103" t="s">
        <v>443</v>
      </c>
      <c r="BA12" s="103" t="s">
        <v>326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0.2222220003604889</v>
      </c>
      <c r="J13" s="38">
        <v>0.5</v>
      </c>
      <c r="K13" s="38">
        <v>0.7083330154418945</v>
      </c>
      <c r="L13" s="38">
        <v>0.800000011920929</v>
      </c>
      <c r="M13" s="38">
        <v>1</v>
      </c>
      <c r="N13" s="80">
        <f>VLOOKUP('Hide - Control'!B$3,'All practice data'!A:CA,A13+29,FALSE)</f>
        <v>0.7842533936651583</v>
      </c>
      <c r="O13" s="80">
        <f>VLOOKUP('Hide - Control'!C$3,'All practice data'!A:CA,A13+29,FALSE)</f>
        <v>0.7467412166569077</v>
      </c>
      <c r="P13" s="38">
        <f>VLOOKUP('Hide - Control'!$B$4,'All practice data'!B:BC,A13+2,FALSE)</f>
        <v>8666</v>
      </c>
      <c r="Q13" s="38">
        <f>VLOOKUP('Hide - Control'!$B$4,'All practice data'!B:BJ,58,FALSE)</f>
        <v>11050</v>
      </c>
      <c r="R13" s="38">
        <f t="shared" si="17"/>
        <v>0.7764856596104872</v>
      </c>
      <c r="S13" s="38">
        <f t="shared" si="18"/>
        <v>0.7918235515509972</v>
      </c>
      <c r="T13" s="53">
        <f t="shared" si="16"/>
        <v>1</v>
      </c>
      <c r="U13" s="51">
        <f t="shared" si="1"/>
        <v>0.2222220003604889</v>
      </c>
      <c r="V13" s="7"/>
      <c r="W13" s="27">
        <f t="shared" si="2"/>
        <v>0.2222220003604889</v>
      </c>
      <c r="X13" s="27">
        <f t="shared" si="3"/>
        <v>1.1944440305233002</v>
      </c>
      <c r="Y13" s="27">
        <f t="shared" si="4"/>
        <v>0.2222220003604889</v>
      </c>
      <c r="Z13" s="27">
        <f t="shared" si="5"/>
        <v>1.1944440305233002</v>
      </c>
      <c r="AA13" s="32">
        <f t="shared" si="6"/>
        <v>0</v>
      </c>
      <c r="AB13" s="33">
        <f t="shared" si="7"/>
        <v>0.28571457035693126</v>
      </c>
      <c r="AC13" s="33">
        <v>0.5</v>
      </c>
      <c r="AD13" s="33">
        <f t="shared" si="8"/>
        <v>0.5942860721472065</v>
      </c>
      <c r="AE13" s="33">
        <f t="shared" si="9"/>
        <v>0.8000003862381745</v>
      </c>
      <c r="AF13" s="33">
        <f t="shared" si="10"/>
        <v>-999</v>
      </c>
      <c r="AG13" s="33">
        <f t="shared" si="11"/>
        <v>-999</v>
      </c>
      <c r="AH13" s="33">
        <f t="shared" si="12"/>
        <v>-999</v>
      </c>
      <c r="AI13" s="34">
        <f t="shared" si="13"/>
        <v>0.539505586196788</v>
      </c>
      <c r="AJ13" s="4">
        <v>9.158023844730446</v>
      </c>
      <c r="AK13" s="32">
        <f t="shared" si="14"/>
        <v>-999</v>
      </c>
      <c r="AL13" s="34">
        <f t="shared" si="15"/>
        <v>-999</v>
      </c>
      <c r="AY13" s="103" t="s">
        <v>260</v>
      </c>
      <c r="AZ13" s="103" t="s">
        <v>442</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473</v>
      </c>
      <c r="E14" s="38">
        <f>IF(LEFT(VLOOKUP($B14,'Indicator chart'!$D$1:$J$36,5,FALSE),1)=" "," ",VLOOKUP($B14,'Indicator chart'!$D$1:$J$36,5,FALSE))</f>
        <v>0.832746</v>
      </c>
      <c r="F14" s="38">
        <f>IF(LEFT(VLOOKUP($B14,'Indicator chart'!$D$1:$J$36,6,FALSE),1)=" "," ",VLOOKUP($B14,'Indicator chart'!$D$1:$J$36,6,FALSE))</f>
        <v>0.7998407512654069</v>
      </c>
      <c r="G14" s="38">
        <f>IF(LEFT(VLOOKUP($B14,'Indicator chart'!$D$1:$J$36,7,FALSE),1)=" "," ",VLOOKUP($B14,'Indicator chart'!$D$1:$J$36,7,FALSE))</f>
        <v>0.8611814618789325</v>
      </c>
      <c r="H14" s="50">
        <f t="shared" si="0"/>
        <v>2</v>
      </c>
      <c r="I14" s="38">
        <v>0.7044199705123901</v>
      </c>
      <c r="J14" s="38">
        <v>0.7950019836425781</v>
      </c>
      <c r="K14" s="38">
        <v>0.8132209777832031</v>
      </c>
      <c r="L14" s="38">
        <v>0.8317760229110718</v>
      </c>
      <c r="M14" s="38">
        <v>0.907060980796814</v>
      </c>
      <c r="N14" s="80">
        <f>VLOOKUP('Hide - Control'!B$3,'All practice data'!A:CA,A14+29,FALSE)</f>
        <v>0.8102113037234588</v>
      </c>
      <c r="O14" s="80">
        <f>VLOOKUP('Hide - Control'!C$3,'All practice data'!A:CA,A14+29,FALSE)</f>
        <v>0.7559681673907895</v>
      </c>
      <c r="P14" s="38">
        <f>VLOOKUP('Hide - Control'!$B$4,'All practice data'!B:BC,A14+2,FALSE)</f>
        <v>63190</v>
      </c>
      <c r="Q14" s="38">
        <f>VLOOKUP('Hide - Control'!$B$4,'All practice data'!B:BJ,59,FALSE)</f>
        <v>77992</v>
      </c>
      <c r="R14" s="38">
        <f t="shared" si="17"/>
        <v>0.8074439426635688</v>
      </c>
      <c r="S14" s="38">
        <f t="shared" si="18"/>
        <v>0.8129481065453726</v>
      </c>
      <c r="T14" s="53">
        <f t="shared" si="16"/>
        <v>0.907060980796814</v>
      </c>
      <c r="U14" s="51">
        <f t="shared" si="1"/>
        <v>0.7044199705123901</v>
      </c>
      <c r="V14" s="7"/>
      <c r="W14" s="27">
        <f t="shared" si="2"/>
        <v>0.7044199705123901</v>
      </c>
      <c r="X14" s="27">
        <f t="shared" si="3"/>
        <v>0.9220219850540161</v>
      </c>
      <c r="Y14" s="27">
        <f t="shared" si="4"/>
        <v>0.7044199705123901</v>
      </c>
      <c r="Z14" s="27">
        <f t="shared" si="5"/>
        <v>0.9220219850540161</v>
      </c>
      <c r="AA14" s="32">
        <f t="shared" si="6"/>
        <v>0</v>
      </c>
      <c r="AB14" s="33">
        <f t="shared" si="7"/>
        <v>0.4162737800061138</v>
      </c>
      <c r="AC14" s="33">
        <v>0.5</v>
      </c>
      <c r="AD14" s="33">
        <f t="shared" si="8"/>
        <v>0.5852705576598382</v>
      </c>
      <c r="AE14" s="33">
        <f t="shared" si="9"/>
        <v>0.9312460213720117</v>
      </c>
      <c r="AF14" s="33">
        <f t="shared" si="10"/>
        <v>-999</v>
      </c>
      <c r="AG14" s="33">
        <f t="shared" si="11"/>
        <v>0.5897281316899842</v>
      </c>
      <c r="AH14" s="33">
        <f t="shared" si="12"/>
        <v>-999</v>
      </c>
      <c r="AI14" s="34">
        <f t="shared" si="13"/>
        <v>0.236892093977092</v>
      </c>
      <c r="AJ14" s="4">
        <v>10.234019270112368</v>
      </c>
      <c r="AK14" s="32">
        <f t="shared" si="14"/>
        <v>-999</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252</v>
      </c>
      <c r="E15" s="38">
        <f>IF(LEFT(VLOOKUP($B15,'Indicator chart'!$D$1:$J$36,5,FALSE),1)=" "," ",VLOOKUP($B15,'Indicator chart'!$D$1:$J$36,5,FALSE))</f>
        <v>0.661417</v>
      </c>
      <c r="F15" s="38">
        <f>IF(LEFT(VLOOKUP($B15,'Indicator chart'!$D$1:$J$36,6,FALSE),1)=" "," ",VLOOKUP($B15,'Indicator chart'!$D$1:$J$36,6,FALSE))</f>
        <v>0.6124977165009298</v>
      </c>
      <c r="G15" s="38">
        <f>IF(LEFT(VLOOKUP($B15,'Indicator chart'!$D$1:$J$36,7,FALSE),1)=" "," ",VLOOKUP($B15,'Indicator chart'!$D$1:$J$36,7,FALSE))</f>
        <v>0.7071143004951538</v>
      </c>
      <c r="H15" s="50">
        <f t="shared" si="0"/>
        <v>2</v>
      </c>
      <c r="I15" s="38">
        <v>0.44464901089668274</v>
      </c>
      <c r="J15" s="38">
        <v>0.5960260033607483</v>
      </c>
      <c r="K15" s="38">
        <v>0.6157140135765076</v>
      </c>
      <c r="L15" s="38">
        <v>0.6563400030136108</v>
      </c>
      <c r="M15" s="38">
        <v>0.7186570167541504</v>
      </c>
      <c r="N15" s="80">
        <f>VLOOKUP('Hide - Control'!B$3,'All practice data'!A:CA,A15+29,FALSE)</f>
        <v>0.6187681940082976</v>
      </c>
      <c r="O15" s="80">
        <f>VLOOKUP('Hide - Control'!C$3,'All practice data'!A:CA,A15+29,FALSE)</f>
        <v>0.5147293797466616</v>
      </c>
      <c r="P15" s="38">
        <f>VLOOKUP('Hide - Control'!$B$4,'All practice data'!B:BC,A15+2,FALSE)</f>
        <v>26995</v>
      </c>
      <c r="Q15" s="38">
        <f>VLOOKUP('Hide - Control'!$B$4,'All practice data'!B:BJ,60,FALSE)</f>
        <v>43627</v>
      </c>
      <c r="R15" s="38">
        <f t="shared" si="17"/>
        <v>0.6142003175700466</v>
      </c>
      <c r="S15" s="38">
        <f t="shared" si="18"/>
        <v>0.6233151558880681</v>
      </c>
      <c r="T15" s="53">
        <f t="shared" si="16"/>
        <v>0.7186570167541504</v>
      </c>
      <c r="U15" s="51">
        <f t="shared" si="1"/>
        <v>0.44464901089668274</v>
      </c>
      <c r="V15" s="7"/>
      <c r="W15" s="27">
        <f t="shared" si="2"/>
        <v>0.44464901089668274</v>
      </c>
      <c r="X15" s="27">
        <f t="shared" si="3"/>
        <v>0.7867790162563324</v>
      </c>
      <c r="Y15" s="27">
        <f t="shared" si="4"/>
        <v>0.44464901089668274</v>
      </c>
      <c r="Z15" s="27">
        <f t="shared" si="5"/>
        <v>0.7867790162563324</v>
      </c>
      <c r="AA15" s="32">
        <f t="shared" si="6"/>
        <v>0</v>
      </c>
      <c r="AB15" s="33">
        <f t="shared" si="7"/>
        <v>0.44245459355409916</v>
      </c>
      <c r="AC15" s="33">
        <v>0.5</v>
      </c>
      <c r="AD15" s="33">
        <f t="shared" si="8"/>
        <v>0.6187443042138234</v>
      </c>
      <c r="AE15" s="33">
        <f t="shared" si="9"/>
        <v>0.8008885557097758</v>
      </c>
      <c r="AF15" s="33">
        <f t="shared" si="10"/>
        <v>-999</v>
      </c>
      <c r="AG15" s="33">
        <f t="shared" si="11"/>
        <v>0.6335836837094985</v>
      </c>
      <c r="AH15" s="33">
        <f t="shared" si="12"/>
        <v>-999</v>
      </c>
      <c r="AI15" s="34">
        <f t="shared" si="13"/>
        <v>0.2048354945550882</v>
      </c>
      <c r="AJ15" s="4">
        <v>11.310014695494289</v>
      </c>
      <c r="AK15" s="32">
        <f t="shared" si="14"/>
        <v>-999</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131</v>
      </c>
      <c r="E16" s="38">
        <f>IF(LEFT(VLOOKUP($B16,'Indicator chart'!$D$1:$J$36,5,FALSE),1)=" "," ",VLOOKUP($B16,'Indicator chart'!$D$1:$J$36,5,FALSE))</f>
        <v>0.693122</v>
      </c>
      <c r="F16" s="38">
        <f>IF(LEFT(VLOOKUP($B16,'Indicator chart'!$D$1:$J$36,6,FALSE),1)=" "," ",VLOOKUP($B16,'Indicator chart'!$D$1:$J$36,6,FALSE))</f>
        <v>0.624066537257122</v>
      </c>
      <c r="G16" s="38">
        <f>IF(LEFT(VLOOKUP($B16,'Indicator chart'!$D$1:$J$36,7,FALSE),1)=" "," ",VLOOKUP($B16,'Indicator chart'!$D$1:$J$36,7,FALSE))</f>
        <v>0.7544824895088869</v>
      </c>
      <c r="H16" s="50">
        <f t="shared" si="0"/>
        <v>2</v>
      </c>
      <c r="I16" s="38">
        <v>0.4603169858455658</v>
      </c>
      <c r="J16" s="38">
        <v>0.6165050268173218</v>
      </c>
      <c r="K16" s="38">
        <v>0.6523810029029846</v>
      </c>
      <c r="L16" s="38">
        <v>0.6825169920921326</v>
      </c>
      <c r="M16" s="38">
        <v>0.7753040194511414</v>
      </c>
      <c r="N16" s="80">
        <f>VLOOKUP('Hide - Control'!B$3,'All practice data'!A:CA,A16+29,FALSE)</f>
        <v>0.6500685028582227</v>
      </c>
      <c r="O16" s="80">
        <f>VLOOKUP('Hide - Control'!C$3,'All practice data'!A:CA,A16+29,FALSE)</f>
        <v>0.5752927626212945</v>
      </c>
      <c r="P16" s="38">
        <f>VLOOKUP('Hide - Control'!$B$4,'All practice data'!B:BC,A16+2,FALSE)</f>
        <v>13760</v>
      </c>
      <c r="Q16" s="38">
        <f>VLOOKUP('Hide - Control'!$B$4,'All practice data'!B:BJ,61,FALSE)</f>
        <v>21167</v>
      </c>
      <c r="R16" s="38">
        <f t="shared" si="17"/>
        <v>0.6436164366888174</v>
      </c>
      <c r="S16" s="38">
        <f t="shared" si="18"/>
        <v>0.6564661070301815</v>
      </c>
      <c r="T16" s="53">
        <f aca="true" t="shared" si="19" ref="T16:T31">IF($C16=1,M16,I16)</f>
        <v>0.7753040194511414</v>
      </c>
      <c r="U16" s="51">
        <f aca="true" t="shared" si="20" ref="U16:U31">IF($C16=1,I16,M16)</f>
        <v>0.4603169858455658</v>
      </c>
      <c r="V16" s="7"/>
      <c r="W16" s="27">
        <f t="shared" si="2"/>
        <v>0.4603169858455658</v>
      </c>
      <c r="X16" s="27">
        <f t="shared" si="3"/>
        <v>0.8444450199604034</v>
      </c>
      <c r="Y16" s="27">
        <f t="shared" si="4"/>
        <v>0.4603169858455658</v>
      </c>
      <c r="Z16" s="27">
        <f t="shared" si="5"/>
        <v>0.8444450199604034</v>
      </c>
      <c r="AA16" s="32">
        <f t="shared" si="6"/>
        <v>0</v>
      </c>
      <c r="AB16" s="33">
        <f t="shared" si="7"/>
        <v>0.4066041192012102</v>
      </c>
      <c r="AC16" s="33">
        <v>0.5</v>
      </c>
      <c r="AD16" s="33">
        <f t="shared" si="8"/>
        <v>0.5784529805500699</v>
      </c>
      <c r="AE16" s="33">
        <f t="shared" si="9"/>
        <v>0.8200053253895239</v>
      </c>
      <c r="AF16" s="33">
        <f t="shared" si="10"/>
        <v>-999</v>
      </c>
      <c r="AG16" s="33">
        <f t="shared" si="11"/>
        <v>0.6060609835231021</v>
      </c>
      <c r="AH16" s="33">
        <f t="shared" si="12"/>
        <v>-999</v>
      </c>
      <c r="AI16" s="34">
        <f t="shared" si="13"/>
        <v>0.2993162866664293</v>
      </c>
      <c r="AJ16" s="4">
        <v>12.386010120876215</v>
      </c>
      <c r="AK16" s="32">
        <f t="shared" si="14"/>
        <v>-999</v>
      </c>
      <c r="AL16" s="34">
        <f t="shared" si="15"/>
        <v>-999</v>
      </c>
      <c r="AY16" s="103" t="s">
        <v>325</v>
      </c>
      <c r="AZ16" s="103" t="s">
        <v>345</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44</v>
      </c>
      <c r="E17" s="38">
        <f>IF(LEFT(VLOOKUP($B17,'Indicator chart'!$D$1:$J$36,5,FALSE),1)=" "," ",VLOOKUP($B17,'Indicator chart'!$D$1:$J$36,5,FALSE))</f>
        <v>2005.4694621695533</v>
      </c>
      <c r="F17" s="38">
        <f>IF(LEFT(VLOOKUP($B17,'Indicator chart'!$D$1:$J$36,6,FALSE),1)=" "," ",VLOOKUP($B17,'Indicator chart'!$D$1:$J$36,6,FALSE))</f>
        <v>1457.02717713461</v>
      </c>
      <c r="G17" s="38">
        <f>IF(LEFT(VLOOKUP($B17,'Indicator chart'!$D$1:$J$36,7,FALSE),1)=" "," ",VLOOKUP($B17,'Indicator chart'!$D$1:$J$36,7,FALSE))</f>
        <v>2692.3274099489686</v>
      </c>
      <c r="H17" s="50">
        <f t="shared" si="0"/>
        <v>2</v>
      </c>
      <c r="I17" s="38">
        <v>831.94677734375</v>
      </c>
      <c r="J17" s="38">
        <v>2101.424072265625</v>
      </c>
      <c r="K17" s="38">
        <v>2484.266357421875</v>
      </c>
      <c r="L17" s="38">
        <v>3136.25439453125</v>
      </c>
      <c r="M17" s="38">
        <v>4862.7685546875</v>
      </c>
      <c r="N17" s="80">
        <f>VLOOKUP('Hide - Control'!B$3,'All practice data'!A:CA,A17+29,FALSE)</f>
        <v>2617.683546434427</v>
      </c>
      <c r="O17" s="80">
        <f>VLOOKUP('Hide - Control'!C$3,'All practice data'!A:CA,A17+29,FALSE)</f>
        <v>1812.1669120472948</v>
      </c>
      <c r="P17" s="38">
        <f>VLOOKUP('Hide - Control'!$B$4,'All practice data'!B:BC,A17+2,FALSE)</f>
        <v>8398</v>
      </c>
      <c r="Q17" s="38">
        <f>VLOOKUP('Hide - Control'!$B$4,'All practice data'!B:BC,3,FALSE)</f>
        <v>320818</v>
      </c>
      <c r="R17" s="38">
        <f>100000*(P17*(1-1/(9*P17)-1.96/(3*SQRT(P17)))^3)/Q17</f>
        <v>2561.992567931056</v>
      </c>
      <c r="S17" s="38">
        <f>100000*((P17+1)*(1-1/(9*(P17+1))+1.96/(3*SQRT(P17+1)))^3)/Q17</f>
        <v>2674.280044163815</v>
      </c>
      <c r="T17" s="53">
        <f t="shared" si="19"/>
        <v>4862.7685546875</v>
      </c>
      <c r="U17" s="51">
        <f t="shared" si="20"/>
        <v>831.94677734375</v>
      </c>
      <c r="V17" s="7"/>
      <c r="W17" s="27">
        <f t="shared" si="2"/>
        <v>105.76416015625</v>
      </c>
      <c r="X17" s="27">
        <f t="shared" si="3"/>
        <v>4862.7685546875</v>
      </c>
      <c r="Y17" s="27">
        <f t="shared" si="4"/>
        <v>105.76416015625</v>
      </c>
      <c r="Z17" s="27">
        <f t="shared" si="5"/>
        <v>4862.7685546875</v>
      </c>
      <c r="AA17" s="32">
        <f t="shared" si="6"/>
        <v>0.1526554438382135</v>
      </c>
      <c r="AB17" s="33">
        <f t="shared" si="7"/>
        <v>0.41952030029731036</v>
      </c>
      <c r="AC17" s="33">
        <v>0.5</v>
      </c>
      <c r="AD17" s="33">
        <f t="shared" si="8"/>
        <v>0.6370585315958324</v>
      </c>
      <c r="AE17" s="33">
        <f t="shared" si="9"/>
        <v>1</v>
      </c>
      <c r="AF17" s="33">
        <f t="shared" si="10"/>
        <v>-999</v>
      </c>
      <c r="AG17" s="33">
        <f t="shared" si="11"/>
        <v>0.39934907442953876</v>
      </c>
      <c r="AH17" s="33">
        <f t="shared" si="12"/>
        <v>-999</v>
      </c>
      <c r="AI17" s="34">
        <f t="shared" si="13"/>
        <v>0.35871372199125157</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44</v>
      </c>
      <c r="E18" s="80">
        <f>IF(LEFT(VLOOKUP($B18,'Indicator chart'!$D$1:$J$36,5,FALSE),1)=" "," ",VLOOKUP($B18,'Indicator chart'!$D$1:$J$36,5,FALSE))</f>
        <v>0.8714370728</v>
      </c>
      <c r="F18" s="81">
        <f>IF(LEFT(VLOOKUP($B18,'Indicator chart'!$D$1:$J$36,6,FALSE),1)=" "," ",VLOOKUP($B18,'Indicator chart'!$D$1:$J$36,6,FALSE))</f>
        <v>0.6331875229</v>
      </c>
      <c r="G18" s="38">
        <f>IF(LEFT(VLOOKUP($B18,'Indicator chart'!$D$1:$J$36,7,FALSE),1)=" "," ",VLOOKUP($B18,'Indicator chart'!$D$1:$J$36,7,FALSE))</f>
        <v>1.169863586</v>
      </c>
      <c r="H18" s="50">
        <f>IF(LEFT(F18,1)=" ",4,IF(AND(ABS(N18-E18)&gt;SQRT((E18-G18)^2+(N18-R18)^2),E18&lt;N18),1,IF(AND(ABS(N18-E18)&gt;SQRT((E18-F18)^2+(N18-S18)^2),E18&gt;N18),3,2)))</f>
        <v>2</v>
      </c>
      <c r="I18" s="38">
        <v>0.36578503251075745</v>
      </c>
      <c r="J18" s="38"/>
      <c r="K18" s="38">
        <v>1</v>
      </c>
      <c r="L18" s="38"/>
      <c r="M18" s="38">
        <v>2.2674643993377686</v>
      </c>
      <c r="N18" s="80">
        <v>1</v>
      </c>
      <c r="O18" s="80">
        <f>VLOOKUP('Hide - Control'!C$3,'All practice data'!A:CA,A18+29,FALSE)</f>
        <v>1</v>
      </c>
      <c r="P18" s="38">
        <f>VLOOKUP('Hide - Control'!$B$4,'All practice data'!B:BC,A18+2,FALSE)</f>
        <v>8398</v>
      </c>
      <c r="Q18" s="38">
        <f>VLOOKUP('Hide - Control'!$B$4,'All practice data'!B:BC,14,FALSE)</f>
        <v>8398</v>
      </c>
      <c r="R18" s="81">
        <v>1</v>
      </c>
      <c r="S18" s="38">
        <v>1</v>
      </c>
      <c r="T18" s="53">
        <f t="shared" si="19"/>
        <v>2.2674643993377686</v>
      </c>
      <c r="U18" s="51">
        <f t="shared" si="20"/>
        <v>0.36578503251075745</v>
      </c>
      <c r="V18" s="7"/>
      <c r="W18" s="27">
        <f>IF((K18-I18)&gt;(M18-K18),I18,(K18-(M18-K18)))</f>
        <v>-0.26746439933776855</v>
      </c>
      <c r="X18" s="27">
        <f t="shared" si="3"/>
        <v>2.2674643993377686</v>
      </c>
      <c r="Y18" s="27">
        <f t="shared" si="4"/>
        <v>-0.26746439933776855</v>
      </c>
      <c r="Z18" s="27">
        <f t="shared" si="5"/>
        <v>2.2674643993377686</v>
      </c>
      <c r="AA18" s="32" t="s">
        <v>326</v>
      </c>
      <c r="AB18" s="33" t="s">
        <v>326</v>
      </c>
      <c r="AC18" s="33">
        <v>0.5</v>
      </c>
      <c r="AD18" s="33" t="s">
        <v>326</v>
      </c>
      <c r="AE18" s="33" t="s">
        <v>326</v>
      </c>
      <c r="AF18" s="33">
        <f t="shared" si="10"/>
        <v>-999</v>
      </c>
      <c r="AG18" s="33">
        <f t="shared" si="11"/>
        <v>0.44928341684895756</v>
      </c>
      <c r="AH18" s="33">
        <f t="shared" si="12"/>
        <v>-999</v>
      </c>
      <c r="AI18" s="34">
        <v>0.5</v>
      </c>
      <c r="AJ18" s="4">
        <v>14.538000971640056</v>
      </c>
      <c r="AK18" s="32">
        <f t="shared" si="14"/>
        <v>-999</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0.07296137511730194</v>
      </c>
      <c r="K19" s="38">
        <v>0.09502262622117996</v>
      </c>
      <c r="L19" s="38">
        <v>0.11570248007774353</v>
      </c>
      <c r="M19" s="38">
        <v>0.22093023359775543</v>
      </c>
      <c r="N19" s="80">
        <f>VLOOKUP('Hide - Control'!B$3,'All practice data'!A:CA,A19+29,FALSE)</f>
        <v>0.09442724458204334</v>
      </c>
      <c r="O19" s="80">
        <f>VLOOKUP('Hide - Control'!C$3,'All practice data'!A:CA,A19+29,FALSE)</f>
        <v>0.10919341638628717</v>
      </c>
      <c r="P19" s="38">
        <f>VLOOKUP('Hide - Control'!$B$4,'All practice data'!B:BC,A19+2,FALSE)</f>
        <v>793</v>
      </c>
      <c r="Q19" s="38">
        <f>VLOOKUP('Hide - Control'!$B$4,'All practice data'!B:BC,15,FALSE)</f>
        <v>8398</v>
      </c>
      <c r="R19" s="38">
        <f>+((2*P19+1.96^2-1.96*SQRT(1.96^2+4*P19*(1-P19/Q19)))/(2*(Q19+1.96^2)))</f>
        <v>0.08835707011628309</v>
      </c>
      <c r="S19" s="38">
        <f>+((2*P19+1.96^2+1.96*SQRT(1.96^2+4*P19*(1-P19/Q19)))/(2*(Q19+1.96^2)))</f>
        <v>0.10086830161650465</v>
      </c>
      <c r="T19" s="53">
        <f t="shared" si="19"/>
        <v>0.22093023359775543</v>
      </c>
      <c r="U19" s="51">
        <f t="shared" si="20"/>
        <v>0.02070442959666252</v>
      </c>
      <c r="V19" s="7"/>
      <c r="W19" s="27">
        <f t="shared" si="2"/>
        <v>-0.030884981155395508</v>
      </c>
      <c r="X19" s="27">
        <f t="shared" si="3"/>
        <v>0.22093023359775543</v>
      </c>
      <c r="Y19" s="27">
        <f t="shared" si="4"/>
        <v>-0.030884981155395508</v>
      </c>
      <c r="Z19" s="27">
        <f t="shared" si="5"/>
        <v>0.22093023359775543</v>
      </c>
      <c r="AA19" s="32">
        <f t="shared" si="6"/>
        <v>0.20487011002345518</v>
      </c>
      <c r="AB19" s="33">
        <f t="shared" si="7"/>
        <v>0.41239111137305906</v>
      </c>
      <c r="AC19" s="33">
        <v>0.5</v>
      </c>
      <c r="AD19" s="33">
        <f t="shared" si="8"/>
        <v>0.5821231309507473</v>
      </c>
      <c r="AE19" s="33">
        <f t="shared" si="9"/>
        <v>1</v>
      </c>
      <c r="AF19" s="33">
        <f t="shared" si="10"/>
        <v>-999</v>
      </c>
      <c r="AG19" s="33">
        <f t="shared" si="11"/>
        <v>-999</v>
      </c>
      <c r="AH19" s="33">
        <f t="shared" si="12"/>
        <v>-999</v>
      </c>
      <c r="AI19" s="34">
        <f t="shared" si="13"/>
        <v>0.5562745590213781</v>
      </c>
      <c r="AJ19" s="4">
        <v>15.61399639702198</v>
      </c>
      <c r="AK19" s="32">
        <f t="shared" si="14"/>
        <v>-999</v>
      </c>
      <c r="AL19" s="34">
        <f t="shared" si="15"/>
        <v>-999</v>
      </c>
      <c r="AY19" s="103" t="s">
        <v>270</v>
      </c>
      <c r="AZ19" s="103" t="s">
        <v>446</v>
      </c>
      <c r="BA19" s="103" t="s">
        <v>326</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0.4000000059604645</v>
      </c>
      <c r="K20" s="38">
        <v>0.45652174949645996</v>
      </c>
      <c r="L20" s="38">
        <v>0.5476190447807312</v>
      </c>
      <c r="M20" s="38">
        <v>0.7037037014961243</v>
      </c>
      <c r="N20" s="80">
        <f>VLOOKUP('Hide - Control'!B$3,'All practice data'!A:CA,A20+29,FALSE)</f>
        <v>0.46923076923076923</v>
      </c>
      <c r="O20" s="80">
        <f>VLOOKUP('Hide - Control'!C$3,'All practice data'!A:CA,A20+29,FALSE)</f>
        <v>0.4534552930810221</v>
      </c>
      <c r="P20" s="38">
        <f>VLOOKUP('Hide - Control'!$B$4,'All practice data'!B:BC,A20+1,FALSE)</f>
        <v>793</v>
      </c>
      <c r="Q20" s="38">
        <f>VLOOKUP('Hide - Control'!$B$4,'All practice data'!B:BC,A20+2,FALSE)</f>
        <v>1690</v>
      </c>
      <c r="R20" s="38">
        <f>+((2*P20+1.96^2-1.96*SQRT(1.96^2+4*P20*(1-P20/Q20)))/(2*(Q20+1.96^2)))</f>
        <v>0.44553392042981915</v>
      </c>
      <c r="S20" s="38">
        <f>+((2*P20+1.96^2+1.96*SQRT(1.96^2+4*P20*(1-P20/Q20)))/(2*(Q20+1.96^2)))</f>
        <v>0.4930671860727015</v>
      </c>
      <c r="T20" s="53">
        <f t="shared" si="19"/>
        <v>0.7037037014961243</v>
      </c>
      <c r="U20" s="51">
        <f t="shared" si="20"/>
        <v>0.09238772839307785</v>
      </c>
      <c r="V20" s="7"/>
      <c r="W20" s="27">
        <f t="shared" si="2"/>
        <v>0.09238772839307785</v>
      </c>
      <c r="X20" s="27">
        <f t="shared" si="3"/>
        <v>0.8206557705998421</v>
      </c>
      <c r="Y20" s="27">
        <f t="shared" si="4"/>
        <v>0.09238772839307785</v>
      </c>
      <c r="Z20" s="27">
        <f t="shared" si="5"/>
        <v>0.8206557705998421</v>
      </c>
      <c r="AA20" s="32">
        <f t="shared" si="6"/>
        <v>0</v>
      </c>
      <c r="AB20" s="33">
        <f t="shared" si="7"/>
        <v>0.4223888180446228</v>
      </c>
      <c r="AC20" s="33">
        <v>0.5</v>
      </c>
      <c r="AD20" s="33">
        <f t="shared" si="8"/>
        <v>0.625087591387688</v>
      </c>
      <c r="AE20" s="33">
        <f t="shared" si="9"/>
        <v>0.839410680785422</v>
      </c>
      <c r="AF20" s="33">
        <f t="shared" si="10"/>
        <v>-999</v>
      </c>
      <c r="AG20" s="33">
        <f t="shared" si="11"/>
        <v>-999</v>
      </c>
      <c r="AH20" s="33">
        <f t="shared" si="12"/>
        <v>-999</v>
      </c>
      <c r="AI20" s="34">
        <f t="shared" si="13"/>
        <v>0.49578938489989755</v>
      </c>
      <c r="AJ20" s="4">
        <v>16.689991822403904</v>
      </c>
      <c r="AK20" s="32">
        <f t="shared" si="14"/>
        <v>-999</v>
      </c>
      <c r="AL20" s="34">
        <f t="shared" si="15"/>
        <v>-999</v>
      </c>
      <c r="AY20" s="103" t="s">
        <v>211</v>
      </c>
      <c r="AZ20" s="103" t="s">
        <v>427</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638.1039197812215</v>
      </c>
      <c r="F21" s="38">
        <f>IF(LEFT(VLOOKUP($B21,'Indicator chart'!$D$1:$J$36,6,FALSE),1)=" "," ",VLOOKUP($B21,'Indicator chart'!$D$1:$J$36,6,FALSE))</f>
        <v>348.56156110958074</v>
      </c>
      <c r="G21" s="38">
        <f>IF(LEFT(VLOOKUP($B21,'Indicator chart'!$D$1:$J$36,7,FALSE),1)=" "," ",VLOOKUP($B21,'Indicator chart'!$D$1:$J$36,7,FALSE))</f>
        <v>1070.7012710766978</v>
      </c>
      <c r="H21" s="50">
        <f t="shared" si="0"/>
        <v>2</v>
      </c>
      <c r="I21" s="38">
        <v>61.46357345581055</v>
      </c>
      <c r="J21" s="38">
        <v>489.9405822753906</v>
      </c>
      <c r="K21" s="38">
        <v>590.03662109375</v>
      </c>
      <c r="L21" s="38">
        <v>717.213134765625</v>
      </c>
      <c r="M21" s="38">
        <v>1103.818603515625</v>
      </c>
      <c r="N21" s="80">
        <f>VLOOKUP('Hide - Control'!B$3,'All practice data'!A:CA,A21+29,FALSE)</f>
        <v>616.8606499635307</v>
      </c>
      <c r="O21" s="80">
        <f>VLOOKUP('Hide - Control'!C$3,'All practice data'!A:CA,A21+29,FALSE)</f>
        <v>377.7293140102421</v>
      </c>
      <c r="P21" s="38">
        <f>VLOOKUP('Hide - Control'!$B$4,'All practice data'!B:BC,A21+2,FALSE)</f>
        <v>1979</v>
      </c>
      <c r="Q21" s="38">
        <f>VLOOKUP('Hide - Control'!$B$4,'All practice data'!B:BC,3,FALSE)</f>
        <v>320818</v>
      </c>
      <c r="R21" s="38">
        <f aca="true" t="shared" si="21" ref="R21:R27">100000*(P21*(1-1/(9*P21)-1.96/(3*SQRT(P21)))^3)/Q21</f>
        <v>589.9788045174654</v>
      </c>
      <c r="S21" s="38">
        <f aca="true" t="shared" si="22" ref="S21:S27">100000*((P21+1)*(1-1/(9*(P21+1))+1.96/(3*SQRT(P21+1)))^3)/Q21</f>
        <v>644.6515220845058</v>
      </c>
      <c r="T21" s="53">
        <f t="shared" si="19"/>
        <v>1103.818603515625</v>
      </c>
      <c r="U21" s="51">
        <f t="shared" si="20"/>
        <v>61.46357345581055</v>
      </c>
      <c r="V21" s="7"/>
      <c r="W21" s="27">
        <f t="shared" si="2"/>
        <v>61.46357345581055</v>
      </c>
      <c r="X21" s="27">
        <f t="shared" si="3"/>
        <v>1118.6096687316895</v>
      </c>
      <c r="Y21" s="27">
        <f t="shared" si="4"/>
        <v>61.46357345581055</v>
      </c>
      <c r="Z21" s="27">
        <f t="shared" si="5"/>
        <v>1118.6096687316895</v>
      </c>
      <c r="AA21" s="32">
        <f t="shared" si="6"/>
        <v>0</v>
      </c>
      <c r="AB21" s="33">
        <f t="shared" si="7"/>
        <v>0.40531484790450106</v>
      </c>
      <c r="AC21" s="33">
        <v>0.5</v>
      </c>
      <c r="AD21" s="33">
        <f t="shared" si="8"/>
        <v>0.6203017390313363</v>
      </c>
      <c r="AE21" s="33">
        <f t="shared" si="9"/>
        <v>0.986008494680005</v>
      </c>
      <c r="AF21" s="33">
        <f t="shared" si="10"/>
        <v>-999</v>
      </c>
      <c r="AG21" s="33">
        <f t="shared" si="11"/>
        <v>0.5454689270501705</v>
      </c>
      <c r="AH21" s="33">
        <f t="shared" si="12"/>
        <v>-999</v>
      </c>
      <c r="AI21" s="34">
        <f t="shared" si="13"/>
        <v>0.29916937873369054</v>
      </c>
      <c r="AJ21" s="4">
        <v>17.765987247785823</v>
      </c>
      <c r="AK21" s="32">
        <f t="shared" si="14"/>
        <v>-999</v>
      </c>
      <c r="AL21" s="34">
        <f t="shared" si="15"/>
        <v>-999</v>
      </c>
      <c r="AY21" s="103" t="s">
        <v>123</v>
      </c>
      <c r="AZ21" s="103" t="s">
        <v>401</v>
      </c>
      <c r="BA21" s="103" t="s">
        <v>326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158.61825561523438</v>
      </c>
      <c r="K22" s="38">
        <v>315.8801574707031</v>
      </c>
      <c r="L22" s="38">
        <v>630.9148559570312</v>
      </c>
      <c r="M22" s="38">
        <v>929.8001098632812</v>
      </c>
      <c r="N22" s="80">
        <f>VLOOKUP('Hide - Control'!B$3,'All practice data'!A:CA,A22+29,FALSE)</f>
        <v>343.49693595745873</v>
      </c>
      <c r="O22" s="80">
        <f>VLOOKUP('Hide - Control'!C$3,'All practice data'!A:CA,A22+29,FALSE)</f>
        <v>282.45290788403287</v>
      </c>
      <c r="P22" s="38">
        <f>VLOOKUP('Hide - Control'!$B$4,'All practice data'!B:BC,A22+2,FALSE)</f>
        <v>1102</v>
      </c>
      <c r="Q22" s="38">
        <f>VLOOKUP('Hide - Control'!$B$4,'All practice data'!B:BC,3,FALSE)</f>
        <v>320818</v>
      </c>
      <c r="R22" s="38">
        <f t="shared" si="21"/>
        <v>323.5126796078541</v>
      </c>
      <c r="S22" s="38">
        <f t="shared" si="22"/>
        <v>364.3925270231618</v>
      </c>
      <c r="T22" s="53">
        <f t="shared" si="19"/>
        <v>929.8001098632812</v>
      </c>
      <c r="U22" s="51">
        <f t="shared" si="20"/>
        <v>18.07059669494629</v>
      </c>
      <c r="V22" s="7"/>
      <c r="W22" s="27">
        <f t="shared" si="2"/>
        <v>-298.039794921875</v>
      </c>
      <c r="X22" s="27">
        <f t="shared" si="3"/>
        <v>929.8001098632812</v>
      </c>
      <c r="Y22" s="27">
        <f t="shared" si="4"/>
        <v>-298.039794921875</v>
      </c>
      <c r="Z22" s="27">
        <f t="shared" si="5"/>
        <v>929.8001098632812</v>
      </c>
      <c r="AA22" s="32">
        <f t="shared" si="6"/>
        <v>0.25745244993656835</v>
      </c>
      <c r="AB22" s="33">
        <f t="shared" si="7"/>
        <v>0.37191986411047134</v>
      </c>
      <c r="AC22" s="33">
        <v>0.5</v>
      </c>
      <c r="AD22" s="33">
        <f t="shared" si="8"/>
        <v>0.7565763641160139</v>
      </c>
      <c r="AE22" s="33">
        <f t="shared" si="9"/>
        <v>1</v>
      </c>
      <c r="AF22" s="33">
        <f t="shared" si="10"/>
        <v>-999</v>
      </c>
      <c r="AG22" s="33">
        <f t="shared" si="11"/>
        <v>-999</v>
      </c>
      <c r="AH22" s="33">
        <f t="shared" si="12"/>
        <v>-999</v>
      </c>
      <c r="AI22" s="34">
        <f t="shared" si="13"/>
        <v>0.4727755634456926</v>
      </c>
      <c r="AJ22" s="4">
        <v>18.841982673167745</v>
      </c>
      <c r="AK22" s="32">
        <f t="shared" si="14"/>
        <v>-999</v>
      </c>
      <c r="AL22" s="34">
        <f t="shared" si="15"/>
        <v>-999</v>
      </c>
      <c r="AY22" s="103" t="s">
        <v>149</v>
      </c>
      <c r="AZ22" s="103" t="s">
        <v>411</v>
      </c>
      <c r="BA22" s="103" t="s">
        <v>326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52.72871017456055</v>
      </c>
      <c r="K23" s="38">
        <v>83.33333587646484</v>
      </c>
      <c r="L23" s="38">
        <v>121.45748901367188</v>
      </c>
      <c r="M23" s="38">
        <v>255.10203552246094</v>
      </c>
      <c r="N23" s="80">
        <f>VLOOKUP('Hide - Control'!B$3,'All practice data'!A:CA,A23+29,FALSE)</f>
        <v>97.87480752326864</v>
      </c>
      <c r="O23" s="80">
        <f>VLOOKUP('Hide - Control'!C$3,'All practice data'!A:CA,A23+29,FALSE)</f>
        <v>70.46674929228394</v>
      </c>
      <c r="P23" s="38">
        <f>VLOOKUP('Hide - Control'!$B$4,'All practice data'!B:BC,A23+2,FALSE)</f>
        <v>314</v>
      </c>
      <c r="Q23" s="38">
        <f>VLOOKUP('Hide - Control'!$B$4,'All practice data'!B:BC,3,FALSE)</f>
        <v>320818</v>
      </c>
      <c r="R23" s="38">
        <f t="shared" si="21"/>
        <v>87.34684904140506</v>
      </c>
      <c r="S23" s="38">
        <f t="shared" si="22"/>
        <v>109.32198043585362</v>
      </c>
      <c r="T23" s="53">
        <f t="shared" si="19"/>
        <v>255.10203552246094</v>
      </c>
      <c r="U23" s="51">
        <f t="shared" si="20"/>
        <v>3.248678207397461</v>
      </c>
      <c r="V23" s="7"/>
      <c r="W23" s="27">
        <f t="shared" si="2"/>
        <v>-88.43536376953125</v>
      </c>
      <c r="X23" s="27">
        <f t="shared" si="3"/>
        <v>255.10203552246094</v>
      </c>
      <c r="Y23" s="27">
        <f t="shared" si="4"/>
        <v>-88.43536376953125</v>
      </c>
      <c r="Z23" s="27">
        <f t="shared" si="5"/>
        <v>255.10203552246094</v>
      </c>
      <c r="AA23" s="32">
        <f t="shared" si="6"/>
        <v>0.2668822729807102</v>
      </c>
      <c r="AB23" s="33">
        <f t="shared" si="7"/>
        <v>0.41091326369420506</v>
      </c>
      <c r="AC23" s="33">
        <v>0.5</v>
      </c>
      <c r="AD23" s="33">
        <f t="shared" si="8"/>
        <v>0.610975262710198</v>
      </c>
      <c r="AE23" s="33">
        <f t="shared" si="9"/>
        <v>1</v>
      </c>
      <c r="AF23" s="33">
        <f t="shared" si="10"/>
        <v>-999</v>
      </c>
      <c r="AG23" s="33">
        <f t="shared" si="11"/>
        <v>-999</v>
      </c>
      <c r="AH23" s="33">
        <f t="shared" si="12"/>
        <v>-999</v>
      </c>
      <c r="AI23" s="34">
        <f t="shared" si="13"/>
        <v>0.4625467660560449</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312.6085510253906</v>
      </c>
      <c r="K24" s="38">
        <v>467.24853515625</v>
      </c>
      <c r="L24" s="38">
        <v>572.872802734375</v>
      </c>
      <c r="M24" s="38">
        <v>1000</v>
      </c>
      <c r="N24" s="80">
        <f>VLOOKUP('Hide - Control'!B$3,'All practice data'!A:CA,A24+29,FALSE)</f>
        <v>436.0727889332893</v>
      </c>
      <c r="O24" s="80">
        <f>VLOOKUP('Hide - Control'!C$3,'All practice data'!A:CA,A24+29,FALSE)</f>
        <v>323.23046266988894</v>
      </c>
      <c r="P24" s="38">
        <f>VLOOKUP('Hide - Control'!$B$4,'All practice data'!B:BC,A24+2,FALSE)</f>
        <v>1399</v>
      </c>
      <c r="Q24" s="38">
        <f>VLOOKUP('Hide - Control'!$B$4,'All practice data'!B:BC,3,FALSE)</f>
        <v>320818</v>
      </c>
      <c r="R24" s="38">
        <f t="shared" si="21"/>
        <v>413.51826420483064</v>
      </c>
      <c r="S24" s="38">
        <f t="shared" si="22"/>
        <v>459.53762647835106</v>
      </c>
      <c r="T24" s="53">
        <f t="shared" si="19"/>
        <v>1000</v>
      </c>
      <c r="U24" s="51">
        <f t="shared" si="20"/>
        <v>27.3076171875</v>
      </c>
      <c r="V24" s="7"/>
      <c r="W24" s="27">
        <f t="shared" si="2"/>
        <v>-65.5029296875</v>
      </c>
      <c r="X24" s="27">
        <f t="shared" si="3"/>
        <v>1000</v>
      </c>
      <c r="Y24" s="27">
        <f t="shared" si="4"/>
        <v>-65.5029296875</v>
      </c>
      <c r="Z24" s="27">
        <f t="shared" si="5"/>
        <v>1000</v>
      </c>
      <c r="AA24" s="32">
        <f t="shared" si="6"/>
        <v>0.08710491946016544</v>
      </c>
      <c r="AB24" s="33">
        <f t="shared" si="7"/>
        <v>0.3548666739225076</v>
      </c>
      <c r="AC24" s="33">
        <v>0.5</v>
      </c>
      <c r="AD24" s="33">
        <f t="shared" si="8"/>
        <v>0.5991309030085008</v>
      </c>
      <c r="AE24" s="33">
        <f t="shared" si="9"/>
        <v>1</v>
      </c>
      <c r="AF24" s="33">
        <f t="shared" si="10"/>
        <v>-999</v>
      </c>
      <c r="AG24" s="33">
        <f t="shared" si="11"/>
        <v>-999</v>
      </c>
      <c r="AH24" s="33">
        <f t="shared" si="12"/>
        <v>-999</v>
      </c>
      <c r="AI24" s="34">
        <f t="shared" si="13"/>
        <v>0.3648355922131533</v>
      </c>
      <c r="AJ24" s="4">
        <v>20.99397352393159</v>
      </c>
      <c r="AK24" s="32">
        <f t="shared" si="14"/>
        <v>-999</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638.1039197812215</v>
      </c>
      <c r="F25" s="38">
        <f>IF(LEFT(VLOOKUP($B25,'Indicator chart'!$D$1:$J$36,6,FALSE),1)=" "," ",VLOOKUP($B25,'Indicator chart'!$D$1:$J$36,6,FALSE))</f>
        <v>348.56156110958074</v>
      </c>
      <c r="G25" s="38">
        <f>IF(LEFT(VLOOKUP($B25,'Indicator chart'!$D$1:$J$36,7,FALSE),1)=" "," ",VLOOKUP($B25,'Indicator chart'!$D$1:$J$36,7,FALSE))</f>
        <v>1070.7012710766978</v>
      </c>
      <c r="H25" s="50">
        <f t="shared" si="0"/>
        <v>2</v>
      </c>
      <c r="I25" s="38">
        <v>356.71820068359375</v>
      </c>
      <c r="J25" s="38">
        <v>563.100341796875</v>
      </c>
      <c r="K25" s="38">
        <v>649.3506469726562</v>
      </c>
      <c r="L25" s="38">
        <v>825.9586791992188</v>
      </c>
      <c r="M25" s="38">
        <v>1089.211669921875</v>
      </c>
      <c r="N25" s="80">
        <f>VLOOKUP('Hide - Control'!B$3,'All practice data'!A:CA,A25+29,FALSE)</f>
        <v>673.278930733313</v>
      </c>
      <c r="O25" s="80">
        <f>VLOOKUP('Hide - Control'!C$3,'All practice data'!A:CA,A25+29,FALSE)</f>
        <v>562.6134400960308</v>
      </c>
      <c r="P25" s="38">
        <f>VLOOKUP('Hide - Control'!$B$4,'All practice data'!B:BC,A25+2,FALSE)</f>
        <v>2160</v>
      </c>
      <c r="Q25" s="38">
        <f>VLOOKUP('Hide - Control'!$B$4,'All practice data'!B:BC,3,FALSE)</f>
        <v>320818</v>
      </c>
      <c r="R25" s="38">
        <f t="shared" si="21"/>
        <v>645.1813657685362</v>
      </c>
      <c r="S25" s="38">
        <f t="shared" si="22"/>
        <v>702.2852312291524</v>
      </c>
      <c r="T25" s="53">
        <f t="shared" si="19"/>
        <v>1089.211669921875</v>
      </c>
      <c r="U25" s="51">
        <f t="shared" si="20"/>
        <v>356.71820068359375</v>
      </c>
      <c r="V25" s="7"/>
      <c r="W25" s="27">
        <f t="shared" si="2"/>
        <v>209.4896240234375</v>
      </c>
      <c r="X25" s="27">
        <f t="shared" si="3"/>
        <v>1089.211669921875</v>
      </c>
      <c r="Y25" s="27">
        <f t="shared" si="4"/>
        <v>209.4896240234375</v>
      </c>
      <c r="Z25" s="27">
        <f t="shared" si="5"/>
        <v>1089.211669921875</v>
      </c>
      <c r="AA25" s="32">
        <f t="shared" si="6"/>
        <v>0.16735806195443867</v>
      </c>
      <c r="AB25" s="33">
        <f t="shared" si="7"/>
        <v>0.40195732211337726</v>
      </c>
      <c r="AC25" s="33">
        <v>0.5</v>
      </c>
      <c r="AD25" s="33">
        <f t="shared" si="8"/>
        <v>0.7007543553670946</v>
      </c>
      <c r="AE25" s="33">
        <f t="shared" si="9"/>
        <v>1</v>
      </c>
      <c r="AF25" s="33">
        <f t="shared" si="10"/>
        <v>-999</v>
      </c>
      <c r="AG25" s="33">
        <f t="shared" si="11"/>
        <v>0.4872155901470575</v>
      </c>
      <c r="AH25" s="33">
        <f t="shared" si="12"/>
        <v>-999</v>
      </c>
      <c r="AI25" s="34">
        <f t="shared" si="13"/>
        <v>0.4014038499080207</v>
      </c>
      <c r="AJ25" s="4">
        <v>22.06996894931352</v>
      </c>
      <c r="AK25" s="32">
        <f t="shared" si="14"/>
        <v>-999</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683.6827711941659</v>
      </c>
      <c r="F26" s="38">
        <f>IF(LEFT(VLOOKUP($B26,'Indicator chart'!$D$1:$J$36,6,FALSE),1)=" "," ",VLOOKUP($B26,'Indicator chart'!$D$1:$J$36,6,FALSE))</f>
        <v>382.3687022206669</v>
      </c>
      <c r="G26" s="38">
        <f>IF(LEFT(VLOOKUP($B26,'Indicator chart'!$D$1:$J$36,7,FALSE),1)=" "," ",VLOOKUP($B26,'Indicator chart'!$D$1:$J$36,7,FALSE))</f>
        <v>1127.7039192028892</v>
      </c>
      <c r="H26" s="50">
        <f t="shared" si="0"/>
        <v>2</v>
      </c>
      <c r="I26" s="38">
        <v>112.1823501586914</v>
      </c>
      <c r="J26" s="38">
        <v>718.5254516601562</v>
      </c>
      <c r="K26" s="38">
        <v>934.7427368164062</v>
      </c>
      <c r="L26" s="38">
        <v>1170.4681396484375</v>
      </c>
      <c r="M26" s="38">
        <v>2138.540283203125</v>
      </c>
      <c r="N26" s="80">
        <f>VLOOKUP('Hide - Control'!B$3,'All practice data'!A:CA,A26+29,FALSE)</f>
        <v>994.9566420836736</v>
      </c>
      <c r="O26" s="80">
        <f>VLOOKUP('Hide - Control'!C$3,'All practice data'!A:CA,A26+29,FALSE)</f>
        <v>405.57105879375996</v>
      </c>
      <c r="P26" s="38">
        <f>VLOOKUP('Hide - Control'!$B$4,'All practice data'!B:BC,A26+2,FALSE)</f>
        <v>3192</v>
      </c>
      <c r="Q26" s="38">
        <f>VLOOKUP('Hide - Control'!$B$4,'All practice data'!B:BC,3,FALSE)</f>
        <v>320818</v>
      </c>
      <c r="R26" s="38">
        <f t="shared" si="21"/>
        <v>960.736079813656</v>
      </c>
      <c r="S26" s="38">
        <f t="shared" si="22"/>
        <v>1030.0847840266879</v>
      </c>
      <c r="T26" s="53">
        <f t="shared" si="19"/>
        <v>2138.540283203125</v>
      </c>
      <c r="U26" s="51">
        <f t="shared" si="20"/>
        <v>112.1823501586914</v>
      </c>
      <c r="V26" s="7"/>
      <c r="W26" s="27">
        <f t="shared" si="2"/>
        <v>-269.0548095703125</v>
      </c>
      <c r="X26" s="27">
        <f t="shared" si="3"/>
        <v>2138.540283203125</v>
      </c>
      <c r="Y26" s="27">
        <f t="shared" si="4"/>
        <v>-269.0548095703125</v>
      </c>
      <c r="Z26" s="27">
        <f t="shared" si="5"/>
        <v>2138.540283203125</v>
      </c>
      <c r="AA26" s="32">
        <f t="shared" si="6"/>
        <v>0.15834770592169484</v>
      </c>
      <c r="AB26" s="33">
        <f t="shared" si="7"/>
        <v>0.4101936676124482</v>
      </c>
      <c r="AC26" s="33">
        <v>0.5</v>
      </c>
      <c r="AD26" s="33">
        <f t="shared" si="8"/>
        <v>0.5979090726424793</v>
      </c>
      <c r="AE26" s="33">
        <f t="shared" si="9"/>
        <v>1</v>
      </c>
      <c r="AF26" s="33">
        <f t="shared" si="10"/>
        <v>-999</v>
      </c>
      <c r="AG26" s="33">
        <f t="shared" si="11"/>
        <v>0.3957216824474289</v>
      </c>
      <c r="AH26" s="33">
        <f t="shared" si="12"/>
        <v>-999</v>
      </c>
      <c r="AI26" s="34">
        <f t="shared" si="13"/>
        <v>0.280207361440887</v>
      </c>
      <c r="AJ26" s="4">
        <v>23.145964374695435</v>
      </c>
      <c r="AK26" s="32">
        <f t="shared" si="14"/>
        <v>-999</v>
      </c>
      <c r="AL26" s="34">
        <f t="shared" si="15"/>
        <v>-999</v>
      </c>
      <c r="AY26" s="103" t="s">
        <v>120</v>
      </c>
      <c r="AZ26" s="103" t="s">
        <v>400</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1139.47128532361</v>
      </c>
      <c r="F27" s="38">
        <f>IF(LEFT(VLOOKUP($B27,'Indicator chart'!$D$1:$J$36,6,FALSE),1)=" "," ",VLOOKUP($B27,'Indicator chart'!$D$1:$J$36,6,FALSE))</f>
        <v>737.198323498555</v>
      </c>
      <c r="G27" s="38">
        <f>IF(LEFT(VLOOKUP($B27,'Indicator chart'!$D$1:$J$36,7,FALSE),1)=" "," ",VLOOKUP($B27,'Indicator chart'!$D$1:$J$36,7,FALSE))</f>
        <v>1682.1642043284262</v>
      </c>
      <c r="H27" s="50">
        <f t="shared" si="0"/>
        <v>2</v>
      </c>
      <c r="I27" s="38">
        <v>939.5363159179688</v>
      </c>
      <c r="J27" s="38">
        <v>1358.8463134765625</v>
      </c>
      <c r="K27" s="38">
        <v>1540.6409912109375</v>
      </c>
      <c r="L27" s="38">
        <v>1850.62060546875</v>
      </c>
      <c r="M27" s="38">
        <v>4927.9404296875</v>
      </c>
      <c r="N27" s="80">
        <f>VLOOKUP('Hide - Control'!B$3,'All practice data'!A:CA,A27+29,FALSE)</f>
        <v>1616.8045433859695</v>
      </c>
      <c r="O27" s="80">
        <f>VLOOKUP('Hide - Control'!C$3,'All practice data'!A:CA,A27+29,FALSE)</f>
        <v>1059.3522061277838</v>
      </c>
      <c r="P27" s="38">
        <f>VLOOKUP('Hide - Control'!$B$4,'All practice data'!B:BC,A27+2,FALSE)</f>
        <v>5187</v>
      </c>
      <c r="Q27" s="38">
        <f>VLOOKUP('Hide - Control'!$B$4,'All practice data'!B:BC,3,FALSE)</f>
        <v>320818</v>
      </c>
      <c r="R27" s="38">
        <f t="shared" si="21"/>
        <v>1573.100177593806</v>
      </c>
      <c r="S27" s="38">
        <f t="shared" si="22"/>
        <v>1661.4153315584358</v>
      </c>
      <c r="T27" s="53">
        <f t="shared" si="19"/>
        <v>4927.9404296875</v>
      </c>
      <c r="U27" s="51">
        <f t="shared" si="20"/>
        <v>939.5363159179688</v>
      </c>
      <c r="V27" s="7"/>
      <c r="W27" s="27">
        <f t="shared" si="2"/>
        <v>-1846.658447265625</v>
      </c>
      <c r="X27" s="27">
        <f t="shared" si="3"/>
        <v>4927.9404296875</v>
      </c>
      <c r="Y27" s="27">
        <f t="shared" si="4"/>
        <v>-1846.658447265625</v>
      </c>
      <c r="Z27" s="27">
        <f t="shared" si="5"/>
        <v>4927.9404296875</v>
      </c>
      <c r="AA27" s="32">
        <f t="shared" si="6"/>
        <v>0.41127080935553256</v>
      </c>
      <c r="AB27" s="33">
        <f t="shared" si="7"/>
        <v>0.4731652484469845</v>
      </c>
      <c r="AC27" s="33">
        <v>0.5</v>
      </c>
      <c r="AD27" s="33">
        <f t="shared" si="8"/>
        <v>0.5457561576541969</v>
      </c>
      <c r="AE27" s="33">
        <f t="shared" si="9"/>
        <v>1</v>
      </c>
      <c r="AF27" s="33">
        <f t="shared" si="10"/>
        <v>-999</v>
      </c>
      <c r="AG27" s="33">
        <f t="shared" si="11"/>
        <v>0.4407832532709665</v>
      </c>
      <c r="AH27" s="33">
        <f t="shared" si="12"/>
        <v>-999</v>
      </c>
      <c r="AI27" s="34">
        <f t="shared" si="13"/>
        <v>0.4289568587270198</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546.9462169553327</v>
      </c>
      <c r="F28" s="38">
        <f>IF(LEFT(VLOOKUP($B28,'Indicator chart'!$D$1:$J$36,6,FALSE),1)=" "," ",VLOOKUP($B28,'Indicator chart'!$D$1:$J$36,6,FALSE))</f>
        <v>282.28940601055825</v>
      </c>
      <c r="G28" s="38">
        <f>IF(LEFT(VLOOKUP($B28,'Indicator chart'!$D$1:$J$36,7,FALSE),1)=" "," ",VLOOKUP($B28,'Indicator chart'!$D$1:$J$36,7,FALSE))</f>
        <v>955.4711312720852</v>
      </c>
      <c r="H28" s="50">
        <f t="shared" si="0"/>
        <v>2</v>
      </c>
      <c r="I28" s="38">
        <v>512.2951049804688</v>
      </c>
      <c r="J28" s="38">
        <v>665.5574340820312</v>
      </c>
      <c r="K28" s="38">
        <v>803.7040405273438</v>
      </c>
      <c r="L28" s="38">
        <v>890.688232421875</v>
      </c>
      <c r="M28" s="38">
        <v>1440.576171875</v>
      </c>
      <c r="N28" s="80">
        <f>VLOOKUP('Hide - Control'!B$3,'All practice data'!A:CA,A28+29,FALSE)</f>
        <v>808.5581232973212</v>
      </c>
      <c r="O28" s="80">
        <f>VLOOKUP('Hide - Control'!C$3,'All practice data'!A:CA,A28+29,FALSE)</f>
        <v>582.9390489900089</v>
      </c>
      <c r="P28" s="38">
        <f>VLOOKUP('Hide - Control'!$B$4,'All practice data'!B:BC,A28+2,FALSE)</f>
        <v>2594</v>
      </c>
      <c r="Q28" s="38">
        <f>VLOOKUP('Hide - Control'!$B$4,'All practice data'!B:BC,3,FALSE)</f>
        <v>320818</v>
      </c>
      <c r="R28" s="38">
        <f>100000*(P28*(1-1/(9*P28)-1.96/(3*SQRT(P28)))^3)/Q28</f>
        <v>777.7384174347407</v>
      </c>
      <c r="S28" s="38">
        <f>100000*((P28+1)*(1-1/(9*(P28+1))+1.96/(3*SQRT(P28+1)))^3)/Q28</f>
        <v>840.2859949128336</v>
      </c>
      <c r="T28" s="53">
        <f t="shared" si="19"/>
        <v>1440.576171875</v>
      </c>
      <c r="U28" s="51">
        <f t="shared" si="20"/>
        <v>512.2951049804688</v>
      </c>
      <c r="V28" s="7"/>
      <c r="W28" s="27">
        <f t="shared" si="2"/>
        <v>166.8319091796875</v>
      </c>
      <c r="X28" s="27">
        <f t="shared" si="3"/>
        <v>1440.576171875</v>
      </c>
      <c r="Y28" s="27">
        <f t="shared" si="4"/>
        <v>166.8319091796875</v>
      </c>
      <c r="Z28" s="27">
        <f t="shared" si="5"/>
        <v>1440.576171875</v>
      </c>
      <c r="AA28" s="32">
        <f t="shared" si="6"/>
        <v>0.2712186471951302</v>
      </c>
      <c r="AB28" s="33">
        <f t="shared" si="7"/>
        <v>0.3915429019063947</v>
      </c>
      <c r="AC28" s="33">
        <v>0.5</v>
      </c>
      <c r="AD28" s="33">
        <f t="shared" si="8"/>
        <v>0.5682901540301881</v>
      </c>
      <c r="AE28" s="33">
        <f t="shared" si="9"/>
        <v>1</v>
      </c>
      <c r="AF28" s="33">
        <f t="shared" si="10"/>
        <v>-999</v>
      </c>
      <c r="AG28" s="33">
        <f t="shared" si="11"/>
        <v>0.2984227830563904</v>
      </c>
      <c r="AH28" s="33">
        <f t="shared" si="12"/>
        <v>-999</v>
      </c>
      <c r="AI28" s="34">
        <f t="shared" si="13"/>
        <v>0.3266802858289748</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564</v>
      </c>
      <c r="I35" s="291"/>
      <c r="Y35" s="43"/>
      <c r="Z35" s="44"/>
      <c r="AA35" s="44"/>
      <c r="AB35" s="43"/>
      <c r="AC35" s="43"/>
      <c r="AY35" s="103" t="s">
        <v>159</v>
      </c>
      <c r="AZ35" s="103" t="s">
        <v>415</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326</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326</v>
      </c>
      <c r="BB65" s="10">
        <v>1169302</v>
      </c>
      <c r="BE65" s="70"/>
      <c r="BF65" s="241"/>
    </row>
    <row r="66" spans="1:58" ht="12.75">
      <c r="A66" s="3"/>
      <c r="B66" s="12"/>
      <c r="C66" s="3"/>
      <c r="E66" s="2"/>
      <c r="F66" s="2"/>
      <c r="G66" s="2"/>
      <c r="V66" s="2"/>
      <c r="AY66" s="103" t="s">
        <v>200</v>
      </c>
      <c r="AZ66" s="103" t="s">
        <v>426</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378</v>
      </c>
      <c r="BA73" s="103" t="s">
        <v>326</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431</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326</v>
      </c>
      <c r="BB89" s="10">
        <v>283085</v>
      </c>
      <c r="BE89" s="70"/>
      <c r="BF89" s="241"/>
    </row>
    <row r="90" spans="1:58" ht="12.75">
      <c r="A90" s="3"/>
      <c r="B90" s="12"/>
      <c r="C90" s="3"/>
      <c r="AY90" s="103" t="s">
        <v>76</v>
      </c>
      <c r="AZ90" s="103" t="s">
        <v>384</v>
      </c>
      <c r="BA90" s="103" t="s">
        <v>326</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422</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388</v>
      </c>
      <c r="BA98" s="103" t="s">
        <v>326</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419</v>
      </c>
      <c r="BA103" s="103" t="s">
        <v>326</v>
      </c>
      <c r="BB103" s="10">
        <v>656875</v>
      </c>
      <c r="BE103" s="70"/>
      <c r="BF103" s="239"/>
    </row>
    <row r="104" spans="51:58" ht="12.75">
      <c r="AY104" s="103" t="s">
        <v>114</v>
      </c>
      <c r="AZ104" s="103" t="s">
        <v>398</v>
      </c>
      <c r="BA104" s="103" t="s">
        <v>326</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326</v>
      </c>
      <c r="BB107" s="10">
        <v>274443</v>
      </c>
      <c r="BF107" s="252"/>
    </row>
    <row r="108" spans="51:58" ht="12.75">
      <c r="AY108" s="103" t="s">
        <v>95</v>
      </c>
      <c r="AZ108" s="103" t="s">
        <v>393</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413</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434</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444</v>
      </c>
      <c r="BA119" s="103" t="s">
        <v>326</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408</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326</v>
      </c>
      <c r="BB129" s="10">
        <v>191885</v>
      </c>
      <c r="BE129" s="70"/>
      <c r="BF129" s="249"/>
    </row>
    <row r="130" spans="51:58" ht="12.75">
      <c r="AY130" s="103" t="s">
        <v>233</v>
      </c>
      <c r="AZ130" s="103" t="s">
        <v>435</v>
      </c>
      <c r="BA130" s="103" t="s">
        <v>326</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414</v>
      </c>
      <c r="BA134" s="103" t="s">
        <v>326</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326</v>
      </c>
      <c r="BB138" s="10">
        <v>145889</v>
      </c>
      <c r="BE138" s="70"/>
      <c r="BF138" s="239"/>
    </row>
    <row r="139" spans="51:58" ht="12.75">
      <c r="AY139" s="103" t="s">
        <v>75</v>
      </c>
      <c r="AZ139" s="103" t="s">
        <v>383</v>
      </c>
      <c r="BA139" s="103" t="s">
        <v>326</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326</v>
      </c>
      <c r="BB153" s="10">
        <v>332176</v>
      </c>
      <c r="BF153" s="252"/>
    </row>
    <row r="154" spans="51:58" ht="12.75">
      <c r="AY154" s="103" t="s">
        <v>161</v>
      </c>
      <c r="AZ154" s="103" t="s">
        <v>417</v>
      </c>
      <c r="BA154" s="103" t="s">
        <v>326</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52</v>
      </c>
      <c r="C3" s="56" t="s">
        <v>24</v>
      </c>
    </row>
    <row r="4" spans="1:2" ht="12.75">
      <c r="A4" s="76">
        <v>1</v>
      </c>
      <c r="B4" s="78" t="s">
        <v>51</v>
      </c>
    </row>
    <row r="5" ht="12.75">
      <c r="A5" s="280" t="s">
        <v>552</v>
      </c>
    </row>
    <row r="6" ht="12.75">
      <c r="A6" s="280" t="s">
        <v>515</v>
      </c>
    </row>
    <row r="7" ht="12.75">
      <c r="A7" s="280" t="s">
        <v>518</v>
      </c>
    </row>
    <row r="8" ht="12.75">
      <c r="A8" s="280" t="s">
        <v>532</v>
      </c>
    </row>
    <row r="9" ht="12.75">
      <c r="A9" s="280" t="s">
        <v>547</v>
      </c>
    </row>
    <row r="10" ht="12.75">
      <c r="A10" s="280" t="s">
        <v>546</v>
      </c>
    </row>
    <row r="11" ht="12.75">
      <c r="A11" s="280" t="s">
        <v>529</v>
      </c>
    </row>
    <row r="12" ht="12.75">
      <c r="A12" s="280" t="s">
        <v>537</v>
      </c>
    </row>
    <row r="13" ht="12.75">
      <c r="A13" s="280" t="s">
        <v>554</v>
      </c>
    </row>
    <row r="14" ht="12.75">
      <c r="A14" s="280" t="s">
        <v>528</v>
      </c>
    </row>
    <row r="15" ht="12.75">
      <c r="A15" s="280" t="s">
        <v>525</v>
      </c>
    </row>
    <row r="16" ht="12.75">
      <c r="A16" s="280" t="s">
        <v>530</v>
      </c>
    </row>
    <row r="17" ht="12.75">
      <c r="A17" s="280" t="s">
        <v>553</v>
      </c>
    </row>
    <row r="18" ht="12.75">
      <c r="A18" s="280" t="s">
        <v>543</v>
      </c>
    </row>
    <row r="19" ht="12.75">
      <c r="A19" s="280" t="s">
        <v>544</v>
      </c>
    </row>
    <row r="20" ht="12.75">
      <c r="A20" s="280" t="s">
        <v>536</v>
      </c>
    </row>
    <row r="21" ht="12.75">
      <c r="A21" s="280" t="s">
        <v>526</v>
      </c>
    </row>
    <row r="22" ht="12.75">
      <c r="A22" s="280" t="s">
        <v>539</v>
      </c>
    </row>
    <row r="23" ht="12.75">
      <c r="A23" s="280" t="s">
        <v>567</v>
      </c>
    </row>
    <row r="24" ht="12.75">
      <c r="A24" s="280" t="s">
        <v>565</v>
      </c>
    </row>
    <row r="25" ht="12.75">
      <c r="A25" s="280" t="s">
        <v>523</v>
      </c>
    </row>
    <row r="26" ht="12.75">
      <c r="A26" s="280" t="s">
        <v>514</v>
      </c>
    </row>
    <row r="27" ht="12.75">
      <c r="A27" s="280" t="s">
        <v>522</v>
      </c>
    </row>
    <row r="28" ht="12.75">
      <c r="A28" s="280" t="s">
        <v>550</v>
      </c>
    </row>
    <row r="29" ht="12.75">
      <c r="A29" s="280" t="s">
        <v>542</v>
      </c>
    </row>
    <row r="30" ht="12.75">
      <c r="A30" s="280" t="s">
        <v>517</v>
      </c>
    </row>
    <row r="31" ht="12.75">
      <c r="A31" s="280" t="s">
        <v>524</v>
      </c>
    </row>
    <row r="32" ht="12.75">
      <c r="A32" s="280" t="s">
        <v>540</v>
      </c>
    </row>
    <row r="33" ht="12.75">
      <c r="A33" s="280" t="s">
        <v>545</v>
      </c>
    </row>
    <row r="34" ht="12.75">
      <c r="A34" s="280" t="s">
        <v>533</v>
      </c>
    </row>
    <row r="35" ht="12.75">
      <c r="A35" s="280" t="s">
        <v>548</v>
      </c>
    </row>
    <row r="36" ht="12.75">
      <c r="A36" s="280" t="s">
        <v>551</v>
      </c>
    </row>
    <row r="37" ht="12.75">
      <c r="A37" s="280" t="s">
        <v>516</v>
      </c>
    </row>
    <row r="38" ht="12.75">
      <c r="A38" s="280" t="s">
        <v>527</v>
      </c>
    </row>
    <row r="39" ht="12.75">
      <c r="A39" s="280" t="s">
        <v>521</v>
      </c>
    </row>
    <row r="40" ht="12.75">
      <c r="A40" s="280" t="s">
        <v>549</v>
      </c>
    </row>
    <row r="41" ht="12.75">
      <c r="A41" s="280" t="s">
        <v>513</v>
      </c>
    </row>
    <row r="42" ht="12.75">
      <c r="A42" s="280" t="s">
        <v>538</v>
      </c>
    </row>
    <row r="43" ht="12.75">
      <c r="A43" s="280" t="s">
        <v>566</v>
      </c>
    </row>
    <row r="44" ht="12.75">
      <c r="A44" s="280" t="s">
        <v>535</v>
      </c>
    </row>
    <row r="45" ht="12.75">
      <c r="A45" s="280" t="s">
        <v>519</v>
      </c>
    </row>
    <row r="46" ht="12.75">
      <c r="A46" s="280" t="s">
        <v>531</v>
      </c>
    </row>
    <row r="47" ht="12.75">
      <c r="A47" s="280" t="s">
        <v>541</v>
      </c>
    </row>
    <row r="48" ht="12.75">
      <c r="A48" s="280" t="s">
        <v>520</v>
      </c>
    </row>
    <row r="49" ht="12.75">
      <c r="A49" s="280" t="s">
        <v>534</v>
      </c>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