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<sst xmlns="http://schemas.openxmlformats.org/spreadsheetml/2006/main" count="1643" uniqueCount="805">
  <si>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</si>
  <si>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</si>
  <si>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</si>
  <si>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</si>
  <si>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</si>
  <si>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</si>
  <si>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</si>
  <si>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</si>
  <si>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</si>
  <si>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</si>
  <si>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</si>
  <si>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</si>
  <si>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</si>
  <si>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</si>
  <si>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</si>
  <si>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</si>
  <si>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</si>
  <si>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</si>
  <si>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</si>
  <si>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</si>
  <si>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</si>
  <si>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</si>
  <si>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</si>
  <si>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</si>
  <si>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</si>
  <si>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</si>
  <si>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</si>
  <si>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</si>
  <si>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</si>
  <si>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</si>
  <si>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</si>
  <si>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</si>
  <si>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</si>
  <si>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</si>
  <si>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</si>
  <si>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</si>
  <si>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</si>
  <si>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</si>
  <si>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</si>
  <si>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</si>
  <si>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</si>
  <si>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</si>
  <si>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</si>
  <si>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</si>
  <si>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</si>
  <si>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</si>
  <si>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</si>
  <si>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</si>
  <si>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</si>
  <si>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</si>
  <si>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</si>
  <si>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</si>
  <si>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</si>
  <si>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</si>
  <si>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</si>
  <si>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</si>
  <si>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</si>
  <si>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B85002</t>
  </si>
  <si>
    <t>B85005</t>
  </si>
  <si>
    <t>B85006</t>
  </si>
  <si>
    <t>B85010</t>
  </si>
  <si>
    <t>B85011</t>
  </si>
  <si>
    <t>B85016</t>
  </si>
  <si>
    <t>B85022</t>
  </si>
  <si>
    <t>B85023</t>
  </si>
  <si>
    <t>B85024</t>
  </si>
  <si>
    <t>B85026</t>
  </si>
  <si>
    <t>B85027</t>
  </si>
  <si>
    <t>B85028</t>
  </si>
  <si>
    <t>B85031</t>
  </si>
  <si>
    <t>B85032</t>
  </si>
  <si>
    <t>B85033</t>
  </si>
  <si>
    <t>B85036</t>
  </si>
  <si>
    <t>B85037</t>
  </si>
  <si>
    <t>B85042</t>
  </si>
  <si>
    <t>B85044</t>
  </si>
  <si>
    <t>B85048</t>
  </si>
  <si>
    <t>B85051</t>
  </si>
  <si>
    <t>B85054</t>
  </si>
  <si>
    <t>B85058</t>
  </si>
  <si>
    <t>B85059</t>
  </si>
  <si>
    <t>B85060</t>
  </si>
  <si>
    <t>B85061</t>
  </si>
  <si>
    <t>B85062</t>
  </si>
  <si>
    <t>B85610</t>
  </si>
  <si>
    <t>B85611</t>
  </si>
  <si>
    <t>B85614</t>
  </si>
  <si>
    <t>B85623</t>
  </si>
  <si>
    <t>B85625</t>
  </si>
  <si>
    <t>B85628</t>
  </si>
  <si>
    <t>B85634</t>
  </si>
  <si>
    <t>B85636</t>
  </si>
  <si>
    <t>B85638</t>
  </si>
  <si>
    <t>B85641</t>
  </si>
  <si>
    <t>B85644</t>
  </si>
  <si>
    <t>B85659</t>
  </si>
  <si>
    <t>B85660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</si>
  <si>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</si>
  <si>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</si>
  <si>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</si>
  <si>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</si>
  <si>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</si>
  <si>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</si>
  <si>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</si>
  <si>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</si>
  <si>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</si>
  <si>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</si>
  <si>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</si>
  <si>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</si>
  <si>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</si>
  <si>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</si>
  <si>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</si>
  <si>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</si>
  <si>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</si>
  <si>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</si>
  <si>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</si>
  <si>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</si>
  <si>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</si>
  <si>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</si>
  <si>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</si>
  <si>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</si>
  <si>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</si>
  <si>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</si>
  <si>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</si>
  <si>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</si>
  <si>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</si>
  <si>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</si>
  <si>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</si>
  <si>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</si>
  <si>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</si>
  <si>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</si>
  <si>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</si>
  <si>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</si>
  <si>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</si>
  <si>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</si>
  <si>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</si>
  <si>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</si>
  <si>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</si>
  <si>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</si>
  <si>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</si>
  <si>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</si>
  <si>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</si>
  <si>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</si>
  <si>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</si>
  <si>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</si>
  <si>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</si>
  <si>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</si>
  <si>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</si>
  <si>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</si>
  <si>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</si>
  <si>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</si>
  <si>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</si>
  <si>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</si>
  <si>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</si>
  <si>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</si>
  <si>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</si>
  <si>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</si>
  <si>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</si>
  <si>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</si>
  <si>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</si>
  <si>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</si>
  <si>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</si>
  <si>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</si>
  <si>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</si>
  <si>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</si>
  <si>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</si>
  <si>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</si>
  <si>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</si>
  <si>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</si>
  <si>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</si>
  <si>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</si>
  <si>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</si>
  <si>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</si>
  <si>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</si>
  <si>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</si>
  <si>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</si>
  <si>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</si>
  <si>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</si>
  <si>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</si>
  <si>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</si>
  <si>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</si>
  <si>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</si>
  <si>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</si>
  <si>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</si>
  <si>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</si>
  <si>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</si>
  <si>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</si>
  <si>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</si>
  <si>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</si>
  <si>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</si>
  <si>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</si>
  <si>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(B85002) DEARNE VALLEY HEALTH CENTRE</t>
  </si>
  <si>
    <t>(B85005) SHEPLEY HEALTH CENTRE</t>
  </si>
  <si>
    <t>(B85010) DALTON SURGERY</t>
  </si>
  <si>
    <t>(B85016) MELTHAM ROAD SURGERY</t>
  </si>
  <si>
    <t>(B85022) HONLEY SURGERY</t>
  </si>
  <si>
    <t>(B85026) KIRKBURTON HEALTH CENTRE</t>
  </si>
  <si>
    <t>(B85028) THE GRANGE GROUP PRACTICE</t>
  </si>
  <si>
    <t>(B85031) DR BARNWELL AND PARTNERS</t>
  </si>
  <si>
    <t>(B85032) MELTHAM GROUP PRACTICE</t>
  </si>
  <si>
    <t>(B85033) THE LINDLEY VILLAGE SURGERY</t>
  </si>
  <si>
    <t>(B85036) DR BOULTON AND PARTNERS</t>
  </si>
  <si>
    <t>(B85037) DR HAMID AND PARTNERS</t>
  </si>
  <si>
    <t>(B85044) THORNTON LODGE SURGERY</t>
  </si>
  <si>
    <t>(B85051) FIELDHEAD SURGERY</t>
  </si>
  <si>
    <t>(B85054) MARSDEN HEALTH CENTRE</t>
  </si>
  <si>
    <t>(B85058) DR GLENCROSS</t>
  </si>
  <si>
    <t>(B85059) SLAITHWAITE HEALTH CENTRE</t>
  </si>
  <si>
    <t>(B85061) SKELMANTHORPE FAMILY DOCTORS</t>
  </si>
  <si>
    <t>(B85062) UNIVERSITY HEALTH CENTRE</t>
  </si>
  <si>
    <t>(B85628) DR GOWA</t>
  </si>
  <si>
    <t>(B85634) DR SINGH</t>
  </si>
  <si>
    <t>(B85636) WESTBOURNE SURGERY</t>
  </si>
  <si>
    <t>(B85644) MELTHAM VILLAGE SURGERY</t>
  </si>
  <si>
    <t>(B85659) THE WHITEHOUSE CENTRE</t>
  </si>
  <si>
    <t>(B85660) THE JUNCTION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</si>
  <si>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</si>
  <si>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</si>
  <si>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</si>
  <si>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</si>
  <si>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</si>
  <si>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</si>
  <si>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</si>
  <si>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</si>
  <si>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</si>
  <si>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</si>
  <si>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</si>
  <si>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</si>
  <si>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</si>
  <si>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</si>
  <si>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</si>
  <si>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</si>
  <si>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</si>
  <si>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</si>
  <si>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</si>
  <si>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</si>
  <si>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</si>
  <si>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</si>
  <si>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</si>
  <si>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</si>
  <si>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</si>
  <si>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</si>
  <si>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</si>
  <si>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</si>
  <si>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</si>
  <si>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</si>
  <si>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</si>
  <si>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</si>
  <si>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</si>
  <si>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</si>
  <si>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</si>
  <si>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</si>
  <si>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</si>
  <si>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</si>
  <si>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</si>
  <si>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</si>
  <si>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</si>
  <si>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</si>
  <si>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</si>
  <si>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</si>
  <si>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</si>
  <si>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</si>
  <si>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</si>
  <si>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</si>
  <si>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</si>
  <si>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</si>
  <si>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</si>
  <si>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</si>
  <si>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</si>
  <si>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</si>
  <si>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</si>
  <si>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</si>
  <si>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</si>
  <si>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</si>
  <si>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</si>
  <si>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</si>
  <si>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</si>
  <si>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</si>
  <si>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</si>
  <si>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</si>
  <si>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</si>
  <si>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</si>
  <si>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</si>
  <si>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</si>
  <si>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</si>
  <si>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</si>
  <si>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</si>
  <si>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</si>
  <si>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</si>
  <si>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</si>
  <si>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</si>
  <si>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</si>
  <si>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</si>
  <si>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</si>
  <si>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</si>
  <si>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</si>
  <si>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</si>
  <si>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</si>
  <si>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</si>
  <si>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</si>
  <si>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</si>
  <si>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</si>
  <si>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</si>
  <si>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</si>
  <si>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</si>
  <si>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</si>
  <si>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</si>
  <si>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</si>
  <si>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</si>
  <si>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</si>
  <si>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</si>
  <si>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</si>
  <si>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</si>
  <si>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</si>
  <si>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</si>
  <si>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</si>
  <si>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</si>
  <si>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</si>
  <si>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</si>
  <si>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</si>
  <si>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</si>
  <si>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</si>
  <si>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</si>
  <si>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</si>
  <si>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</si>
  <si>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</si>
  <si>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</si>
  <si>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</si>
  <si>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</si>
  <si>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</si>
  <si>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</si>
  <si>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</si>
  <si>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</si>
  <si>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</si>
  <si>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</si>
  <si>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</si>
  <si>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</si>
  <si>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</si>
  <si>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</si>
  <si>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</si>
  <si>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</si>
  <si>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</si>
  <si>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</si>
  <si>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</si>
  <si>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</si>
  <si>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</si>
  <si>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</si>
  <si>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</si>
  <si>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</si>
  <si>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</si>
  <si>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</si>
  <si>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</si>
  <si>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</si>
  <si>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</si>
  <si>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</si>
  <si>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</si>
  <si>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</si>
  <si>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</si>
  <si>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</si>
  <si>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</si>
  <si>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</si>
  <si>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</si>
  <si>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</si>
  <si>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</si>
  <si>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</si>
  <si>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</si>
  <si>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</si>
  <si>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</si>
  <si>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</si>
  <si>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</si>
  <si>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</si>
  <si>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</si>
  <si>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</si>
  <si>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</si>
  <si>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</si>
  <si>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</si>
  <si>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</si>
  <si>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</si>
  <si>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</si>
  <si>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</si>
  <si>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</si>
  <si>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(B85011) CROFT HOUSE SURGERY</t>
  </si>
  <si>
    <t>(B85023) ALMONDBURY SURGERY</t>
  </si>
  <si>
    <t>(B85024) WATERLOO SURGERY</t>
  </si>
  <si>
    <t>(B85027) LINDLEY GROUP PRACTICE</t>
  </si>
  <si>
    <t>(B85623) DR BALENDRAN</t>
  </si>
  <si>
    <t>(B85641) LOCKWOOD SURGERY</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</si>
  <si>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</si>
  <si>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</si>
  <si>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</si>
  <si>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</si>
  <si>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</si>
  <si>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</si>
  <si>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</si>
  <si>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</si>
  <si>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</si>
  <si>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</si>
  <si>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</si>
  <si>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</si>
  <si>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</si>
  <si>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</si>
  <si>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</si>
  <si>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</si>
  <si>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</si>
  <si>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</si>
  <si>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</si>
  <si>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</si>
  <si>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</si>
  <si>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</si>
  <si>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</si>
  <si>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</si>
  <si>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</si>
  <si>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</si>
  <si>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</si>
  <si>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</si>
  <si>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</si>
  <si>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</si>
  <si>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</si>
  <si>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</si>
  <si>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</si>
  <si>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</si>
  <si>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</si>
  <si>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</si>
  <si>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</si>
  <si>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</si>
  <si>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</si>
  <si>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</si>
  <si>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</si>
  <si>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</si>
  <si>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</si>
  <si>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</si>
  <si>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</si>
  <si>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</si>
  <si>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</si>
  <si>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</si>
  <si>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</si>
  <si>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</si>
  <si>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</si>
  <si>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</si>
  <si>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</si>
  <si>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</si>
  <si>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</si>
  <si>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</si>
  <si>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</si>
  <si>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</si>
  <si>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</si>
  <si>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</si>
  <si>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</si>
  <si>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</si>
  <si>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</si>
  <si>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0.1</t>
  </si>
  <si>
    <t>0.16</t>
  </si>
  <si>
    <t>0.05</t>
  </si>
  <si>
    <t>193.926</t>
  </si>
  <si>
    <t>0.3</t>
  </si>
  <si>
    <t>0.5</t>
  </si>
  <si>
    <t>0.010975</t>
  </si>
  <si>
    <t>0.571428571</t>
  </si>
  <si>
    <t>0.419355</t>
  </si>
  <si>
    <t>0.875</t>
  </si>
  <si>
    <t>0.0198</t>
  </si>
  <si>
    <t>0.0149</t>
  </si>
  <si>
    <t>0.002558048</t>
  </si>
  <si>
    <t>150.7</t>
  </si>
  <si>
    <t>0.0013</t>
  </si>
  <si>
    <t>0.510433</t>
  </si>
  <si>
    <t>0.300469</t>
  </si>
  <si>
    <t>0.252101</t>
  </si>
  <si>
    <t>235.988</t>
  </si>
  <si>
    <t>0.1466</t>
  </si>
  <si>
    <t>72.9471</t>
  </si>
  <si>
    <t>177.096</t>
  </si>
  <si>
    <t>88.5478</t>
  </si>
  <si>
    <t>196.772924</t>
  </si>
  <si>
    <t>0.131837516</t>
  </si>
  <si>
    <t>356.9108219</t>
  </si>
  <si>
    <t>174.3866242</t>
  </si>
  <si>
    <t>0.68504</t>
  </si>
  <si>
    <t>0.746855</t>
  </si>
  <si>
    <t>0.50163725</t>
  </si>
  <si>
    <t>0.50933825</t>
  </si>
  <si>
    <t>701.7233269</t>
  </si>
  <si>
    <t>0.100546329</t>
  </si>
  <si>
    <t>0.280952381</t>
  </si>
  <si>
    <t>78.63203401</t>
  </si>
  <si>
    <t>87.32337218</t>
  </si>
  <si>
    <t>43.82539269</t>
  </si>
  <si>
    <t>89.94314404</t>
  </si>
  <si>
    <t>336.3726399</t>
  </si>
  <si>
    <t>267.1204975</t>
  </si>
  <si>
    <t>852.4171725</t>
  </si>
  <si>
    <t>441.3551047</t>
  </si>
  <si>
    <t>0.198387097</t>
  </si>
  <si>
    <t>0.396774194</t>
  </si>
  <si>
    <t>0.165945748</t>
  </si>
  <si>
    <t>435.4926511</t>
  </si>
  <si>
    <t>228.0317817</t>
  </si>
  <si>
    <t>0.721358</t>
  </si>
  <si>
    <t>0.675926</t>
  </si>
  <si>
    <t>0.7927735</t>
  </si>
  <si>
    <t>0.6014995</t>
  </si>
  <si>
    <t>0.5917425</t>
  </si>
  <si>
    <t>1196.078816</t>
  </si>
  <si>
    <t>0.146089531</t>
  </si>
  <si>
    <t>0.470238095</t>
  </si>
  <si>
    <t>186.7452089</t>
  </si>
  <si>
    <t>177.8475885</t>
  </si>
  <si>
    <t>67.69482185</t>
  </si>
  <si>
    <t>202.7094326</t>
  </si>
  <si>
    <t>452.8106036</t>
  </si>
  <si>
    <t>400.1690838</t>
  </si>
  <si>
    <t>1024.202197</t>
  </si>
  <si>
    <t>588.4124808</t>
  </si>
  <si>
    <t>0.241339931</t>
  </si>
  <si>
    <t>0.24744898</t>
  </si>
  <si>
    <t>0.186268612</t>
  </si>
  <si>
    <t>0.2225</t>
  </si>
  <si>
    <t>514.9468885</t>
  </si>
  <si>
    <t>275.3743006</t>
  </si>
  <si>
    <t>0.7523225</t>
  </si>
  <si>
    <t>0.76663225</t>
  </si>
  <si>
    <t>0.83230975</t>
  </si>
  <si>
    <t>0.64970875</t>
  </si>
  <si>
    <t>0.63495325</t>
  </si>
  <si>
    <t>1816.360163</t>
  </si>
  <si>
    <t>0.192857143</t>
  </si>
  <si>
    <t>323.1030703</t>
  </si>
  <si>
    <t>334.4188141</t>
  </si>
  <si>
    <t>106.1600548</t>
  </si>
  <si>
    <t>394.5832994</t>
  </si>
  <si>
    <t>556.5483759</t>
  </si>
  <si>
    <t>492.7651394</t>
  </si>
  <si>
    <t>1175.295964</t>
  </si>
  <si>
    <t>678.497295</t>
  </si>
  <si>
    <t>0.312019231</t>
  </si>
  <si>
    <t>0.565217391</t>
  </si>
  <si>
    <t>0.326623377</t>
  </si>
  <si>
    <t>0.334833795</t>
  </si>
  <si>
    <t>709.3963908</t>
  </si>
  <si>
    <t>623.2686981</t>
  </si>
  <si>
    <t>0.0346</t>
  </si>
  <si>
    <t>0.817925</t>
  </si>
  <si>
    <t>0.867925</t>
  </si>
  <si>
    <t>0.859819</t>
  </si>
  <si>
    <t>0.698695</t>
  </si>
  <si>
    <t>0.697368</t>
  </si>
  <si>
    <t>2949.59552</t>
  </si>
  <si>
    <t>1.3793</t>
  </si>
  <si>
    <t>714.192962</t>
  </si>
  <si>
    <t>597.3864343</t>
  </si>
  <si>
    <t>193.5171746</t>
  </si>
  <si>
    <t>628.9308176</t>
  </si>
  <si>
    <t>934.9030471</t>
  </si>
  <si>
    <t>745.2871548</t>
  </si>
  <si>
    <t>1312.994787</t>
  </si>
  <si>
    <t>1315.789474</t>
  </si>
  <si>
    <t>0.628571</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</si>
  <si>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</si>
  <si>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</si>
  <si>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</si>
  <si>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</si>
  <si>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</si>
  <si>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</si>
  <si>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</si>
  <si>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</si>
  <si>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</si>
  <si>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</si>
  <si>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</si>
  <si>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</si>
  <si>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</si>
  <si>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</si>
  <si>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</si>
  <si>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</si>
  <si>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</si>
  <si>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</si>
  <si>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</si>
  <si>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</si>
  <si>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</si>
  <si>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</si>
  <si>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</si>
  <si>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</si>
  <si>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</si>
  <si>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</si>
  <si>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</si>
  <si>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</si>
  <si>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</si>
  <si>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</si>
  <si>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</si>
  <si>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</si>
  <si>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</si>
  <si>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</si>
  <si>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</si>
  <si>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</si>
  <si>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</si>
  <si>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</si>
  <si>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</si>
  <si>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</si>
  <si>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</si>
  <si>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</si>
  <si>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</si>
  <si>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</si>
  <si>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</si>
  <si>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</si>
  <si>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</si>
  <si>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</si>
  <si>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</si>
  <si>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</si>
  <si>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</si>
  <si>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</si>
  <si>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</si>
  <si>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</si>
  <si>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</si>
  <si>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</si>
  <si>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</si>
  <si>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</si>
  <si>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</si>
  <si>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</si>
  <si>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</si>
  <si>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</si>
  <si>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</si>
  <si>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</si>
  <si>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</si>
  <si>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</si>
  <si>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</si>
  <si>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</si>
  <si>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</si>
  <si>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</si>
  <si>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</si>
  <si>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</si>
  <si>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</si>
  <si>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</si>
  <si>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</si>
  <si>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</si>
  <si>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</si>
  <si>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</si>
  <si>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</si>
  <si>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</si>
  <si>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</si>
  <si>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</si>
  <si>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</si>
  <si>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</si>
  <si>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</si>
  <si>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</si>
  <si>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</si>
  <si>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</si>
  <si>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</si>
  <si>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</si>
  <si>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</si>
  <si>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</si>
  <si>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</si>
  <si>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</si>
  <si>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</si>
  <si>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</si>
  <si>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</si>
  <si>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</si>
  <si>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</si>
  <si>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</si>
  <si>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</si>
  <si>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</si>
  <si>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</si>
  <si>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</si>
  <si>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</si>
  <si>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</si>
  <si>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</si>
  <si>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</si>
  <si>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</si>
  <si>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</si>
  <si>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</si>
  <si>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</si>
  <si>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</si>
  <si>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</si>
  <si>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</si>
  <si>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</si>
  <si>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</si>
  <si>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</si>
  <si>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</si>
  <si>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</si>
  <si>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</si>
  <si>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</si>
  <si>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</si>
  <si>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</si>
  <si>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</si>
  <si>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</si>
  <si>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</si>
  <si>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</si>
  <si>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</si>
  <si>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</si>
  <si>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</si>
  <si>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</si>
  <si>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</si>
  <si>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</si>
  <si>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</si>
  <si>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</si>
  <si>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</si>
  <si>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</si>
  <si>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</si>
  <si>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</si>
  <si>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</si>
  <si>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</si>
  <si>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</si>
  <si>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</si>
  <si>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</si>
  <si>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</si>
  <si>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</si>
  <si>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</si>
  <si>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</si>
  <si>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</si>
  <si>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</si>
  <si>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</si>
  <si>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</si>
  <si>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</si>
  <si>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</si>
  <si>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</si>
  <si>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</si>
  <si>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</si>
  <si>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</si>
  <si>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</si>
  <si>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</si>
  <si>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</si>
  <si>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</si>
  <si>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</si>
  <si>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</si>
  <si>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</si>
  <si>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</si>
  <si>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</si>
  <si>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</si>
  <si>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</si>
  <si>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</si>
  <si>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</si>
  <si>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</si>
  <si>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</si>
  <si>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</si>
  <si>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</si>
  <si>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</si>
  <si>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</si>
  <si>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</si>
  <si>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</si>
  <si>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</si>
  <si>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</si>
  <si>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</si>
  <si>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</si>
  <si>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</si>
  <si>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</si>
  <si>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</si>
  <si>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</si>
  <si>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</si>
  <si>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</si>
  <si>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</si>
  <si>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</si>
  <si>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</si>
  <si>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</si>
  <si>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</si>
  <si>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</si>
  <si>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</si>
  <si>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</si>
  <si>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</si>
  <si>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</si>
  <si>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</si>
  <si>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</si>
  <si>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</si>
  <si>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</si>
  <si>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</si>
  <si>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</si>
  <si>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</si>
  <si>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</si>
  <si>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</si>
  <si>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</si>
  <si>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</si>
  <si>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</si>
  <si>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</si>
  <si>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</si>
  <si>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</si>
  <si>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</si>
  <si>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</si>
  <si>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</si>
  <si>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</si>
  <si>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</si>
  <si>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</si>
  <si>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</si>
  <si>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</si>
  <si>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</si>
  <si>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</si>
  <si>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</si>
  <si>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</si>
  <si>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</si>
  <si>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</si>
  <si>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</si>
  <si>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</si>
  <si>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</si>
  <si>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</si>
  <si>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</si>
  <si>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</si>
  <si>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</si>
  <si>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(B85614) DR BUTT + PARTNER</t>
  </si>
  <si>
    <t>(B85048) DR DAS + PARTNER</t>
  </si>
  <si>
    <t>(B85611) DR HANDA + PARTNER</t>
  </si>
  <si>
    <t>(B85638) DR HARIHARAN + PARTNER</t>
  </si>
  <si>
    <t>(B85006) DR JENNISON + PARTNERS</t>
  </si>
  <si>
    <t>(B85625) DR REDDY + PARTNER</t>
  </si>
  <si>
    <t>(B85042) DR SWIFT + PARTNERS</t>
  </si>
  <si>
    <t>(B85060) DR WYBREW + PARTNER</t>
  </si>
  <si>
    <t>(B85610) DR CLAYDEN  SHAMSEE + ASSOCIATES</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</si>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</sst>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0.9808827380939398</c:v>
                </c:pt>
                <c:pt idx="5">
                  <c:v>1</c:v>
                </c:pt>
                <c:pt idx="6">
                  <c:v>1</c:v>
                </c:pt>
                <c:pt idx="7">
                  <c:v>0.7181240343696634</c:v>
                </c:pt>
                <c:pt idx="8">
                  <c:v>0.642026641969683</c:v>
                </c:pt>
                <c:pt idx="9">
                  <c:v>0.6187316378627932</c:v>
                </c:pt>
                <c:pt idx="10">
                  <c:v>0.6614379606053207</c:v>
                </c:pt>
                <c:pt idx="11">
                  <c:v>0.6554955740096544</c:v>
                </c:pt>
                <c:pt idx="12">
                  <c:v>1</c:v>
                </c:pt>
                <c:pt idx="13">
                  <c:v>0</c:v>
                </c:pt>
                <c:pt idx="14">
                  <c:v>1</c:v>
                </c:pt>
                <c:pt idx="15">
                  <c:v>1</c:v>
                </c:pt>
                <c:pt idx="16">
                  <c:v>1</c:v>
                </c:pt>
                <c:pt idx="17">
                  <c:v>1</c:v>
                </c:pt>
                <c:pt idx="18">
                  <c:v>1</c:v>
                </c:pt>
                <c:pt idx="19">
                  <c:v>1</c:v>
                </c:pt>
                <c:pt idx="20">
                  <c:v>1</c:v>
                </c:pt>
                <c:pt idx="21">
                  <c:v>1</c:v>
                </c:pt>
                <c:pt idx="22">
                  <c:v>0.6745119488901621</c:v>
                </c:pt>
                <c:pt idx="23">
                  <c:v>1</c:v>
                </c:pt>
                <c:pt idx="24">
                  <c:v>1</c:v>
                </c:pt>
                <c:pt idx="25">
                  <c:v>0.6996760356453973</c:v>
                </c:pt>
                <c:pt idx="26">
                  <c:v>0.9401792959815573</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0.5601666736071618</c:v>
                </c:pt>
                <c:pt idx="3">
                  <c:v>0.7232142857142857</c:v>
                </c:pt>
                <c:pt idx="4">
                  <c:v>0.6394948870574984</c:v>
                </c:pt>
                <c:pt idx="5">
                  <c:v>0.5598913169994563</c:v>
                </c:pt>
                <c:pt idx="6">
                  <c:v>0.6243654822335026</c:v>
                </c:pt>
                <c:pt idx="7">
                  <c:v>0.5699421299433496</c:v>
                </c:pt>
                <c:pt idx="8">
                  <c:v>0.5670977666194228</c:v>
                </c:pt>
                <c:pt idx="9">
                  <c:v>0.5700151944195039</c:v>
                </c:pt>
                <c:pt idx="10">
                  <c:v>0.5800736968513157</c:v>
                </c:pt>
                <c:pt idx="11">
                  <c:v>0.563612294139556</c:v>
                </c:pt>
                <c:pt idx="12">
                  <c:v>0.6768678181351387</c:v>
                </c:pt>
                <c:pt idx="13">
                  <c:v>0</c:v>
                </c:pt>
                <c:pt idx="14">
                  <c:v>0.5273843767571844</c:v>
                </c:pt>
                <c:pt idx="15">
                  <c:v>0.6249999996911765</c:v>
                </c:pt>
                <c:pt idx="16">
                  <c:v>0.6292619606383532</c:v>
                </c:pt>
                <c:pt idx="17">
                  <c:v>0.6865991995347193</c:v>
                </c:pt>
                <c:pt idx="18">
                  <c:v>0.652855323832752</c:v>
                </c:pt>
                <c:pt idx="19">
                  <c:v>0.7250870950550733</c:v>
                </c:pt>
                <c:pt idx="20">
                  <c:v>0.6075911619220391</c:v>
                </c:pt>
                <c:pt idx="21">
                  <c:v>0.6341512707979873</c:v>
                </c:pt>
                <c:pt idx="22">
                  <c:v>0.5913031312345168</c:v>
                </c:pt>
                <c:pt idx="23">
                  <c:v>0.561924431926066</c:v>
                </c:pt>
                <c:pt idx="24">
                  <c:v>0.5465816660768528</c:v>
                </c:pt>
                <c:pt idx="25">
                  <c:v>0.6012852827621766</c:v>
                </c:pt>
                <c:pt idx="26">
                  <c:v>0.7027324600454614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0.3990211782128074</c:v>
                </c:pt>
                <c:pt idx="3">
                  <c:v>0.2857142857142857</c:v>
                </c:pt>
                <c:pt idx="4">
                  <c:v>0.3620367679845655</c:v>
                </c:pt>
                <c:pt idx="5">
                  <c:v>0.432135441713511</c:v>
                </c:pt>
                <c:pt idx="6">
                  <c:v>0.40038071065989844</c:v>
                </c:pt>
                <c:pt idx="7">
                  <c:v>0.4179654677039003</c:v>
                </c:pt>
                <c:pt idx="8">
                  <c:v>0.36986297316570155</c:v>
                </c:pt>
                <c:pt idx="9">
                  <c:v>0.4186824065268709</c:v>
                </c:pt>
                <c:pt idx="10">
                  <c:v>0.33413267094198107</c:v>
                </c:pt>
                <c:pt idx="11">
                  <c:v>0.37868936805425724</c:v>
                </c:pt>
                <c:pt idx="12">
                  <c:v>0.3590388423525391</c:v>
                </c:pt>
                <c:pt idx="13">
                  <c:v>0</c:v>
                </c:pt>
                <c:pt idx="14">
                  <c:v>0.473332566086621</c:v>
                </c:pt>
                <c:pt idx="15">
                  <c:v>0.26617647107871967</c:v>
                </c:pt>
                <c:pt idx="16">
                  <c:v>0.3975129060133634</c:v>
                </c:pt>
                <c:pt idx="17">
                  <c:v>0.39211461915119755</c:v>
                </c:pt>
                <c:pt idx="18">
                  <c:v>0.4051463089097259</c:v>
                </c:pt>
                <c:pt idx="19">
                  <c:v>0.36771394804603713</c:v>
                </c:pt>
                <c:pt idx="20">
                  <c:v>0.3792368919385479</c:v>
                </c:pt>
                <c:pt idx="21">
                  <c:v>0.30724193040010356</c:v>
                </c:pt>
                <c:pt idx="22">
                  <c:v>0.3961935297036559</c:v>
                </c:pt>
                <c:pt idx="23">
                  <c:v>0.3989125463997423</c:v>
                </c:pt>
                <c:pt idx="24">
                  <c:v>0.4716916470530625</c:v>
                </c:pt>
                <c:pt idx="25">
                  <c:v>0.3396860900328934</c:v>
                </c:pt>
                <c:pt idx="26">
                  <c:v>0.37850304130452794</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0.01628400321308702</c:v>
                </c:pt>
                <c:pt idx="3">
                  <c:v>0.1071428571428571</c:v>
                </c:pt>
                <c:pt idx="4">
                  <c:v>0</c:v>
                </c:pt>
                <c:pt idx="5">
                  <c:v>0.289527654431422</c:v>
                </c:pt>
                <c:pt idx="6">
                  <c:v>0.15482233502538068</c:v>
                </c:pt>
                <c:pt idx="7">
                  <c:v>0</c:v>
                </c:pt>
                <c:pt idx="8">
                  <c:v>0</c:v>
                </c:pt>
                <c:pt idx="9">
                  <c:v>0</c:v>
                </c:pt>
                <c:pt idx="10">
                  <c:v>0</c:v>
                </c:pt>
                <c:pt idx="11">
                  <c:v>0</c:v>
                </c:pt>
                <c:pt idx="12">
                  <c:v>0.2262384744297252</c:v>
                </c:pt>
                <c:pt idx="13">
                  <c:v>0</c:v>
                </c:pt>
                <c:pt idx="14">
                  <c:v>0.432170681116219</c:v>
                </c:pt>
                <c:pt idx="15">
                  <c:v>0.1022265299398667</c:v>
                </c:pt>
                <c:pt idx="16">
                  <c:v>0.3921238092008473</c:v>
                </c:pt>
                <c:pt idx="17">
                  <c:v>0.34372402006069497</c:v>
                </c:pt>
                <c:pt idx="18">
                  <c:v>0.2479764109322777</c:v>
                </c:pt>
                <c:pt idx="19">
                  <c:v>0.32227119763124973</c:v>
                </c:pt>
                <c:pt idx="20">
                  <c:v>0.2140438443731799</c:v>
                </c:pt>
                <c:pt idx="21">
                  <c:v>0.04852945993662561</c:v>
                </c:pt>
                <c:pt idx="22">
                  <c:v>0</c:v>
                </c:pt>
                <c:pt idx="23">
                  <c:v>0.22882942099631967</c:v>
                </c:pt>
                <c:pt idx="24">
                  <c:v>0.36407493986611816</c:v>
                </c:pt>
                <c:pt idx="25">
                  <c:v>0</c:v>
                </c:pt>
                <c:pt idx="26">
                  <c:v>0</c:v>
                </c:pt>
              </c:numCache>
            </c:numRef>
          </c:val>
        </c:ser>
        <c:overlap val="100"/>
        <c:gapWidth val="100"/>
        <c:axId val="66722151"/>
        <c:axId val="6362844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0.49434013837691254</c:v>
                </c:pt>
                <c:pt idx="3">
                  <c:v>0.46625769963612823</c:v>
                </c:pt>
                <c:pt idx="4">
                  <c:v>0.5621516398040418</c:v>
                </c:pt>
                <c:pt idx="5">
                  <c:v>0.5072453010802819</c:v>
                </c:pt>
                <c:pt idx="6">
                  <c:v>0.5719857407389171</c:v>
                </c:pt>
                <c:pt idx="7">
                  <c:v>0.5075164774391803</c:v>
                </c:pt>
                <c:pt idx="8">
                  <c:v>0.5492837342634979</c:v>
                </c:pt>
                <c:pt idx="9">
                  <c:v>0.4296782170373417</c:v>
                </c:pt>
                <c:pt idx="10">
                  <c:v>0.45507535769245416</c:v>
                </c:pt>
                <c:pt idx="11">
                  <c:v>0.44812531070102707</c:v>
                </c:pt>
                <c:pt idx="12">
                  <c:v>0.7240823046530929</c:v>
                </c:pt>
                <c:pt idx="13">
                  <c:v>0.5</c:v>
                </c:pt>
                <c:pt idx="14">
                  <c:v>0.4763354343850989</c:v>
                </c:pt>
                <c:pt idx="15">
                  <c:v>0.4932612954914557</c:v>
                </c:pt>
                <c:pt idx="16">
                  <c:v>0.6753494668555176</c:v>
                </c:pt>
                <c:pt idx="17">
                  <c:v>0.6872962493837754</c:v>
                </c:pt>
                <c:pt idx="18">
                  <c:v>0.5393162256795228</c:v>
                </c:pt>
                <c:pt idx="19">
                  <c:v>0.6713473039497728</c:v>
                </c:pt>
                <c:pt idx="20">
                  <c:v>0.6768097083414735</c:v>
                </c:pt>
                <c:pt idx="21">
                  <c:v>0.5469081516549966</c:v>
                </c:pt>
                <c:pt idx="22">
                  <c:v>0.48748084064348457</c:v>
                </c:pt>
                <c:pt idx="23">
                  <c:v>0.4989783746484259</c:v>
                </c:pt>
                <c:pt idx="24">
                  <c:v>0.4972760518173054</c:v>
                </c:pt>
                <c:pt idx="25">
                  <c:v>0.48742768764541455</c:v>
                </c:pt>
                <c:pt idx="26">
                  <c:v>0.560018681008252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0.39254531005723564</c:v>
                </c:pt>
                <c:pt idx="5">
                  <c:v>0.49974157314594175</c:v>
                </c:pt>
                <c:pt idx="6">
                  <c:v>0.5761421319796954</c:v>
                </c:pt>
                <c:pt idx="7">
                  <c:v>0.5706096007372671</c:v>
                </c:pt>
                <c:pt idx="8">
                  <c:v>0.5602773084627607</c:v>
                </c:pt>
                <c:pt idx="9">
                  <c:v>0.5175771807445265</c:v>
                </c:pt>
                <c:pt idx="10">
                  <c:v>0.5522995178229448</c:v>
                </c:pt>
                <c:pt idx="11">
                  <c:v>0.5287560560178896</c:v>
                </c:pt>
                <c:pt idx="12">
                  <c:v>0.5580071412339186</c:v>
                </c:pt>
                <c:pt idx="13">
                  <c:v>-999</c:v>
                </c:pt>
                <c:pt idx="14">
                  <c:v>0.4553102509511832</c:v>
                </c:pt>
                <c:pt idx="15">
                  <c:v>-999</c:v>
                </c:pt>
                <c:pt idx="16">
                  <c:v>0.47723823948963007</c:v>
                </c:pt>
                <c:pt idx="17">
                  <c:v>0.675931588965653</c:v>
                </c:pt>
                <c:pt idx="18">
                  <c:v>-999</c:v>
                </c:pt>
                <c:pt idx="19">
                  <c:v>0.5485562947957376</c:v>
                </c:pt>
                <c:pt idx="20">
                  <c:v>0.5029500570966202</c:v>
                </c:pt>
                <c:pt idx="21">
                  <c:v>-999</c:v>
                </c:pt>
                <c:pt idx="22">
                  <c:v>0.5989543744231258</c:v>
                </c:pt>
                <c:pt idx="23">
                  <c:v>0.4982331495660759</c:v>
                </c:pt>
                <c:pt idx="24">
                  <c:v>0.4772998601855622</c:v>
                </c:pt>
                <c:pt idx="25">
                  <c:v>0.5267765691310501</c:v>
                </c:pt>
                <c:pt idx="26">
                  <c:v>0.57275401697685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0.53192440257927</c:v>
                </c:pt>
                <c:pt idx="3">
                  <c:v>0.5714285714285714</c:v>
                </c:pt>
                <c:pt idx="4">
                  <c:v>-999</c:v>
                </c:pt>
                <c:pt idx="5">
                  <c:v>-999</c:v>
                </c:pt>
                <c:pt idx="6">
                  <c:v>-999</c:v>
                </c:pt>
                <c:pt idx="7">
                  <c:v>-999</c:v>
                </c:pt>
                <c:pt idx="8">
                  <c:v>-999</c:v>
                </c:pt>
                <c:pt idx="9">
                  <c:v>-999</c:v>
                </c:pt>
                <c:pt idx="10">
                  <c:v>-999</c:v>
                </c:pt>
                <c:pt idx="11">
                  <c:v>-999</c:v>
                </c:pt>
                <c:pt idx="12">
                  <c:v>-999</c:v>
                </c:pt>
                <c:pt idx="13">
                  <c:v>0.31351066322943516</c:v>
                </c:pt>
                <c:pt idx="14">
                  <c:v>-999</c:v>
                </c:pt>
                <c:pt idx="15">
                  <c:v>0.2413682868912667</c:v>
                </c:pt>
                <c:pt idx="16">
                  <c:v>-999</c:v>
                </c:pt>
                <c:pt idx="17">
                  <c:v>-999</c:v>
                </c:pt>
                <c:pt idx="18">
                  <c:v>-999</c:v>
                </c:pt>
                <c:pt idx="19">
                  <c:v>-999</c:v>
                </c:pt>
                <c:pt idx="20">
                  <c:v>-999</c:v>
                </c:pt>
                <c:pt idx="21">
                  <c:v>0.8633055718743287</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5785121"/>
        <c:axId val="53630634"/>
      </c:scatterChart>
      <c:catAx>
        <c:axId val="66722151"/>
        <c:scaling>
          <c:orientation val="maxMin"/>
        </c:scaling>
        <c:axPos val="l"/>
        <c:delete val="0"/>
        <c:numFmt formatCode="General" sourceLinked="1"/>
        <c:majorTickMark val="out"/>
        <c:minorTickMark val="none"/>
        <c:tickLblPos val="none"/>
        <c:spPr>
          <a:ln w="3175">
            <a:noFill/>
          </a:ln>
        </c:spPr>
        <c:crossAx val="63628448"/>
        <c:crosses val="autoZero"/>
        <c:auto val="1"/>
        <c:lblOffset val="100"/>
        <c:tickLblSkip val="1"/>
        <c:noMultiLvlLbl val="0"/>
      </c:catAx>
      <c:valAx>
        <c:axId val="63628448"/>
        <c:scaling>
          <c:orientation val="minMax"/>
          <c:max val="1"/>
          <c:min val="0"/>
        </c:scaling>
        <c:axPos val="t"/>
        <c:delete val="0"/>
        <c:numFmt formatCode="General" sourceLinked="1"/>
        <c:majorTickMark val="none"/>
        <c:minorTickMark val="none"/>
        <c:tickLblPos val="none"/>
        <c:spPr>
          <a:ln w="3175">
            <a:noFill/>
          </a:ln>
        </c:spPr>
        <c:crossAx val="66722151"/>
        <c:crossesAt val="1"/>
        <c:crossBetween val="between"/>
        <c:dispUnits/>
        <c:majorUnit val="1"/>
      </c:valAx>
      <c:valAx>
        <c:axId val="35785121"/>
        <c:scaling>
          <c:orientation val="minMax"/>
          <c:max val="1"/>
          <c:min val="0"/>
        </c:scaling>
        <c:axPos val="t"/>
        <c:delete val="0"/>
        <c:numFmt formatCode="General" sourceLinked="1"/>
        <c:majorTickMark val="none"/>
        <c:minorTickMark val="none"/>
        <c:tickLblPos val="none"/>
        <c:spPr>
          <a:ln w="3175">
            <a:noFill/>
          </a:ln>
        </c:spPr>
        <c:crossAx val="53630634"/>
        <c:crosses val="max"/>
        <c:crossBetween val="midCat"/>
        <c:dispUnits/>
        <c:majorUnit val="0.1"/>
        <c:minorUnit val="0.02"/>
      </c:valAx>
      <c:valAx>
        <c:axId val="53630634"/>
        <c:scaling>
          <c:orientation val="maxMin"/>
          <c:max val="29"/>
          <c:min val="0"/>
        </c:scaling>
        <c:axPos val="l"/>
        <c:delete val="0"/>
        <c:numFmt formatCode="General" sourceLinked="1"/>
        <c:majorTickMark val="none"/>
        <c:minorTickMark val="none"/>
        <c:tickLblPos val="none"/>
        <c:spPr>
          <a:ln w="3175">
            <a:noFill/>
          </a:ln>
        </c:spPr>
        <c:crossAx val="3578512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(B85023) ALMONDBURY SURGERY, NHS GREATER HUDDERSFIELD CCG (03A)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770</v>
      </c>
      <c r="Q3" s="65"/>
      <c r="R3" s="66"/>
      <c r="S3" s="66"/>
      <c r="T3" s="66"/>
      <c r="U3" s="66"/>
      <c r="V3" s="66"/>
      <c r="W3" s="66"/>
      <c r="X3" s="66"/>
      <c r="Y3" s="66"/>
      <c r="Z3" s="66"/>
      <c r="AA3" s="66"/>
      <c r="AB3" s="66"/>
      <c r="AC3" s="66"/>
    </row>
    <row r="4" spans="2:29" ht="18" customHeight="1">
      <c r="B4" s="317" t="s">
        <v>771</v>
      </c>
      <c r="C4" s="318"/>
      <c r="D4" s="318"/>
      <c r="E4" s="318"/>
      <c r="F4" s="318"/>
      <c r="G4" s="319"/>
      <c r="H4" s="111"/>
      <c r="I4" s="111"/>
      <c r="J4" s="111"/>
      <c r="K4" s="111"/>
      <c r="L4" s="112"/>
      <c r="M4" s="65"/>
      <c r="N4" s="65"/>
      <c r="O4" s="65"/>
      <c r="P4" s="133" t="s">
        <v>772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790</v>
      </c>
      <c r="C8" s="114"/>
      <c r="D8" s="114"/>
      <c r="E8" s="127">
        <f>VLOOKUP('Hide - Control'!A$3,'All practice data'!A:CA,4,FALSE)</f>
        <v>6145</v>
      </c>
      <c r="F8" s="332" t="str">
        <f>VLOOKUP('Hide - Control'!B4,'Hide - Calculation'!AY:BA,3,FALSE)</f>
        <v> </v>
      </c>
      <c r="G8" s="332"/>
      <c r="H8" s="332"/>
      <c r="I8" s="114"/>
      <c r="J8" s="114"/>
      <c r="K8" s="114"/>
      <c r="L8" s="114"/>
      <c r="M8" s="108"/>
      <c r="N8" s="308" t="s">
        <v>773</v>
      </c>
      <c r="O8" s="308"/>
      <c r="P8" s="308"/>
      <c r="Q8" s="308" t="s">
        <v>774</v>
      </c>
      <c r="R8" s="308"/>
      <c r="S8" s="308"/>
      <c r="T8" s="308" t="s">
        <v>775</v>
      </c>
      <c r="U8" s="308"/>
      <c r="V8" s="308" t="s">
        <v>776</v>
      </c>
      <c r="W8" s="308"/>
      <c r="X8" s="308"/>
      <c r="Y8" s="134"/>
      <c r="Z8" s="308" t="s">
        <v>777</v>
      </c>
      <c r="AA8" s="308"/>
      <c r="AB8" s="160"/>
      <c r="AC8" s="108"/>
    </row>
    <row r="9" spans="2:29" s="61" customFormat="1" ht="19.5" customHeight="1" thickBot="1">
      <c r="B9" s="113" t="s">
        <v>778</v>
      </c>
      <c r="C9" s="113"/>
      <c r="D9" s="113"/>
      <c r="E9" s="128">
        <f>VLOOKUP('Hide - Control'!B4,'Hide - Calculation'!AY:BB,4,FALSE)</f>
        <v>239050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149</v>
      </c>
      <c r="E11" s="315"/>
      <c r="F11" s="316"/>
      <c r="G11" s="260" t="s">
        <v>147</v>
      </c>
      <c r="H11" s="252" t="s">
        <v>148</v>
      </c>
      <c r="I11" s="252" t="s">
        <v>156</v>
      </c>
      <c r="J11" s="252" t="s">
        <v>157</v>
      </c>
      <c r="K11" s="297" t="s">
        <v>780</v>
      </c>
      <c r="L11" s="253" t="s">
        <v>146</v>
      </c>
      <c r="M11" s="254" t="s">
        <v>165</v>
      </c>
      <c r="N11" s="312" t="s">
        <v>164</v>
      </c>
      <c r="O11" s="312"/>
      <c r="P11" s="312"/>
      <c r="Q11" s="312"/>
      <c r="R11" s="312"/>
      <c r="S11" s="312"/>
      <c r="T11" s="312"/>
      <c r="U11" s="312"/>
      <c r="V11" s="312"/>
      <c r="W11" s="312"/>
      <c r="X11" s="312"/>
      <c r="Y11" s="312"/>
      <c r="Z11" s="312"/>
      <c r="AA11" s="255" t="s">
        <v>166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104</v>
      </c>
      <c r="C13" s="162">
        <v>1</v>
      </c>
      <c r="D13" s="334" t="s">
        <v>100</v>
      </c>
      <c r="E13" s="335"/>
      <c r="F13" s="335"/>
      <c r="G13" s="165">
        <f>IF(VLOOKUP('Hide - Control'!A$3,'All practice data'!A:CA,C13+4,FALSE)=" "," ",VLOOKUP('Hide - Control'!A$3,'All practice data'!A:CA,C13+4,FALSE))</f>
        <v>1086</v>
      </c>
      <c r="H13" s="189">
        <f>IF(VLOOKUP('Hide - Control'!A$3,'All practice data'!A:CA,C13+30,FALSE)=" "," ",VLOOKUP('Hide - Control'!A$3,'All practice data'!A:CA,C13+30,FALSE))</f>
        <v>0.17672904800650935</v>
      </c>
      <c r="I13" s="190">
        <f>IF(LEFT(G13,1)=" "," n/a",+((2*G13+1.96^2-1.96*SQRT(1.96^2+4*G13*(1-G13/E$8)))/(2*(E$8+1.96^2))))</f>
        <v>0.1673946668521957</v>
      </c>
      <c r="J13" s="190">
        <f>IF(LEFT(G13,1)=" "," n/a",+((2*G13+1.96^2+1.96*SQRT(1.96^2+4*G13*(1-G13/E$8)))/(2*(E$8+1.96^2))))</f>
        <v>0.18646736790895352</v>
      </c>
      <c r="K13" s="189">
        <f>IF('Hide - Calculation'!N7="","",'Hide - Calculation'!N7)</f>
        <v>0.1585149550303284</v>
      </c>
      <c r="L13" s="191">
        <f>'Hide - Calculation'!O7</f>
        <v>0.16403398204837302</v>
      </c>
      <c r="M13" s="301" t="str">
        <f>IF(ISBLANK('Hide - Calculation'!K7),"",FIXED(100*'Hide - Calculation'!U7,1)&amp;"%")</f>
        <v>0.3%</v>
      </c>
      <c r="N13" s="172"/>
      <c r="O13" s="172"/>
      <c r="P13" s="172"/>
      <c r="Q13" s="172"/>
      <c r="R13" s="172"/>
      <c r="S13" s="172"/>
      <c r="T13" s="172"/>
      <c r="U13" s="172"/>
      <c r="V13" s="172"/>
      <c r="W13" s="172"/>
      <c r="X13" s="172"/>
      <c r="Y13" s="172"/>
      <c r="Z13" s="172"/>
      <c r="AA13" s="302" t="str">
        <f>IF(ISBLANK('Hide - Calculation'!K7),"",FIXED(100*'Hide - Calculation'!T7,1)&amp;"%")</f>
        <v>33.5%</v>
      </c>
      <c r="AB13" s="230" t="s">
        <v>216</v>
      </c>
      <c r="AC13" s="207" t="s">
        <v>781</v>
      </c>
    </row>
    <row r="14" spans="2:29" ht="33.75" customHeight="1">
      <c r="B14" s="327"/>
      <c r="C14" s="136">
        <v>2</v>
      </c>
      <c r="D14" s="131" t="s">
        <v>171</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0.18</v>
      </c>
      <c r="I14" s="119">
        <f>IF(LEFT(G14,1)=" "," n/a",+((2*H14*E8+1.96^2-1.96*SQRT(1.96^2+4*H14*E8*(1-H14*E8/E$8)))/(2*(E$8+1.96^2))))</f>
        <v>0.1705949406302932</v>
      </c>
      <c r="J14" s="119">
        <f>IF(LEFT(G14,1)=" "," n/a",+((2*H14*E8+1.96^2+1.96*SQRT(1.96^2+4*H14*E8*(1-H14*E8/E$8)))/(2*(E$8+1.96^2))))</f>
        <v>0.1898049109450019</v>
      </c>
      <c r="K14" s="118">
        <f>IF('Hide - Calculation'!N8="","",'Hide - Calculation'!N8)</f>
        <v>0.1520437565362895</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30.0%</v>
      </c>
      <c r="AB14" s="231" t="s">
        <v>39</v>
      </c>
      <c r="AC14" s="129" t="s">
        <v>781</v>
      </c>
    </row>
    <row r="15" spans="2:39" s="63" customFormat="1" ht="33.75" customHeight="1">
      <c r="B15" s="327"/>
      <c r="C15" s="136">
        <v>3</v>
      </c>
      <c r="D15" s="131" t="s">
        <v>108</v>
      </c>
      <c r="E15" s="85"/>
      <c r="F15" s="85"/>
      <c r="G15" s="120">
        <f>IF(VLOOKUP('Hide - Control'!A$3,'All practice data'!A:CA,C15+4,FALSE)=" "," ",VLOOKUP('Hide - Control'!A$3,'All practice data'!A:CA,C15+4,FALSE))</f>
        <v>23</v>
      </c>
      <c r="H15" s="121">
        <f>IF(VLOOKUP('Hide - Control'!A$3,'All practice data'!A:CA,C15+30,FALSE)=" "," ",VLOOKUP('Hide - Control'!A$3,'All practice data'!A:CA,C15+30,FALSE))</f>
        <v>374.2880390561432</v>
      </c>
      <c r="I15" s="122">
        <f>IF(LEFT(G15,1)=" "," n/a",IF(G15&lt;5,100000*VLOOKUP(G15,'Hide - Calculation'!AQ:AR,2,FALSE)/$E$8,100000*(G15*(1-1/(9*G15)-1.96/(3*SQRT(G15)))^3)/$E$8))</f>
        <v>237.1886614537037</v>
      </c>
      <c r="J15" s="122">
        <f>IF(LEFT(G15,1)=" "," n/a",IF(G15&lt;5,100000*VLOOKUP(G15,'Hide - Calculation'!AQ:AS,3,FALSE)/$E$8,100000*((G15+1)*(1-1/(9*(G15+1))+1.96/(3*SQRT(G15+1)))^3)/$E$8))</f>
        <v>561.6441834316777</v>
      </c>
      <c r="K15" s="121">
        <f>IF('Hide - Calculation'!N9="","",'Hide - Calculation'!N9)</f>
        <v>428.36226730809454</v>
      </c>
      <c r="L15" s="155">
        <f>'Hide - Calculation'!O9</f>
        <v>470.8933116400106</v>
      </c>
      <c r="M15" s="150" t="str">
        <f>IF(ISBLANK('Hide - Calculation'!K9),"",FIXED('Hide - Calculation'!U9,0))</f>
        <v>151</v>
      </c>
      <c r="N15" s="84"/>
      <c r="O15" s="84"/>
      <c r="P15" s="84"/>
      <c r="Q15" s="84"/>
      <c r="R15" s="84"/>
      <c r="S15" s="84"/>
      <c r="T15" s="84"/>
      <c r="U15" s="84"/>
      <c r="V15" s="84"/>
      <c r="W15" s="84"/>
      <c r="X15" s="84"/>
      <c r="Y15" s="84"/>
      <c r="Z15" s="84"/>
      <c r="AA15" s="225" t="str">
        <f>IF(ISBLANK('Hide - Calculation'!K9),"",FIXED('Hide - Calculation'!T9,0))</f>
        <v>709</v>
      </c>
      <c r="AB15" s="231" t="s">
        <v>150</v>
      </c>
      <c r="AC15" s="130">
        <v>2010</v>
      </c>
      <c r="AD15" s="64"/>
      <c r="AE15" s="64"/>
      <c r="AF15" s="64"/>
      <c r="AG15" s="64"/>
      <c r="AH15" s="64"/>
      <c r="AI15" s="64"/>
      <c r="AJ15" s="64"/>
      <c r="AK15" s="64"/>
      <c r="AL15" s="64"/>
      <c r="AM15" s="64"/>
    </row>
    <row r="16" spans="2:29" s="63" customFormat="1" ht="33.75" customHeight="1">
      <c r="B16" s="327"/>
      <c r="C16" s="136">
        <v>4</v>
      </c>
      <c r="D16" s="131" t="s">
        <v>167</v>
      </c>
      <c r="E16" s="85"/>
      <c r="F16" s="85"/>
      <c r="G16" s="120">
        <f>IF(VLOOKUP('Hide - Control'!A$3,'All practice data'!A:CA,C16+4,FALSE)=" "," ",VLOOKUP('Hide - Control'!A$3,'All practice data'!A:CA,C16+4,FALSE))</f>
        <v>14</v>
      </c>
      <c r="H16" s="121">
        <f>IF(VLOOKUP('Hide - Control'!A$3,'All practice data'!A:CA,C16+30,FALSE)=" "," ",VLOOKUP('Hide - Control'!A$3,'All practice data'!A:CA,C16+30,FALSE))</f>
        <v>227.82750203417413</v>
      </c>
      <c r="I16" s="122">
        <f>IF(LEFT(G16,1)=" "," n/a",IF(G16&lt;5,100000*VLOOKUP(G16,'Hide - Calculation'!AQ:AR,2,FALSE)/$E$8,100000*(G16*(1-1/(9*G16)-1.96/(3*SQRT(G16)))^3)/$E$8))</f>
        <v>124.44980717240361</v>
      </c>
      <c r="J16" s="122">
        <f>IF(LEFT(G16,1)=" "," n/a",IF(G16&lt;5,100000*VLOOKUP(G16,'Hide - Calculation'!AQ:AS,3,FALSE)/$E$8,100000*((G16+1)*(1-1/(9*(G16+1))+1.96/(3*SQRT(G16+1)))^3)/$E$8))</f>
        <v>382.2813000394264</v>
      </c>
      <c r="K16" s="121">
        <f>IF('Hide - Calculation'!N10="","",'Hide - Calculation'!N10)</f>
        <v>226.7308094540891</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623</v>
      </c>
      <c r="AB16" s="231" t="s">
        <v>103</v>
      </c>
      <c r="AC16" s="130" t="s">
        <v>782</v>
      </c>
    </row>
    <row r="17" spans="2:29" s="63" customFormat="1" ht="33.75" customHeight="1" thickBot="1">
      <c r="B17" s="328"/>
      <c r="C17" s="179">
        <v>5</v>
      </c>
      <c r="D17" s="194" t="s">
        <v>107</v>
      </c>
      <c r="E17" s="181"/>
      <c r="F17" s="181"/>
      <c r="G17" s="139">
        <f>IF(VLOOKUP('Hide - Control'!A$3,'All practice data'!A:CA,C17+4,FALSE)=" "," ",VLOOKUP('Hide - Control'!A$3,'All practice data'!A:CA,C17+4,FALSE))</f>
        <v>110</v>
      </c>
      <c r="H17" s="140">
        <f>IF(VLOOKUP('Hide - Control'!A$3,'All practice data'!A:CA,C17+30,FALSE)=" "," ",VLOOKUP('Hide - Control'!A$3,'All practice data'!A:CA,C17+30,FALSE))</f>
        <v>0.0179</v>
      </c>
      <c r="I17" s="141">
        <f>IF(LEFT(G17,1)=" "," n/a",+((2*G17+1.96^2-1.96*SQRT(1.96^2+4*G17*(1-G17/E$8)))/(2*(E$8+1.96^2))))</f>
        <v>0.014874121017533777</v>
      </c>
      <c r="J17" s="141">
        <f>IF(LEFT(G17,1)=" "," n/a",+((2*G17+1.96^2+1.96*SQRT(1.96^2+4*G17*(1-G17/E$8)))/(2*(E$8+1.96^2))))</f>
        <v>0.021529744061703264</v>
      </c>
      <c r="K17" s="140">
        <f>IF('Hide - Calculation'!N11="","",'Hide - Calculation'!N11)</f>
        <v>0.016143066304120476</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3.5%</v>
      </c>
      <c r="AB17" s="232" t="s">
        <v>168</v>
      </c>
      <c r="AC17" s="188" t="s">
        <v>782</v>
      </c>
    </row>
    <row r="18" spans="2:29" s="63" customFormat="1" ht="33.75" customHeight="1">
      <c r="B18" s="326" t="s">
        <v>13</v>
      </c>
      <c r="C18" s="162">
        <v>6</v>
      </c>
      <c r="D18" s="163" t="s">
        <v>172</v>
      </c>
      <c r="E18" s="164"/>
      <c r="F18" s="164"/>
      <c r="G18" s="217">
        <f>IF(OR(VLOOKUP('Hide - Control'!A$3,'All practice data'!A:CA,C18+4,FALSE)=" ",VLOOKUP('Hide - Control'!A$3,'All practice data'!A:CA,C18+52,FALSE)=0)," n/a",VLOOKUP('Hide - Control'!A$3,'All practice data'!A:CA,C18+4,FALSE))</f>
        <v>575</v>
      </c>
      <c r="H18" s="218">
        <f>IF(OR(VLOOKUP('Hide - Control'!A$3,'All practice data'!A:CA,C18+30,FALSE)=" ",VLOOKUP('Hide - Control'!A$3,'All practice data'!A:CA,C18+52,FALSE)=0)," n/a",VLOOKUP('Hide - Control'!A$3,'All practice data'!A:CA,C18+30,FALSE))</f>
        <v>0.752618</v>
      </c>
      <c r="I18" s="190">
        <f>IF(OR(LEFT(H18,1)=" ",VLOOKUP('Hide - Control'!A$3,'All practice data'!A:CA,C18+52,FALSE)=0)," n/a",+((2*G18+1.96^2-1.96*SQRT(1.96^2+4*G18*(1-G18/(VLOOKUP('Hide - Control'!A$3,'All practice data'!A:CA,C18+52,FALSE)))))/(2*(((VLOOKUP('Hide - Control'!A$3,'All practice data'!A:CA,C18+52,FALSE)))+1.96^2))))</f>
        <v>0.7208072620644723</v>
      </c>
      <c r="J18" s="190">
        <f>IF(OR(LEFT(H18,1)=" ",VLOOKUP('Hide - Control'!A$3,'All practice data'!A:CA,C18+52,FALSE)=0)," n/a",+((2*G18+1.96^2+1.96*SQRT(1.96^2+4*G18*(1-G18/(VLOOKUP('Hide - Control'!A$3,'All practice data'!A:CA,C18+52,FALSE)))))/(2*((VLOOKUP('Hide - Control'!A$3,'All practice data'!A:CA,C18+52,FALSE))+1.96^2))))</f>
        <v>0.78190058809629</v>
      </c>
      <c r="K18" s="218">
        <f>IF('Hide - Calculation'!N12="","",'Hide - Calculation'!N12)</f>
        <v>0.737735582692172</v>
      </c>
      <c r="L18" s="191">
        <f>'Hide - Calculation'!O12</f>
        <v>0.7246856648259642</v>
      </c>
      <c r="M18" s="192" t="str">
        <f>IF(ISBLANK('Hide - Calculation'!K12),"",FIXED(100*'Hide - Calculation'!U12,1)&amp;"%")</f>
        <v>50.0%</v>
      </c>
      <c r="N18" s="193"/>
      <c r="O18" s="172"/>
      <c r="P18" s="172"/>
      <c r="Q18" s="172"/>
      <c r="R18" s="172"/>
      <c r="S18" s="172"/>
      <c r="T18" s="172"/>
      <c r="U18" s="172"/>
      <c r="V18" s="172"/>
      <c r="W18" s="172"/>
      <c r="X18" s="172"/>
      <c r="Y18" s="172"/>
      <c r="Z18" s="173"/>
      <c r="AA18" s="192" t="str">
        <f>IF(ISBLANK('Hide - Calculation'!K12),"",FIXED(100*'Hide - Calculation'!T12,1)&amp;"%")</f>
        <v>81.8%</v>
      </c>
      <c r="AB18" s="230" t="s">
        <v>48</v>
      </c>
      <c r="AC18" s="174" t="s">
        <v>783</v>
      </c>
    </row>
    <row r="19" spans="2:29" s="63" customFormat="1" ht="33.75" customHeight="1">
      <c r="B19" s="327"/>
      <c r="C19" s="136">
        <v>7</v>
      </c>
      <c r="D19" s="131" t="s">
        <v>173</v>
      </c>
      <c r="E19" s="85"/>
      <c r="F19" s="85"/>
      <c r="G19" s="219">
        <f>IF(OR(VLOOKUP('Hide - Control'!A$3,'All practice data'!A:CA,C19+4,FALSE)=" ",VLOOKUP('Hide - Control'!A$3,'All practice data'!A:CA,C19+52,FALSE)=0)," n/a",VLOOKUP('Hide - Control'!A$3,'All practice data'!A:CA,C19+4,FALSE))</f>
        <v>562</v>
      </c>
      <c r="H19" s="216">
        <f>IF(OR(VLOOKUP('Hide - Control'!A$3,'All practice data'!A:CA,C19+30,FALSE)=" ",VLOOKUP('Hide - Control'!A$3,'All practice data'!A:CA,C19+52,FALSE)=0)," n/a",VLOOKUP('Hide - Control'!A$3,'All practice data'!A:CA,C19+30,FALSE))</f>
        <v>0.757412</v>
      </c>
      <c r="I19" s="119">
        <f>IF(OR(LEFT(H19,1)=" ",VLOOKUP('Hide - Control'!A$3,'All practice data'!A:CA,C19+52,FALSE)=0)," n/a",+((2*G19+1.96^2-1.96*SQRT(1.96^2+4*G19*(1-G19/(VLOOKUP('Hide - Control'!A$3,'All practice data'!A:CA,C19+52,FALSE)))))/(2*(((VLOOKUP('Hide - Control'!A$3,'All practice data'!A:CA,C19+52,FALSE)))+1.96^2))))</f>
        <v>0.7252946641374641</v>
      </c>
      <c r="J19" s="119">
        <f>IF(OR(LEFT(H19,1)=" ",VLOOKUP('Hide - Control'!A$3,'All practice data'!A:CA,C19+52,FALSE)=0)," n/a",+((2*G19+1.96^2+1.96*SQRT(1.96^2+4*G19*(1-G19/(VLOOKUP('Hide - Control'!A$3,'All practice data'!A:CA,C19+52,FALSE)))))/(2*((VLOOKUP('Hide - Control'!A$3,'All practice data'!A:CA,C19+52,FALSE))+1.96^2))))</f>
        <v>0.7868784299886881</v>
      </c>
      <c r="K19" s="216">
        <f>IF('Hide - Calculation'!N13="","",'Hide - Calculation'!N13)</f>
        <v>0.7680926791820784</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86.8%</v>
      </c>
      <c r="AB19" s="231" t="s">
        <v>48</v>
      </c>
      <c r="AC19" s="130" t="s">
        <v>782</v>
      </c>
    </row>
    <row r="20" spans="2:29" s="63" customFormat="1" ht="33.75" customHeight="1">
      <c r="B20" s="327"/>
      <c r="C20" s="136">
        <v>8</v>
      </c>
      <c r="D20" s="131" t="s">
        <v>174</v>
      </c>
      <c r="E20" s="85"/>
      <c r="F20" s="85"/>
      <c r="G20" s="219">
        <f>IF(OR(VLOOKUP('Hide - Control'!A$3,'All practice data'!A:CA,C20+4,FALSE)=" ",VLOOKUP('Hide - Control'!A$3,'All practice data'!A:CA,C20+52,FALSE)=0)," n/a",VLOOKUP('Hide - Control'!A$3,'All practice data'!A:CA,C20+4,FALSE))</f>
        <v>1249</v>
      </c>
      <c r="H20" s="216">
        <f>IF(OR(VLOOKUP('Hide - Control'!A$3,'All practice data'!A:CA,C20+30,FALSE)=" ",VLOOKUP('Hide - Control'!A$3,'All practice data'!A:CA,C20+52,FALSE)=0)," n/a",VLOOKUP('Hide - Control'!A$3,'All practice data'!A:CA,C20+30,FALSE))</f>
        <v>0.802699</v>
      </c>
      <c r="I20" s="119">
        <f>IF(OR(LEFT(H20,1)=" ",VLOOKUP('Hide - Control'!A$3,'All practice data'!A:CA,C20+52,FALSE)=0)," n/a",+((2*G20+1.96^2-1.96*SQRT(1.96^2+4*G20*(1-G20/(VLOOKUP('Hide - Control'!A$3,'All practice data'!A:CA,C20+52,FALSE)))))/(2*(((VLOOKUP('Hide - Control'!A$3,'All practice data'!A:CA,C20+52,FALSE)))+1.96^2))))</f>
        <v>0.7821901475186352</v>
      </c>
      <c r="J20" s="119">
        <f>IF(OR(LEFT(H20,1)=" ",VLOOKUP('Hide - Control'!A$3,'All practice data'!A:CA,C20+52,FALSE)=0)," n/a",+((2*G20+1.96^2+1.96*SQRT(1.96^2+4*G20*(1-G20/(VLOOKUP('Hide - Control'!A$3,'All practice data'!A:CA,C20+52,FALSE)))))/(2*((VLOOKUP('Hide - Control'!A$3,'All practice data'!A:CA,C20+52,FALSE))+1.96^2))))</f>
        <v>0.8217173261633081</v>
      </c>
      <c r="K20" s="216">
        <f>IF('Hide - Calculation'!N14="","",'Hide - Calculation'!N14)</f>
        <v>0.7885558489660139</v>
      </c>
      <c r="L20" s="154">
        <f>'Hide - Calculation'!O14</f>
        <v>0.7530641252748632</v>
      </c>
      <c r="M20" s="151" t="str">
        <f>IF(ISBLANK('Hide - Calculation'!K14),"",FIXED(100*'Hide - Calculation'!U14,1)&amp;"%")</f>
        <v>51.0%</v>
      </c>
      <c r="N20" s="159"/>
      <c r="O20" s="84"/>
      <c r="P20" s="84"/>
      <c r="Q20" s="84"/>
      <c r="R20" s="84"/>
      <c r="S20" s="84"/>
      <c r="T20" s="84"/>
      <c r="U20" s="84"/>
      <c r="V20" s="84"/>
      <c r="W20" s="84"/>
      <c r="X20" s="84"/>
      <c r="Y20" s="84"/>
      <c r="Z20" s="88"/>
      <c r="AA20" s="151" t="str">
        <f>IF(ISBLANK('Hide - Calculation'!K14),"",FIXED(100*'Hide - Calculation'!T14,1)&amp;"%")</f>
        <v>86.0%</v>
      </c>
      <c r="AB20" s="231" t="s">
        <v>48</v>
      </c>
      <c r="AC20" s="130" t="s">
        <v>784</v>
      </c>
    </row>
    <row r="21" spans="2:29" s="63" customFormat="1" ht="33.75" customHeight="1">
      <c r="B21" s="327"/>
      <c r="C21" s="136">
        <v>9</v>
      </c>
      <c r="D21" s="131" t="s">
        <v>175</v>
      </c>
      <c r="E21" s="85"/>
      <c r="F21" s="85"/>
      <c r="G21" s="219">
        <f>IF(OR(VLOOKUP('Hide - Control'!A$3,'All practice data'!A:CA,C21+4,FALSE)=" ",VLOOKUP('Hide - Control'!A$3,'All practice data'!A:CA,C21+52,FALSE)=0)," n/a",VLOOKUP('Hide - Control'!A$3,'All practice data'!A:CA,C21+4,FALSE))</f>
        <v>426</v>
      </c>
      <c r="H21" s="216">
        <f>IF(OR(VLOOKUP('Hide - Control'!A$3,'All practice data'!A:CA,C21+30,FALSE)=" ",VLOOKUP('Hide - Control'!A$3,'All practice data'!A:CA,C21+52,FALSE)=0)," n/a",VLOOKUP('Hide - Control'!A$3,'All practice data'!A:CA,C21+30,FALSE))</f>
        <v>0.632987</v>
      </c>
      <c r="I21" s="119">
        <f>IF(OR(LEFT(H21,1)=" ",VLOOKUP('Hide - Control'!A$3,'All practice data'!A:CA,C21+52,FALSE)=0)," n/a",+((2*G21+1.96^2-1.96*SQRT(1.96^2+4*G21*(1-G21/(VLOOKUP('Hide - Control'!A$3,'All practice data'!A:CA,C21+52,FALSE)))))/(2*(((VLOOKUP('Hide - Control'!A$3,'All practice data'!A:CA,C21+52,FALSE)))+1.96^2))))</f>
        <v>0.5959119314915962</v>
      </c>
      <c r="J21" s="119">
        <f>IF(OR(LEFT(H21,1)=" ",VLOOKUP('Hide - Control'!A$3,'All practice data'!A:CA,C21+52,FALSE)=0)," n/a",+((2*G21+1.96^2+1.96*SQRT(1.96^2+4*G21*(1-G21/(VLOOKUP('Hide - Control'!A$3,'All practice data'!A:CA,C21+52,FALSE)))))/(2*((VLOOKUP('Hide - Control'!A$3,'All practice data'!A:CA,C21+52,FALSE))+1.96^2))))</f>
        <v>0.6685517184968207</v>
      </c>
      <c r="K21" s="216">
        <f>IF('Hide - Calculation'!N15="","",'Hide - Calculation'!N15)</f>
        <v>0.6176368072499129</v>
      </c>
      <c r="L21" s="154">
        <f>'Hide - Calculation'!O15</f>
        <v>0.5744521249276766</v>
      </c>
      <c r="M21" s="151" t="str">
        <f>IF(ISBLANK('Hide - Calculation'!K15),"",FIXED(100*'Hide - Calculation'!U15,1)&amp;"%")</f>
        <v>30.0%</v>
      </c>
      <c r="N21" s="159"/>
      <c r="O21" s="84"/>
      <c r="P21" s="84"/>
      <c r="Q21" s="84"/>
      <c r="R21" s="84"/>
      <c r="S21" s="84"/>
      <c r="T21" s="84"/>
      <c r="U21" s="84"/>
      <c r="V21" s="84"/>
      <c r="W21" s="84"/>
      <c r="X21" s="84"/>
      <c r="Y21" s="84"/>
      <c r="Z21" s="88"/>
      <c r="AA21" s="151" t="str">
        <f>IF(ISBLANK('Hide - Calculation'!K15),"",FIXED(100*'Hide - Calculation'!T15,1)&amp;"%")</f>
        <v>69.9%</v>
      </c>
      <c r="AB21" s="231" t="s">
        <v>48</v>
      </c>
      <c r="AC21" s="130" t="s">
        <v>785</v>
      </c>
    </row>
    <row r="22" spans="2:29" s="63" customFormat="1" ht="33.75" customHeight="1" thickBot="1">
      <c r="B22" s="328"/>
      <c r="C22" s="179">
        <v>10</v>
      </c>
      <c r="D22" s="194" t="s">
        <v>176</v>
      </c>
      <c r="E22" s="181"/>
      <c r="F22" s="181"/>
      <c r="G22" s="220">
        <f>IF(OR(VLOOKUP('Hide - Control'!A$3,'All practice data'!A:CA,C22+4,FALSE)=" ",VLOOKUP('Hide - Control'!A$3,'All practice data'!A:CA,C22+52,FALSE)=0)," n/a",VLOOKUP('Hide - Control'!A$3,'All practice data'!A:CA,C22+4,FALSE))</f>
        <v>206</v>
      </c>
      <c r="H22" s="221">
        <f>IF(OR(VLOOKUP('Hide - Control'!A$3,'All practice data'!A:CA,C22+30,FALSE)=" ",VLOOKUP('Hide - Control'!A$3,'All practice data'!A:CA,C22+52,FALSE)=0)," n/a",VLOOKUP('Hide - Control'!A$3,'All practice data'!A:CA,C22+30,FALSE))</f>
        <v>0.611276</v>
      </c>
      <c r="I22" s="195">
        <f>IF(OR(LEFT(H22,1)=" ",VLOOKUP('Hide - Control'!A$3,'All practice data'!A:CA,C22+52,FALSE)=0)," n/a",+((2*G22+1.96^2-1.96*SQRT(1.96^2+4*G22*(1-G22/(VLOOKUP('Hide - Control'!A$3,'All practice data'!A:CA,C22+52,FALSE)))))/(2*(((VLOOKUP('Hide - Control'!A$3,'All practice data'!A:CA,C22+52,FALSE)))+1.96^2))))</f>
        <v>0.5582555402586266</v>
      </c>
      <c r="J22" s="195">
        <f>IF(OR(LEFT(H22,1)=" ",VLOOKUP('Hide - Control'!A$3,'All practice data'!A:CA,C22+52,FALSE)=0)," n/a",+((2*G22+1.96^2+1.96*SQRT(1.96^2+4*G22*(1-G22/(VLOOKUP('Hide - Control'!A$3,'All practice data'!A:CA,C22+52,FALSE)))))/(2*((VLOOKUP('Hide - Control'!A$3,'All practice data'!A:CA,C22+52,FALSE))+1.96^2))))</f>
        <v>0.6617880224989712</v>
      </c>
      <c r="K22" s="221">
        <f>IF('Hide - Calculation'!N16="","",'Hide - Calculation'!N16)</f>
        <v>0.6063821425764364</v>
      </c>
      <c r="L22" s="196">
        <f>'Hide - Calculation'!O16</f>
        <v>0.5565049054289257</v>
      </c>
      <c r="M22" s="197" t="str">
        <f>IF(ISBLANK('Hide - Calculation'!K16),"",FIXED(100*'Hide - Calculation'!U16,1)&amp;"%")</f>
        <v>25.2%</v>
      </c>
      <c r="N22" s="198"/>
      <c r="O22" s="91"/>
      <c r="P22" s="91"/>
      <c r="Q22" s="91"/>
      <c r="R22" s="91"/>
      <c r="S22" s="91"/>
      <c r="T22" s="91"/>
      <c r="U22" s="91"/>
      <c r="V22" s="91"/>
      <c r="W22" s="91"/>
      <c r="X22" s="91"/>
      <c r="Y22" s="91"/>
      <c r="Z22" s="187"/>
      <c r="AA22" s="197" t="str">
        <f>IF(ISBLANK('Hide - Calculation'!K16),"",FIXED(100*'Hide - Calculation'!T16,1)&amp;"%")</f>
        <v>69.7%</v>
      </c>
      <c r="AB22" s="232" t="s">
        <v>48</v>
      </c>
      <c r="AC22" s="188" t="s">
        <v>782</v>
      </c>
    </row>
    <row r="23" spans="2:29" s="63" customFormat="1" ht="33.75" customHeight="1">
      <c r="B23" s="326" t="s">
        <v>98</v>
      </c>
      <c r="C23" s="162">
        <v>11</v>
      </c>
      <c r="D23" s="178" t="s">
        <v>109</v>
      </c>
      <c r="E23" s="164"/>
      <c r="F23" s="164"/>
      <c r="G23" s="117">
        <f>IF(VLOOKUP('Hide - Control'!A$3,'All practice data'!A:CA,C23+4,FALSE)=" "," ",VLOOKUP('Hide - Control'!A$3,'All practice data'!A:CA,C23+4,FALSE))</f>
        <v>86</v>
      </c>
      <c r="H23" s="214">
        <f>IF(VLOOKUP('Hide - Control'!A$3,'All practice data'!A:CA,C23+30,FALSE)=" "," ",VLOOKUP('Hide - Control'!A$3,'All practice data'!A:CA,C23+30,FALSE))</f>
        <v>1399.5117982099268</v>
      </c>
      <c r="I23" s="213">
        <f>IF(LEFT(G23,1)=" "," n/a",IF(G23&lt;5,100000*VLOOKUP(G23,'Hide - Calculation'!AQ:AR,2,FALSE)/$E$8,100000*(G23*(1-1/(9*G23)-1.96/(3*SQRT(G23)))^3)/$E$8))</f>
        <v>1119.3905468586545</v>
      </c>
      <c r="J23" s="213">
        <f>IF(LEFT(G23,1)=" "," n/a",IF(G23&lt;5,100000*VLOOKUP(G23,'Hide - Calculation'!AQ:AS,3,FALSE)/$E$8,100000*((G23+1)*(1-1/(9*(G23+1))+1.96/(3*SQRT(G23+1)))^3)/$E$8))</f>
        <v>1728.411466287142</v>
      </c>
      <c r="K23" s="214">
        <f>IF('Hide - Calculation'!N17="","",'Hide - Calculation'!N17)</f>
        <v>1417.2767203513908</v>
      </c>
      <c r="L23" s="215">
        <f>'Hide - Calculation'!O17</f>
        <v>1981.9429445600304</v>
      </c>
      <c r="M23" s="169" t="str">
        <f>IF(ISBLANK('Hide - Calculation'!K17),"",FIXED('Hide - Calculation'!U17,0))</f>
        <v>236</v>
      </c>
      <c r="N23" s="170"/>
      <c r="O23" s="171"/>
      <c r="P23" s="171"/>
      <c r="Q23" s="171"/>
      <c r="R23" s="172"/>
      <c r="S23" s="172"/>
      <c r="T23" s="172"/>
      <c r="U23" s="172"/>
      <c r="V23" s="172"/>
      <c r="W23" s="172"/>
      <c r="X23" s="172"/>
      <c r="Y23" s="172"/>
      <c r="Z23" s="173"/>
      <c r="AA23" s="169" t="str">
        <f>IF(ISBLANK('Hide - Calculation'!K17),"",FIXED('Hide - Calculation'!T17,0))</f>
        <v>2,950</v>
      </c>
      <c r="AB23" s="230" t="s">
        <v>26</v>
      </c>
      <c r="AC23" s="174" t="s">
        <v>782</v>
      </c>
    </row>
    <row r="24" spans="2:29" s="63" customFormat="1" ht="33.75" customHeight="1">
      <c r="B24" s="327"/>
      <c r="C24" s="136">
        <v>12</v>
      </c>
      <c r="D24" s="146" t="s">
        <v>181</v>
      </c>
      <c r="E24" s="85"/>
      <c r="F24" s="85"/>
      <c r="G24" s="117">
        <f>IF(VLOOKUP('Hide - Control'!A$3,'All practice data'!A:CA,C24+4,FALSE)=" "," ",VLOOKUP('Hide - Control'!A$3,'All practice data'!A:CA,C24+4,FALSE))</f>
        <v>86</v>
      </c>
      <c r="H24" s="118">
        <f>IF(VLOOKUP('Hide - Control'!A$3,'All practice data'!A:CA,C24+30,FALSE)=" "," ",VLOOKUP('Hide - Control'!A$3,'All practice data'!A:CA,C24+30,FALSE))</f>
        <v>0.6817</v>
      </c>
      <c r="I24" s="210">
        <f>IF(LEFT(VLOOKUP('Hide - Control'!A$3,'All practice data'!A:CA,C24+44,FALSE),1)=" "," n/a",VLOOKUP('Hide - Control'!A$3,'All practice data'!A:CA,C24+44,FALSE))</f>
        <v>0.5452</v>
      </c>
      <c r="J24" s="210">
        <f>IF(LEFT(VLOOKUP('Hide - Control'!A$3,'All practice data'!A:CA,C24+45,FALSE),1)=" "," n/a",VLOOKUP('Hide - Control'!A$3,'All practice data'!A:CA,C24+45,FALSE))</f>
        <v>0.8419</v>
      </c>
      <c r="K24" s="151" t="s">
        <v>217</v>
      </c>
      <c r="L24" s="211">
        <v>1</v>
      </c>
      <c r="M24" s="151" t="str">
        <f>IF(ISBLANK('Hide - Calculation'!K18),"",FIXED(100*'Hide - Calculation'!U18,1)&amp;"%")</f>
        <v>14.7%</v>
      </c>
      <c r="N24" s="86"/>
      <c r="O24" s="87"/>
      <c r="P24" s="87"/>
      <c r="Q24" s="87"/>
      <c r="R24" s="84"/>
      <c r="S24" s="84"/>
      <c r="T24" s="84"/>
      <c r="U24" s="84"/>
      <c r="V24" s="84"/>
      <c r="W24" s="84"/>
      <c r="X24" s="84"/>
      <c r="Y24" s="84"/>
      <c r="Z24" s="88"/>
      <c r="AA24" s="151" t="str">
        <f>IF(ISBLANK('Hide - Calculation'!K18),"",FIXED(100*'Hide - Calculation'!T18,1)&amp;"%")</f>
        <v>137.9%</v>
      </c>
      <c r="AB24" s="231" t="s">
        <v>26</v>
      </c>
      <c r="AC24" s="130" t="s">
        <v>782</v>
      </c>
    </row>
    <row r="25" spans="2:29" s="63" customFormat="1" ht="33.75" customHeight="1">
      <c r="B25" s="327"/>
      <c r="C25" s="136">
        <v>13</v>
      </c>
      <c r="D25" s="146" t="s">
        <v>105</v>
      </c>
      <c r="E25" s="85"/>
      <c r="F25" s="85"/>
      <c r="G25" s="117">
        <f>IF(VLOOKUP('Hide - Control'!A$3,'All practice data'!A:CA,C25+4,FALSE)=" "," ",VLOOKUP('Hide - Control'!A$3,'All practice data'!A:CA,C25+4,FALSE))</f>
        <v>6</v>
      </c>
      <c r="H25" s="118">
        <f>IF(VLOOKUP('Hide - Control'!A$3,'All practice data'!A:CA,C25+30,FALSE)=" "," ",VLOOKUP('Hide - Control'!A$3,'All practice data'!A:CA,C25+30,FALSE))</f>
        <v>0.06976744186046512</v>
      </c>
      <c r="I25" s="119">
        <f>IF(LEFT(G25,1)=" "," n/a",IF(G25=0," n/a",+((2*G25+1.96^2-1.96*SQRT(1.96^2+4*G25*(1-G25/G23)))/(2*(G23+1.96^2)))))</f>
        <v>0.03236497351786072</v>
      </c>
      <c r="J25" s="119">
        <f>IF(LEFT(G25,1)=" "," n/a",IF(G25=0," n/a",+((2*G25+1.96^2+1.96*SQRT(1.96^2+4*G25*(1-G25/G23)))/(2*(G23+1.96^2)))))</f>
        <v>0.14396314174277577</v>
      </c>
      <c r="K25" s="124">
        <f>IF('Hide - Calculation'!N19="","",'Hide - Calculation'!N19)</f>
        <v>0.13252656434474616</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100.0%</v>
      </c>
      <c r="AB25" s="231" t="s">
        <v>26</v>
      </c>
      <c r="AC25" s="130" t="s">
        <v>782</v>
      </c>
    </row>
    <row r="26" spans="2:29" s="63" customFormat="1" ht="33.75" customHeight="1">
      <c r="B26" s="327"/>
      <c r="C26" s="136">
        <v>14</v>
      </c>
      <c r="D26" s="146" t="s">
        <v>169</v>
      </c>
      <c r="E26" s="85"/>
      <c r="F26" s="85"/>
      <c r="G26" s="120">
        <f>IF(VLOOKUP('Hide - Control'!A$3,'All practice data'!A:CA,C26+4,FALSE)=" "," ",VLOOKUP('Hide - Control'!A$3,'All practice data'!A:CA,C26+4,FALSE))</f>
        <v>23</v>
      </c>
      <c r="H26" s="118">
        <f>IF(VLOOKUP('Hide - Control'!A$3,'All practice data'!A:CA,C26+30,FALSE)=" "," ",VLOOKUP('Hide - Control'!A$3,'All practice data'!A:CA,C26+30,FALSE))</f>
        <v>0.2608695652173913</v>
      </c>
      <c r="I26" s="119">
        <f>IF(OR(LEFT(G26,1)=" ",LEFT(G25,1)=" ")," n/a",IF(G26=0," n/a",+((2*G25+1.96^2-1.96*SQRT(1.96^2+4*G25*(1-G25/G26)))/(2*(G26+1.96^2)))))</f>
        <v>0.12548445889248963</v>
      </c>
      <c r="J26" s="119">
        <f>IF(OR(LEFT(G26,1)=" ",LEFT(G25,1)=" ")," n/a",IF(G26=0," n/a",+((2*G25+1.96^2+1.96*SQRT(1.96^2+4*G25*(1-G25/G26)))/(2*(G26+1.96^2)))))</f>
        <v>0.4647039054375056</v>
      </c>
      <c r="K26" s="124">
        <f>IF('Hide - Calculation'!N20="","",'Hide - Calculation'!N20)</f>
        <v>0.49178532311062434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87.5%</v>
      </c>
      <c r="AB26" s="231" t="s">
        <v>26</v>
      </c>
      <c r="AC26" s="130" t="s">
        <v>782</v>
      </c>
    </row>
    <row r="27" spans="2:29" s="63" customFormat="1" ht="33.75" customHeight="1">
      <c r="B27" s="327"/>
      <c r="C27" s="136">
        <v>15</v>
      </c>
      <c r="D27" s="146" t="s">
        <v>158</v>
      </c>
      <c r="E27" s="85"/>
      <c r="F27" s="85"/>
      <c r="G27" s="120">
        <f>IF(VLOOKUP('Hide - Control'!A$3,'All practice data'!A:CA,C27+4,FALSE)=" "," ",VLOOKUP('Hide - Control'!A$3,'All practice data'!A:CA,C27+4,FALSE))</f>
        <v>10</v>
      </c>
      <c r="H27" s="121">
        <f>IF(VLOOKUP('Hide - Control'!A$3,'All practice data'!A:CA,C27+30,FALSE)=" "," ",VLOOKUP('Hide - Control'!A$3,'All practice data'!A:CA,C27+30,FALSE))</f>
        <v>162.73393002441009</v>
      </c>
      <c r="I27" s="122">
        <f>IF(LEFT(G27,1)=" "," n/a",IF(G27&lt;5,100000*VLOOKUP(G27,'Hide - Calculation'!AQ:AR,2,FALSE)/$E$8,100000*(G27*(1-1/(9*G27)-1.96/(3*SQRT(G27)))^3)/$E$8))</f>
        <v>77.90691969948904</v>
      </c>
      <c r="J27" s="122">
        <f>IF(LEFT(G27,1)=" "," n/a",IF(G27&lt;5,100000*VLOOKUP(G27,'Hide - Calculation'!AQ:AS,3,FALSE)/$E$8,100000*((G27+1)*(1-1/(9*(G27+1))+1.96/(3*SQRT(G27+1)))^3)/$E$8))</f>
        <v>299.29417207567974</v>
      </c>
      <c r="K27" s="121">
        <f>IF('Hide - Calculation'!N21="","",'Hide - Calculation'!N21)</f>
        <v>239.698807780799</v>
      </c>
      <c r="L27" s="155">
        <f>'Hide - Calculation'!O21</f>
        <v>371.7205735004512</v>
      </c>
      <c r="M27" s="147" t="str">
        <f>IF(ISBLANK('Hide - Calculation'!K21),"",FIXED('Hide - Calculation'!U21,0))</f>
        <v>73</v>
      </c>
      <c r="N27" s="86"/>
      <c r="O27" s="87"/>
      <c r="P27" s="87"/>
      <c r="Q27" s="87"/>
      <c r="R27" s="84"/>
      <c r="S27" s="84"/>
      <c r="T27" s="84"/>
      <c r="U27" s="84"/>
      <c r="V27" s="84"/>
      <c r="W27" s="84"/>
      <c r="X27" s="84"/>
      <c r="Y27" s="84"/>
      <c r="Z27" s="88"/>
      <c r="AA27" s="147" t="str">
        <f>IF(ISBLANK('Hide - Calculation'!K21),"",FIXED('Hide - Calculation'!T21,0))</f>
        <v>714</v>
      </c>
      <c r="AB27" s="231" t="s">
        <v>26</v>
      </c>
      <c r="AC27" s="130" t="s">
        <v>782</v>
      </c>
    </row>
    <row r="28" spans="2:29" s="63" customFormat="1" ht="33.75" customHeight="1">
      <c r="B28" s="327"/>
      <c r="C28" s="136">
        <v>16</v>
      </c>
      <c r="D28" s="146" t="s">
        <v>159</v>
      </c>
      <c r="E28" s="85"/>
      <c r="F28" s="85"/>
      <c r="G28" s="120">
        <f>IF(VLOOKUP('Hide - Control'!A$3,'All practice data'!A:CA,C28+4,FALSE)=" "," ",VLOOKUP('Hide - Control'!A$3,'All practice data'!A:CA,C28+4,FALSE))</f>
        <v>20</v>
      </c>
      <c r="H28" s="121">
        <f>IF(VLOOKUP('Hide - Control'!A$3,'All practice data'!A:CA,C28+30,FALSE)=" "," ",VLOOKUP('Hide - Control'!A$3,'All practice data'!A:CA,C28+30,FALSE))</f>
        <v>325.46786004882017</v>
      </c>
      <c r="I28" s="122">
        <f>IF(LEFT(G28,1)=" "," n/a",IF(G28&lt;5,100000*VLOOKUP(G28,'Hide - Calculation'!AQ:AR,2,FALSE)/$E$8,100000*(G28*(1-1/(9*G28)-1.96/(3*SQRT(G28)))^3)/$E$8))</f>
        <v>198.71949413141655</v>
      </c>
      <c r="J28" s="122">
        <f>IF(LEFT(G28,1)=" "," n/a",IF(G28&lt;5,100000*VLOOKUP(G28,'Hide - Calculation'!AQ:AS,3,FALSE)/$E$8,100000*((G28+1)*(1-1/(9*(G28+1))+1.96/(3*SQRT(G28+1)))^3)/$E$8))</f>
        <v>502.6866368799494</v>
      </c>
      <c r="K28" s="121">
        <f>IF('Hide - Calculation'!N22="","",'Hide - Calculation'!N22)</f>
        <v>235.93390504078644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597</v>
      </c>
      <c r="AB28" s="231" t="s">
        <v>26</v>
      </c>
      <c r="AC28" s="130" t="s">
        <v>782</v>
      </c>
    </row>
    <row r="29" spans="2:29" s="63" customFormat="1" ht="33.75" customHeight="1">
      <c r="B29" s="327"/>
      <c r="C29" s="136">
        <v>17</v>
      </c>
      <c r="D29" s="146" t="s">
        <v>160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76.55302238025517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194</v>
      </c>
      <c r="AB29" s="231" t="s">
        <v>26</v>
      </c>
      <c r="AC29" s="130" t="s">
        <v>782</v>
      </c>
    </row>
    <row r="30" spans="2:29" s="63" customFormat="1" ht="33.75" customHeight="1" thickBot="1">
      <c r="B30" s="328"/>
      <c r="C30" s="179">
        <v>18</v>
      </c>
      <c r="D30" s="180" t="s">
        <v>161</v>
      </c>
      <c r="E30" s="181"/>
      <c r="F30" s="181"/>
      <c r="G30" s="182">
        <f>IF(VLOOKUP('Hide - Control'!A$3,'All practice data'!A:CA,C30+4,FALSE)=" "," ",VLOOKUP('Hide - Control'!A$3,'All practice data'!A:CA,C30+4,FALSE))</f>
        <v>15</v>
      </c>
      <c r="H30" s="183">
        <f>IF(VLOOKUP('Hide - Control'!A$3,'All practice data'!A:CA,C30+30,FALSE)=" "," ",VLOOKUP('Hide - Control'!A$3,'All practice data'!A:CA,C30+30,FALSE))</f>
        <v>244.10089503661513</v>
      </c>
      <c r="I30" s="184">
        <f>IF(LEFT(G30,1)=" "," n/a",IF(G30&lt;5,100000*VLOOKUP(G30,'Hide - Calculation'!AQ:AR,2,FALSE)/$E$8,100000*(G30*(1-1/(9*G30)-1.96/(3*SQRT(G30)))^3)/$E$8))</f>
        <v>136.52024941776128</v>
      </c>
      <c r="J30" s="184">
        <f>IF(LEFT(G30,1)=" "," n/a",IF(G30&lt;5,100000*VLOOKUP(G30,'Hide - Calculation'!AQ:AS,3,FALSE)/$E$8,100000*((G30+1)*(1-1/(9*(G30+1))+1.96/(3*SQRT(G30+1)))^3)/$E$8))</f>
        <v>402.6334253427403</v>
      </c>
      <c r="K30" s="183">
        <f>IF('Hide - Calculation'!N24="","",'Hide - Calculation'!N24)</f>
        <v>274.00125496758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629</v>
      </c>
      <c r="AB30" s="232" t="s">
        <v>26</v>
      </c>
      <c r="AC30" s="188" t="s">
        <v>782</v>
      </c>
    </row>
    <row r="31" spans="2:29" s="63" customFormat="1" ht="33.75" customHeight="1">
      <c r="B31" s="329" t="s">
        <v>106</v>
      </c>
      <c r="C31" s="162">
        <v>19</v>
      </c>
      <c r="D31" s="163" t="s">
        <v>110</v>
      </c>
      <c r="E31" s="164"/>
      <c r="F31" s="164"/>
      <c r="G31" s="165">
        <f>IF(VLOOKUP('Hide - Control'!A$3,'All practice data'!A:CA,C31+4,FALSE)=" "," ",VLOOKUP('Hide - Control'!A$3,'All practice data'!A:CA,C31+4,FALSE))</f>
        <v>28</v>
      </c>
      <c r="H31" s="166">
        <f>IF(VLOOKUP('Hide - Control'!A$3,'All practice data'!A:CA,C31+30,FALSE)=" "," ",VLOOKUP('Hide - Control'!A$3,'All practice data'!A:CA,C31+30,FALSE))</f>
        <v>455.65500406834826</v>
      </c>
      <c r="I31" s="167">
        <f>IF(LEFT(G31,1)=" "," n/a",IF(G31&lt;5,100000*VLOOKUP(G31,'Hide - Calculation'!AQ:AR,2,FALSE)/$E$8,100000*(G31*(1-1/(9*G31)-1.96/(3*SQRT(G31)))^3)/$E$8))</f>
        <v>302.71019572924286</v>
      </c>
      <c r="J31" s="167">
        <f>IF(LEFT(G31,1)=" "," n/a",IF(G31&lt;5,100000*VLOOKUP(G31,'Hide - Calculation'!AQ:AS,3,FALSE)/$E$8,100000*((G31+1)*(1-1/(9*(G31+1))+1.96/(3*SQRT(G31+1)))^3)/$E$8))</f>
        <v>658.5769203420032</v>
      </c>
      <c r="K31" s="166">
        <f>IF('Hide - Calculation'!N25="","",'Hide - Calculation'!N25)</f>
        <v>471.0311650282368</v>
      </c>
      <c r="L31" s="168">
        <f>'Hide - Calculation'!O25</f>
        <v>623.2878522577265</v>
      </c>
      <c r="M31" s="169" t="str">
        <f>IF(ISBLANK('Hide - Calculation'!K25),"",FIXED('Hide - Calculation'!U25,0))</f>
        <v>177</v>
      </c>
      <c r="N31" s="170"/>
      <c r="O31" s="171"/>
      <c r="P31" s="171"/>
      <c r="Q31" s="171"/>
      <c r="R31" s="172"/>
      <c r="S31" s="172"/>
      <c r="T31" s="172"/>
      <c r="U31" s="172"/>
      <c r="V31" s="172"/>
      <c r="W31" s="172"/>
      <c r="X31" s="172"/>
      <c r="Y31" s="172"/>
      <c r="Z31" s="173"/>
      <c r="AA31" s="169" t="str">
        <f>IF(ISBLANK('Hide - Calculation'!K25),"",FIXED('Hide - Calculation'!T25,0))</f>
        <v>935</v>
      </c>
      <c r="AB31" s="230" t="s">
        <v>47</v>
      </c>
      <c r="AC31" s="174" t="s">
        <v>782</v>
      </c>
    </row>
    <row r="32" spans="2:29" s="63" customFormat="1" ht="33.75" customHeight="1">
      <c r="B32" s="330"/>
      <c r="C32" s="136">
        <v>20</v>
      </c>
      <c r="D32" s="131" t="s">
        <v>111</v>
      </c>
      <c r="E32" s="85"/>
      <c r="F32" s="85"/>
      <c r="G32" s="120">
        <f>IF(VLOOKUP('Hide - Control'!A$3,'All practice data'!A:CA,C32+4,FALSE)=" "," ",VLOOKUP('Hide - Control'!A$3,'All practice data'!A:CA,C32+4,FALSE))</f>
        <v>40</v>
      </c>
      <c r="H32" s="121">
        <f>IF(VLOOKUP('Hide - Control'!A$3,'All practice data'!A:CA,C32+30,FALSE)=" "," ",VLOOKUP('Hide - Control'!A$3,'All practice data'!A:CA,C32+30,FALSE))</f>
        <v>650.9357200976403</v>
      </c>
      <c r="I32" s="122">
        <f>IF(LEFT(G32,1)=" "," n/a",IF(G32&lt;5,100000*VLOOKUP(G32,'Hide - Calculation'!AQ:AR,2,FALSE)/$E$8,100000*(G32*(1-1/(9*G32)-1.96/(3*SQRT(G32)))^3)/$E$8))</f>
        <v>464.98157602558064</v>
      </c>
      <c r="J32" s="122">
        <f>IF(LEFT(G32,1)=" "," n/a",IF(G32&lt;5,100000*VLOOKUP(G32,'Hide - Calculation'!AQ:AS,3,FALSE)/$E$8,100000*((G32+1)*(1-1/(9*(G32+1))+1.96/(3*SQRT(G32+1)))^3)/$E$8))</f>
        <v>886.4178684508727</v>
      </c>
      <c r="K32" s="121">
        <f>IF('Hide - Calculation'!N26="","",'Hide - Calculation'!N26)</f>
        <v>399.0796904413303</v>
      </c>
      <c r="L32" s="155">
        <f>'Hide - Calculation'!O26</f>
        <v>432.5467854266958</v>
      </c>
      <c r="M32" s="147" t="str">
        <f>IF(ISBLANK('Hide - Calculation'!K26),"",FIXED('Hide - Calculation'!U26,0))</f>
        <v>89</v>
      </c>
      <c r="N32" s="86"/>
      <c r="O32" s="87"/>
      <c r="P32" s="87"/>
      <c r="Q32" s="87"/>
      <c r="R32" s="84"/>
      <c r="S32" s="84"/>
      <c r="T32" s="84"/>
      <c r="U32" s="84"/>
      <c r="V32" s="84"/>
      <c r="W32" s="84"/>
      <c r="X32" s="84"/>
      <c r="Y32" s="84"/>
      <c r="Z32" s="88"/>
      <c r="AA32" s="147" t="str">
        <f>IF(ISBLANK('Hide - Calculation'!K26),"",FIXED('Hide - Calculation'!T26,0))</f>
        <v>745</v>
      </c>
      <c r="AB32" s="231" t="s">
        <v>47</v>
      </c>
      <c r="AC32" s="130" t="s">
        <v>782</v>
      </c>
    </row>
    <row r="33" spans="2:29" s="63" customFormat="1" ht="33.75" customHeight="1">
      <c r="B33" s="330"/>
      <c r="C33" s="136">
        <v>21</v>
      </c>
      <c r="D33" s="131" t="s">
        <v>113</v>
      </c>
      <c r="E33" s="85"/>
      <c r="F33" s="85"/>
      <c r="G33" s="120">
        <f>IF(VLOOKUP('Hide - Control'!A$3,'All practice data'!A:CA,C33+4,FALSE)=" "," ",VLOOKUP('Hide - Control'!A$3,'All practice data'!A:CA,C33+4,FALSE))</f>
        <v>73</v>
      </c>
      <c r="H33" s="121">
        <f>IF(VLOOKUP('Hide - Control'!A$3,'All practice data'!A:CA,C33+30,FALSE)=" "," ",VLOOKUP('Hide - Control'!A$3,'All practice data'!A:CA,C33+30,FALSE))</f>
        <v>1187.9576891781937</v>
      </c>
      <c r="I33" s="122">
        <f>IF(LEFT(G33,1)=" "," n/a",IF(G33&lt;5,100000*VLOOKUP(G33,'Hide - Calculation'!AQ:AR,2,FALSE)/$E$8,100000*(G33*(1-1/(9*G33)-1.96/(3*SQRT(G33)))^3)/$E$8))</f>
        <v>931.1279147084313</v>
      </c>
      <c r="J33" s="122">
        <f>IF(LEFT(G33,1)=" "," n/a",IF(G33&lt;5,100000*VLOOKUP(G33,'Hide - Calculation'!AQ:AS,3,FALSE)/$E$8,100000*((G33+1)*(1-1/(9*(G33+1))+1.96/(3*SQRT(G33+1)))^3)/$E$8))</f>
        <v>1493.7047833216338</v>
      </c>
      <c r="K33" s="121">
        <f>IF('Hide - Calculation'!N27="","",'Hide - Calculation'!N27)</f>
        <v>995.6076134699854</v>
      </c>
      <c r="L33" s="155">
        <f>'Hide - Calculation'!O27</f>
        <v>1003.4847591501348</v>
      </c>
      <c r="M33" s="147" t="str">
        <f>IF(ISBLANK('Hide - Calculation'!K27),"",FIXED('Hide - Calculation'!U27,0))</f>
        <v>197</v>
      </c>
      <c r="N33" s="86"/>
      <c r="O33" s="87"/>
      <c r="P33" s="87"/>
      <c r="Q33" s="87"/>
      <c r="R33" s="84"/>
      <c r="S33" s="84"/>
      <c r="T33" s="84"/>
      <c r="U33" s="84"/>
      <c r="V33" s="84"/>
      <c r="W33" s="84"/>
      <c r="X33" s="84"/>
      <c r="Y33" s="84"/>
      <c r="Z33" s="88"/>
      <c r="AA33" s="147" t="str">
        <f>IF(ISBLANK('Hide - Calculation'!K27),"",FIXED('Hide - Calculation'!T27,0))</f>
        <v>1,313</v>
      </c>
      <c r="AB33" s="231" t="s">
        <v>47</v>
      </c>
      <c r="AC33" s="130" t="s">
        <v>782</v>
      </c>
    </row>
    <row r="34" spans="2:29" s="63" customFormat="1" ht="33.75" customHeight="1">
      <c r="B34" s="330"/>
      <c r="C34" s="136">
        <v>22</v>
      </c>
      <c r="D34" s="131" t="s">
        <v>112</v>
      </c>
      <c r="E34" s="85"/>
      <c r="F34" s="85"/>
      <c r="G34" s="117">
        <f>IF(VLOOKUP('Hide - Control'!A$3,'All practice data'!A:CA,C34+4,FALSE)=" "," ",VLOOKUP('Hide - Control'!A$3,'All practice data'!A:CA,C34+4,FALSE))</f>
        <v>36</v>
      </c>
      <c r="H34" s="121">
        <f>IF(VLOOKUP('Hide - Control'!A$3,'All practice data'!A:CA,C34+30,FALSE)=" "," ",VLOOKUP('Hide - Control'!A$3,'All practice data'!A:CA,C34+30,FALSE))</f>
        <v>585.8421480878764</v>
      </c>
      <c r="I34" s="122">
        <f>IF(LEFT(G34,1)=" "," n/a",IF(G34&lt;5,100000*VLOOKUP(G34,'Hide - Calculation'!AQ:AR,2,FALSE)/$E$8,100000*(G34*(1-1/(9*G34)-1.96/(3*SQRT(G34)))^3)/$E$8))</f>
        <v>410.2567523916953</v>
      </c>
      <c r="J34" s="122">
        <f>IF(LEFT(G34,1)=" "," n/a",IF(G34&lt;5,100000*VLOOKUP(G34,'Hide - Calculation'!AQ:AS,3,FALSE)/$E$8,100000*((G34+1)*(1-1/(9*(G34+1))+1.96/(3*SQRT(G34+1)))^3)/$E$8))</f>
        <v>811.0808455853332</v>
      </c>
      <c r="K34" s="121">
        <f>IF('Hide - Calculation'!N28="","",'Hide - Calculation'!N28)</f>
        <v>583.1416021752772</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1,316</v>
      </c>
      <c r="AB34" s="231" t="s">
        <v>47</v>
      </c>
      <c r="AC34" s="130" t="s">
        <v>786</v>
      </c>
    </row>
    <row r="35" spans="2:29" s="63" customFormat="1" ht="33.75" customHeight="1">
      <c r="B35" s="330"/>
      <c r="C35" s="136">
        <v>23</v>
      </c>
      <c r="D35" s="137" t="s">
        <v>162</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0.20689655172413793</v>
      </c>
      <c r="I35" s="141">
        <f>IF(OR(SUM(G$35:$G37)=0,LEFT(G35,1)=" ")," n/a",+((2*G35+1.96^2-1.96*SQRT(1.96^2+4*G35*(1-G35/SUM(G$35:G$37))))/(2*(SUM(G$35:G$37)+1.96^2))))</f>
        <v>0.09845936515585209</v>
      </c>
      <c r="J35" s="141">
        <f>IF(OR(SUM(G$35:$G37)=0,LEFT(G35,1)=" ")," n/a",+((2*G35+1.96^2+1.96*SQRT(1.96^2+4*G35*(1-G35/SUM(G$35:G$37))))/(2*(SUM(G$35:G$37)+1.96^2))))</f>
        <v>0.3839044660825772</v>
      </c>
      <c r="K35" s="142">
        <f>IF('Hide - Calculation'!N29="","",'Hide - Calculation'!N29)</f>
        <v>0.2513812154696133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100.0%</v>
      </c>
      <c r="AB35" s="231" t="s">
        <v>99</v>
      </c>
      <c r="AC35" s="130" t="s">
        <v>787</v>
      </c>
    </row>
    <row r="36" spans="2:29" ht="33.75" customHeight="1">
      <c r="B36" s="327"/>
      <c r="C36" s="136">
        <v>24</v>
      </c>
      <c r="D36" s="222" t="s">
        <v>163</v>
      </c>
      <c r="E36" s="144"/>
      <c r="F36" s="144"/>
      <c r="G36" s="123">
        <f>IF(VLOOKUP('Hide - Control'!A$3,'All practice data'!A:CA,C36+4,FALSE)=" "," ",VLOOKUP('Hide - Control'!A$3,'All practice data'!A:CA,C36+4,FALSE))</f>
        <v>15</v>
      </c>
      <c r="H36" s="145">
        <f>IF(OR(VLOOKUP('Hide - Control'!A$3,'All practice data'!A:CA,C36+30,FALSE)=" ",SUM(G35:G37)=0)," n/a",VLOOKUP('Hide - Control'!A$3,'All practice data'!A:CA,C36+30,FALSE))</f>
        <v>0.5172413793103449</v>
      </c>
      <c r="I36" s="119">
        <f>IF(OR(SUM(G$35:$G37)=0,LEFT(G36,1)=" ")," n/a",+((2*G36+1.96^2-1.96*SQRT(1.96^2+4*G36*(1-G36/SUM(G$35:G$37))))/(2*(SUM(G$35:G$37)+1.96^2))))</f>
        <v>0.3443073797056916</v>
      </c>
      <c r="J36" s="119">
        <f>IF(OR(SUM(G$35:$G37)=0,LEFT(G36,1)=" ")," n/a",+((2*G36+1.96^2+1.96*SQRT(1.96^2+4*G36*(1-G36/SUM(G$35:G$37))))/(2*(SUM(G$35:G$37)+1.96^2))))</f>
        <v>0.6861418066920479</v>
      </c>
      <c r="K36" s="145">
        <f>IF('Hide - Calculation'!N30="","",'Hide - Calculation'!N30)</f>
        <v>0.48987108655616945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62.9%</v>
      </c>
      <c r="AB36" s="231" t="s">
        <v>99</v>
      </c>
      <c r="AC36" s="130" t="s">
        <v>787</v>
      </c>
    </row>
    <row r="37" spans="2:29" ht="33.75" customHeight="1" thickBot="1">
      <c r="B37" s="331"/>
      <c r="C37" s="175">
        <v>25</v>
      </c>
      <c r="D37" s="176" t="s">
        <v>114</v>
      </c>
      <c r="E37" s="177"/>
      <c r="F37" s="177"/>
      <c r="G37" s="125">
        <f>IF(VLOOKUP('Hide - Control'!A$3,'All practice data'!A:CA,C37+4,FALSE)=" "," ",VLOOKUP('Hide - Control'!A$3,'All practice data'!A:CA,C37+4,FALSE))</f>
        <v>8</v>
      </c>
      <c r="H37" s="126">
        <f>IF(OR(VLOOKUP('Hide - Control'!A$3,'All practice data'!A:CA,C37+30,FALSE)=" ",SUM(G35:G37)=0)," n/a",VLOOKUP('Hide - Control'!A$3,'All practice data'!A:CA,C37+30,FALSE))</f>
        <v>0.27586206896551724</v>
      </c>
      <c r="I37" s="143">
        <f>IF(OR(SUM(G$35:$G37)=0,LEFT(G37,1)=" ")," n/a",+((2*G37+1.96^2-1.96*SQRT(1.96^2+4*G37*(1-G37/SUM(G$35:G$37))))/(2*(SUM(G$35:G$37)+1.96^2))))</f>
        <v>0.14698581338502748</v>
      </c>
      <c r="J37" s="143">
        <f>IF(OR(SUM(G$35:$G37)=0,LEFT(G37,1)=" ")," n/a",+((2*G37+1.96^2+1.96*SQRT(1.96^2+4*G37*(1-G37/SUM(G$35:G$37))))/(2*(SUM(G$35:G$37)+1.96^2))))</f>
        <v>0.45717476344435964</v>
      </c>
      <c r="K37" s="126">
        <f>IF('Hide - Calculation'!N31="","",'Hide - Calculation'!N31)</f>
        <v>0.2587476979742173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41.9%</v>
      </c>
      <c r="AB37" s="233" t="s">
        <v>99</v>
      </c>
      <c r="AC37" s="148" t="s">
        <v>787</v>
      </c>
    </row>
    <row r="38" spans="2:29" ht="23.25" customHeight="1">
      <c r="B38" s="69"/>
      <c r="C38" s="69"/>
      <c r="D38" s="65" t="s">
        <v>97</v>
      </c>
      <c r="E38" s="303" t="s">
        <v>791</v>
      </c>
      <c r="F38" s="303"/>
      <c r="G38" s="303"/>
      <c r="H38" s="303"/>
      <c r="I38" s="110"/>
      <c r="J38" s="299" t="s">
        <v>804</v>
      </c>
      <c r="K38" s="92"/>
      <c r="L38" s="110"/>
      <c r="M38" s="65"/>
      <c r="N38" s="65"/>
      <c r="O38" s="65"/>
      <c r="P38" s="65"/>
      <c r="Q38" s="65"/>
      <c r="R38" s="66"/>
      <c r="S38" s="66"/>
      <c r="T38" s="66"/>
      <c r="U38" s="66"/>
      <c r="V38" s="66"/>
      <c r="W38" s="66"/>
      <c r="X38" s="66"/>
      <c r="Y38" s="66"/>
      <c r="Z38" s="66"/>
      <c r="AA38" s="66"/>
      <c r="AB38" s="82"/>
      <c r="AC38" s="83"/>
    </row>
    <row r="39" spans="2:29" ht="23.25" customHeight="1">
      <c r="B39" s="242" t="s">
        <v>789</v>
      </c>
      <c r="C39" s="241"/>
      <c r="D39" s="241"/>
      <c r="E39" s="304"/>
      <c r="F39" s="304"/>
      <c r="G39" s="304"/>
      <c r="H39" s="304"/>
      <c r="I39" s="241"/>
      <c r="J39" s="299" t="s">
        <v>788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180</v>
      </c>
      <c r="BE2" s="342"/>
      <c r="BF2" s="342"/>
      <c r="BG2" s="342"/>
      <c r="BH2" s="342"/>
      <c r="BI2" s="342"/>
      <c r="BJ2" s="343"/>
    </row>
    <row r="3" spans="1:82" s="72" customFormat="1" ht="76.5" customHeight="1">
      <c r="A3" s="263" t="s">
        <v>51</v>
      </c>
      <c r="B3" s="272" t="s">
        <v>52</v>
      </c>
      <c r="C3" s="273" t="s">
        <v>49</v>
      </c>
      <c r="D3" s="271" t="s">
        <v>802</v>
      </c>
      <c r="E3" s="264" t="s">
        <v>120</v>
      </c>
      <c r="F3" s="264" t="s">
        <v>803</v>
      </c>
      <c r="G3" s="264" t="s">
        <v>122</v>
      </c>
      <c r="H3" s="264" t="s">
        <v>123</v>
      </c>
      <c r="I3" s="264" t="s">
        <v>124</v>
      </c>
      <c r="J3" s="264" t="s">
        <v>187</v>
      </c>
      <c r="K3" s="264" t="s">
        <v>188</v>
      </c>
      <c r="L3" s="264" t="s">
        <v>189</v>
      </c>
      <c r="M3" s="264" t="s">
        <v>125</v>
      </c>
      <c r="N3" s="264" t="s">
        <v>126</v>
      </c>
      <c r="O3" s="264" t="s">
        <v>127</v>
      </c>
      <c r="P3" s="264" t="s">
        <v>179</v>
      </c>
      <c r="Q3" s="264" t="s">
        <v>128</v>
      </c>
      <c r="R3" s="264" t="s">
        <v>129</v>
      </c>
      <c r="S3" s="264" t="s">
        <v>130</v>
      </c>
      <c r="T3" s="264" t="s">
        <v>131</v>
      </c>
      <c r="U3" s="264" t="s">
        <v>132</v>
      </c>
      <c r="V3" s="264" t="s">
        <v>133</v>
      </c>
      <c r="W3" s="264" t="s">
        <v>134</v>
      </c>
      <c r="X3" s="264" t="s">
        <v>135</v>
      </c>
      <c r="Y3" s="264" t="s">
        <v>136</v>
      </c>
      <c r="Z3" s="264" t="s">
        <v>137</v>
      </c>
      <c r="AA3" s="264" t="s">
        <v>138</v>
      </c>
      <c r="AB3" s="264" t="s">
        <v>139</v>
      </c>
      <c r="AC3" s="264" t="s">
        <v>140</v>
      </c>
      <c r="AD3" s="265" t="s">
        <v>141</v>
      </c>
      <c r="AE3" s="265" t="s">
        <v>120</v>
      </c>
      <c r="AF3" s="266" t="s">
        <v>121</v>
      </c>
      <c r="AG3" s="265" t="s">
        <v>122</v>
      </c>
      <c r="AH3" s="265" t="s">
        <v>123</v>
      </c>
      <c r="AI3" s="265" t="s">
        <v>124</v>
      </c>
      <c r="AJ3" s="265" t="s">
        <v>187</v>
      </c>
      <c r="AK3" s="265" t="s">
        <v>188</v>
      </c>
      <c r="AL3" s="265" t="s">
        <v>189</v>
      </c>
      <c r="AM3" s="265" t="s">
        <v>125</v>
      </c>
      <c r="AN3" s="265" t="s">
        <v>126</v>
      </c>
      <c r="AO3" s="265" t="s">
        <v>127</v>
      </c>
      <c r="AP3" s="265" t="s">
        <v>179</v>
      </c>
      <c r="AQ3" s="265" t="s">
        <v>128</v>
      </c>
      <c r="AR3" s="265" t="s">
        <v>129</v>
      </c>
      <c r="AS3" s="265" t="s">
        <v>130</v>
      </c>
      <c r="AT3" s="265" t="s">
        <v>131</v>
      </c>
      <c r="AU3" s="265" t="s">
        <v>132</v>
      </c>
      <c r="AV3" s="265" t="s">
        <v>133</v>
      </c>
      <c r="AW3" s="265" t="s">
        <v>134</v>
      </c>
      <c r="AX3" s="265" t="s">
        <v>135</v>
      </c>
      <c r="AY3" s="267" t="s">
        <v>136</v>
      </c>
      <c r="AZ3" s="268" t="s">
        <v>137</v>
      </c>
      <c r="BA3" s="268" t="s">
        <v>138</v>
      </c>
      <c r="BB3" s="268" t="s">
        <v>139</v>
      </c>
      <c r="BC3" s="269" t="s">
        <v>140</v>
      </c>
      <c r="BD3" s="270" t="s">
        <v>177</v>
      </c>
      <c r="BE3" s="270" t="s">
        <v>178</v>
      </c>
      <c r="BF3" s="270" t="s">
        <v>183</v>
      </c>
      <c r="BG3" s="270" t="s">
        <v>184</v>
      </c>
      <c r="BH3" s="270" t="s">
        <v>182</v>
      </c>
      <c r="BI3" s="270" t="s">
        <v>185</v>
      </c>
      <c r="BJ3" s="270" t="s">
        <v>186</v>
      </c>
      <c r="BK3" s="73"/>
      <c r="BL3" s="73"/>
      <c r="BM3" s="73"/>
      <c r="BN3" s="73"/>
      <c r="BO3" s="73"/>
      <c r="BP3" s="73"/>
      <c r="BQ3" s="73"/>
      <c r="BR3" s="73"/>
      <c r="BS3" s="73"/>
      <c r="BT3" s="73"/>
      <c r="BU3" s="73"/>
      <c r="BV3" s="73"/>
      <c r="BW3" s="73"/>
      <c r="BX3" s="73"/>
      <c r="BY3" s="73"/>
      <c r="BZ3" s="73"/>
      <c r="CA3" s="73"/>
      <c r="CB3" s="73"/>
      <c r="CC3" s="73"/>
      <c r="CD3" s="73"/>
    </row>
    <row r="4" spans="1:66" ht="12.75">
      <c r="A4" s="79" t="s">
        <v>382</v>
      </c>
      <c r="B4" s="79" t="s">
        <v>64</v>
      </c>
      <c r="C4" s="79" t="s">
        <v>380</v>
      </c>
      <c r="D4" s="99">
        <v>6145</v>
      </c>
      <c r="E4" s="99">
        <v>1086</v>
      </c>
      <c r="F4" s="99" t="s">
        <v>115</v>
      </c>
      <c r="G4" s="99">
        <v>23</v>
      </c>
      <c r="H4" s="99">
        <v>14</v>
      </c>
      <c r="I4" s="99">
        <v>110</v>
      </c>
      <c r="J4" s="99">
        <v>575</v>
      </c>
      <c r="K4" s="99">
        <v>562</v>
      </c>
      <c r="L4" s="99">
        <v>1249</v>
      </c>
      <c r="M4" s="99">
        <v>426</v>
      </c>
      <c r="N4" s="99">
        <v>206</v>
      </c>
      <c r="O4" s="99">
        <v>86</v>
      </c>
      <c r="P4" s="158">
        <v>86</v>
      </c>
      <c r="Q4" s="99">
        <v>6</v>
      </c>
      <c r="R4" s="99">
        <v>23</v>
      </c>
      <c r="S4" s="99">
        <v>10</v>
      </c>
      <c r="T4" s="99">
        <v>20</v>
      </c>
      <c r="U4" s="99" t="s">
        <v>792</v>
      </c>
      <c r="V4" s="99">
        <v>15</v>
      </c>
      <c r="W4" s="99">
        <v>28</v>
      </c>
      <c r="X4" s="99">
        <v>40</v>
      </c>
      <c r="Y4" s="99">
        <v>73</v>
      </c>
      <c r="Z4" s="99">
        <v>36</v>
      </c>
      <c r="AA4" s="99">
        <v>6</v>
      </c>
      <c r="AB4" s="99">
        <v>15</v>
      </c>
      <c r="AC4" s="99">
        <v>8</v>
      </c>
      <c r="AD4" s="98" t="s">
        <v>97</v>
      </c>
      <c r="AE4" s="100">
        <v>0.17672904800650935</v>
      </c>
      <c r="AF4" s="100">
        <v>0.18</v>
      </c>
      <c r="AG4" s="98">
        <v>374.2880390561432</v>
      </c>
      <c r="AH4" s="98">
        <v>227.82750203417413</v>
      </c>
      <c r="AI4" s="100">
        <v>0.0179</v>
      </c>
      <c r="AJ4" s="100">
        <v>0.752618</v>
      </c>
      <c r="AK4" s="100">
        <v>0.757412</v>
      </c>
      <c r="AL4" s="100">
        <v>0.802699</v>
      </c>
      <c r="AM4" s="100">
        <v>0.632987</v>
      </c>
      <c r="AN4" s="100">
        <v>0.611276</v>
      </c>
      <c r="AO4" s="98">
        <v>1399.5117982099268</v>
      </c>
      <c r="AP4" s="157">
        <v>0.6817</v>
      </c>
      <c r="AQ4" s="100">
        <v>0.06976744186046512</v>
      </c>
      <c r="AR4" s="100">
        <v>0.2608695652173913</v>
      </c>
      <c r="AS4" s="98">
        <v>162.73393002441009</v>
      </c>
      <c r="AT4" s="98">
        <v>325.46786004882017</v>
      </c>
      <c r="AU4" s="98" t="s">
        <v>792</v>
      </c>
      <c r="AV4" s="98">
        <v>244.10089503661513</v>
      </c>
      <c r="AW4" s="98">
        <v>455.65500406834826</v>
      </c>
      <c r="AX4" s="98">
        <v>650.9357200976403</v>
      </c>
      <c r="AY4" s="98">
        <v>1187.9576891781937</v>
      </c>
      <c r="AZ4" s="98">
        <v>585.8421480878764</v>
      </c>
      <c r="BA4" s="100">
        <v>0.20689655172413793</v>
      </c>
      <c r="BB4" s="100">
        <v>0.5172413793103449</v>
      </c>
      <c r="BC4" s="100">
        <v>0.27586206896551724</v>
      </c>
      <c r="BD4" s="157">
        <v>0.5452</v>
      </c>
      <c r="BE4" s="157">
        <v>0.8419</v>
      </c>
      <c r="BF4" s="161">
        <v>764</v>
      </c>
      <c r="BG4" s="161">
        <v>742</v>
      </c>
      <c r="BH4" s="161">
        <v>1556</v>
      </c>
      <c r="BI4" s="161">
        <v>673</v>
      </c>
      <c r="BJ4" s="161">
        <v>337</v>
      </c>
      <c r="BK4" s="97"/>
      <c r="BL4" s="97"/>
      <c r="BM4" s="97"/>
      <c r="BN4" s="97"/>
    </row>
    <row r="5" spans="1:66" ht="12.75">
      <c r="A5" s="79" t="s">
        <v>381</v>
      </c>
      <c r="B5" s="79" t="s">
        <v>61</v>
      </c>
      <c r="C5" s="79" t="s">
        <v>380</v>
      </c>
      <c r="D5" s="99">
        <v>6353</v>
      </c>
      <c r="E5" s="99">
        <v>1042</v>
      </c>
      <c r="F5" s="99" t="s">
        <v>117</v>
      </c>
      <c r="G5" s="99">
        <v>33</v>
      </c>
      <c r="H5" s="99">
        <v>12</v>
      </c>
      <c r="I5" s="99">
        <v>88</v>
      </c>
      <c r="J5" s="99">
        <v>586</v>
      </c>
      <c r="K5" s="99">
        <v>7</v>
      </c>
      <c r="L5" s="99">
        <v>1357</v>
      </c>
      <c r="M5" s="99">
        <v>484</v>
      </c>
      <c r="N5" s="99">
        <v>254</v>
      </c>
      <c r="O5" s="99">
        <v>109</v>
      </c>
      <c r="P5" s="158">
        <v>109</v>
      </c>
      <c r="Q5" s="99">
        <v>16</v>
      </c>
      <c r="R5" s="99">
        <v>29</v>
      </c>
      <c r="S5" s="99">
        <v>26</v>
      </c>
      <c r="T5" s="99">
        <v>27</v>
      </c>
      <c r="U5" s="99" t="s">
        <v>792</v>
      </c>
      <c r="V5" s="99">
        <v>12</v>
      </c>
      <c r="W5" s="99">
        <v>35</v>
      </c>
      <c r="X5" s="99">
        <v>17</v>
      </c>
      <c r="Y5" s="99">
        <v>72</v>
      </c>
      <c r="Z5" s="99">
        <v>42</v>
      </c>
      <c r="AA5" s="99" t="s">
        <v>792</v>
      </c>
      <c r="AB5" s="99">
        <v>18</v>
      </c>
      <c r="AC5" s="99" t="s">
        <v>792</v>
      </c>
      <c r="AD5" s="98" t="s">
        <v>97</v>
      </c>
      <c r="AE5" s="100">
        <v>0.16401699984259405</v>
      </c>
      <c r="AF5" s="100">
        <v>0.1</v>
      </c>
      <c r="AG5" s="98">
        <v>519.4396348181962</v>
      </c>
      <c r="AH5" s="98">
        <v>188.8871399338895</v>
      </c>
      <c r="AI5" s="100">
        <v>0.0139</v>
      </c>
      <c r="AJ5" s="100">
        <v>0.708585</v>
      </c>
      <c r="AK5" s="100">
        <v>0.5</v>
      </c>
      <c r="AL5" s="100">
        <v>0.84601</v>
      </c>
      <c r="AM5" s="100">
        <v>0.621309</v>
      </c>
      <c r="AN5" s="100">
        <v>0.619512</v>
      </c>
      <c r="AO5" s="98">
        <v>1715.7248543994963</v>
      </c>
      <c r="AP5" s="157">
        <v>0.8323999999999999</v>
      </c>
      <c r="AQ5" s="100">
        <v>0.14678899082568808</v>
      </c>
      <c r="AR5" s="100">
        <v>0.5517241379310345</v>
      </c>
      <c r="AS5" s="98">
        <v>409.2554698567606</v>
      </c>
      <c r="AT5" s="98">
        <v>424.9960648512514</v>
      </c>
      <c r="AU5" s="98" t="s">
        <v>792</v>
      </c>
      <c r="AV5" s="98">
        <v>188.8871399338895</v>
      </c>
      <c r="AW5" s="98">
        <v>550.9208248071777</v>
      </c>
      <c r="AX5" s="98">
        <v>267.59011490634344</v>
      </c>
      <c r="AY5" s="98">
        <v>1133.3228396033371</v>
      </c>
      <c r="AZ5" s="98">
        <v>661.1049897686132</v>
      </c>
      <c r="BA5" s="100" t="s">
        <v>792</v>
      </c>
      <c r="BB5" s="100">
        <v>0.6206896551724138</v>
      </c>
      <c r="BC5" s="100" t="s">
        <v>792</v>
      </c>
      <c r="BD5" s="157">
        <v>0.6835</v>
      </c>
      <c r="BE5" s="157">
        <v>1.0041</v>
      </c>
      <c r="BF5" s="161">
        <v>827</v>
      </c>
      <c r="BG5" s="161">
        <v>14</v>
      </c>
      <c r="BH5" s="161">
        <v>1604</v>
      </c>
      <c r="BI5" s="161">
        <v>779</v>
      </c>
      <c r="BJ5" s="161">
        <v>410</v>
      </c>
      <c r="BK5" s="97"/>
      <c r="BL5" s="97"/>
      <c r="BM5" s="97"/>
      <c r="BN5" s="97"/>
    </row>
    <row r="6" spans="1:66" ht="12.75">
      <c r="A6" s="79" t="s">
        <v>193</v>
      </c>
      <c r="B6" s="79" t="s">
        <v>60</v>
      </c>
      <c r="C6" s="79" t="s">
        <v>380</v>
      </c>
      <c r="D6" s="99">
        <v>6296</v>
      </c>
      <c r="E6" s="99">
        <v>1045</v>
      </c>
      <c r="F6" s="99" t="s">
        <v>115</v>
      </c>
      <c r="G6" s="99">
        <v>25</v>
      </c>
      <c r="H6" s="99">
        <v>15</v>
      </c>
      <c r="I6" s="99">
        <v>120</v>
      </c>
      <c r="J6" s="99">
        <v>579</v>
      </c>
      <c r="K6" s="99">
        <v>565</v>
      </c>
      <c r="L6" s="99">
        <v>1234</v>
      </c>
      <c r="M6" s="99">
        <v>386</v>
      </c>
      <c r="N6" s="99">
        <v>190</v>
      </c>
      <c r="O6" s="99">
        <v>44</v>
      </c>
      <c r="P6" s="158">
        <v>44</v>
      </c>
      <c r="Q6" s="99">
        <v>18</v>
      </c>
      <c r="R6" s="99">
        <v>29</v>
      </c>
      <c r="S6" s="99" t="s">
        <v>792</v>
      </c>
      <c r="T6" s="99">
        <v>6</v>
      </c>
      <c r="U6" s="99">
        <v>6</v>
      </c>
      <c r="V6" s="99" t="s">
        <v>792</v>
      </c>
      <c r="W6" s="99">
        <v>15</v>
      </c>
      <c r="X6" s="99">
        <v>16</v>
      </c>
      <c r="Y6" s="99">
        <v>66</v>
      </c>
      <c r="Z6" s="99">
        <v>41</v>
      </c>
      <c r="AA6" s="99" t="s">
        <v>792</v>
      </c>
      <c r="AB6" s="99">
        <v>22</v>
      </c>
      <c r="AC6" s="99" t="s">
        <v>792</v>
      </c>
      <c r="AD6" s="98" t="s">
        <v>97</v>
      </c>
      <c r="AE6" s="100">
        <v>0.16597839898348157</v>
      </c>
      <c r="AF6" s="100">
        <v>0.17</v>
      </c>
      <c r="AG6" s="98">
        <v>397.0775095298602</v>
      </c>
      <c r="AH6" s="98">
        <v>238.24650571791614</v>
      </c>
      <c r="AI6" s="100">
        <v>0.0191</v>
      </c>
      <c r="AJ6" s="100">
        <v>0.792066</v>
      </c>
      <c r="AK6" s="100">
        <v>0.804843</v>
      </c>
      <c r="AL6" s="100">
        <v>0.79255</v>
      </c>
      <c r="AM6" s="100">
        <v>0.59845</v>
      </c>
      <c r="AN6" s="100">
        <v>0.612903</v>
      </c>
      <c r="AO6" s="98">
        <v>698.856416772554</v>
      </c>
      <c r="AP6" s="157">
        <v>0.3514</v>
      </c>
      <c r="AQ6" s="100">
        <v>0.4090909090909091</v>
      </c>
      <c r="AR6" s="100">
        <v>0.6206896551724138</v>
      </c>
      <c r="AS6" s="98" t="s">
        <v>792</v>
      </c>
      <c r="AT6" s="98">
        <v>95.29860228716646</v>
      </c>
      <c r="AU6" s="98">
        <v>95.29860228716646</v>
      </c>
      <c r="AV6" s="98" t="s">
        <v>792</v>
      </c>
      <c r="AW6" s="98">
        <v>238.24650571791614</v>
      </c>
      <c r="AX6" s="98">
        <v>254.12960609911056</v>
      </c>
      <c r="AY6" s="98">
        <v>1048.284625158831</v>
      </c>
      <c r="AZ6" s="98">
        <v>651.2071156289708</v>
      </c>
      <c r="BA6" s="100" t="s">
        <v>792</v>
      </c>
      <c r="BB6" s="100">
        <v>0.6285714285714286</v>
      </c>
      <c r="BC6" s="100" t="s">
        <v>792</v>
      </c>
      <c r="BD6" s="157">
        <v>0.2553</v>
      </c>
      <c r="BE6" s="157">
        <v>0.4717</v>
      </c>
      <c r="BF6" s="161">
        <v>731</v>
      </c>
      <c r="BG6" s="161">
        <v>702</v>
      </c>
      <c r="BH6" s="161">
        <v>1557</v>
      </c>
      <c r="BI6" s="161">
        <v>645</v>
      </c>
      <c r="BJ6" s="161">
        <v>310</v>
      </c>
      <c r="BK6" s="97"/>
      <c r="BL6" s="97"/>
      <c r="BM6" s="97"/>
      <c r="BN6" s="97"/>
    </row>
    <row r="7" spans="1:66" ht="12.75">
      <c r="A7" s="79" t="s">
        <v>191</v>
      </c>
      <c r="B7" s="79" t="s">
        <v>57</v>
      </c>
      <c r="C7" s="79" t="s">
        <v>380</v>
      </c>
      <c r="D7" s="99">
        <v>3685</v>
      </c>
      <c r="E7" s="99">
        <v>659</v>
      </c>
      <c r="F7" s="99" t="s">
        <v>119</v>
      </c>
      <c r="G7" s="99">
        <v>15</v>
      </c>
      <c r="H7" s="99">
        <v>10</v>
      </c>
      <c r="I7" s="99">
        <v>80</v>
      </c>
      <c r="J7" s="99">
        <v>400</v>
      </c>
      <c r="K7" s="99">
        <v>386</v>
      </c>
      <c r="L7" s="99">
        <v>797</v>
      </c>
      <c r="M7" s="99">
        <v>292</v>
      </c>
      <c r="N7" s="99">
        <v>139</v>
      </c>
      <c r="O7" s="99">
        <v>78</v>
      </c>
      <c r="P7" s="158">
        <v>78</v>
      </c>
      <c r="Q7" s="99" t="s">
        <v>792</v>
      </c>
      <c r="R7" s="99">
        <v>13</v>
      </c>
      <c r="S7" s="99">
        <v>8</v>
      </c>
      <c r="T7" s="99">
        <v>15</v>
      </c>
      <c r="U7" s="99" t="s">
        <v>792</v>
      </c>
      <c r="V7" s="99">
        <v>17</v>
      </c>
      <c r="W7" s="99">
        <v>32</v>
      </c>
      <c r="X7" s="99">
        <v>23</v>
      </c>
      <c r="Y7" s="99">
        <v>48</v>
      </c>
      <c r="Z7" s="99">
        <v>15</v>
      </c>
      <c r="AA7" s="99" t="s">
        <v>792</v>
      </c>
      <c r="AB7" s="99" t="s">
        <v>792</v>
      </c>
      <c r="AC7" s="99" t="s">
        <v>792</v>
      </c>
      <c r="AD7" s="98" t="s">
        <v>97</v>
      </c>
      <c r="AE7" s="100">
        <v>0.17883310719131615</v>
      </c>
      <c r="AF7" s="100">
        <v>0.08</v>
      </c>
      <c r="AG7" s="98">
        <v>407.05563093622794</v>
      </c>
      <c r="AH7" s="98">
        <v>271.37042062415196</v>
      </c>
      <c r="AI7" s="100">
        <v>0.0217</v>
      </c>
      <c r="AJ7" s="100">
        <v>0.814664</v>
      </c>
      <c r="AK7" s="100">
        <v>0.828326</v>
      </c>
      <c r="AL7" s="100">
        <v>0.851496</v>
      </c>
      <c r="AM7" s="100">
        <v>0.616034</v>
      </c>
      <c r="AN7" s="100">
        <v>0.588983</v>
      </c>
      <c r="AO7" s="98">
        <v>2116.689280868385</v>
      </c>
      <c r="AP7" s="157">
        <v>1.0006</v>
      </c>
      <c r="AQ7" s="100" t="s">
        <v>792</v>
      </c>
      <c r="AR7" s="100" t="s">
        <v>792</v>
      </c>
      <c r="AS7" s="98">
        <v>217.09633649932158</v>
      </c>
      <c r="AT7" s="98">
        <v>407.05563093622794</v>
      </c>
      <c r="AU7" s="98" t="s">
        <v>792</v>
      </c>
      <c r="AV7" s="98">
        <v>461.3297150610583</v>
      </c>
      <c r="AW7" s="98">
        <v>868.3853459972863</v>
      </c>
      <c r="AX7" s="98">
        <v>624.1519674355495</v>
      </c>
      <c r="AY7" s="98">
        <v>1302.5780189959294</v>
      </c>
      <c r="AZ7" s="98">
        <v>407.05563093622794</v>
      </c>
      <c r="BA7" s="100" t="s">
        <v>792</v>
      </c>
      <c r="BB7" s="100" t="s">
        <v>792</v>
      </c>
      <c r="BC7" s="100" t="s">
        <v>792</v>
      </c>
      <c r="BD7" s="157">
        <v>0.7909</v>
      </c>
      <c r="BE7" s="157">
        <v>1.2487000000000001</v>
      </c>
      <c r="BF7" s="161">
        <v>491</v>
      </c>
      <c r="BG7" s="161">
        <v>466</v>
      </c>
      <c r="BH7" s="161">
        <v>936</v>
      </c>
      <c r="BI7" s="161">
        <v>474</v>
      </c>
      <c r="BJ7" s="161">
        <v>236</v>
      </c>
      <c r="BK7" s="97"/>
      <c r="BL7" s="97"/>
      <c r="BM7" s="97"/>
      <c r="BN7" s="97"/>
    </row>
    <row r="8" spans="1:66" ht="12.75">
      <c r="A8" s="79" t="s">
        <v>385</v>
      </c>
      <c r="B8" s="79" t="s">
        <v>87</v>
      </c>
      <c r="C8" s="79" t="s">
        <v>380</v>
      </c>
      <c r="D8" s="99">
        <v>2249</v>
      </c>
      <c r="E8" s="99">
        <v>315</v>
      </c>
      <c r="F8" s="99" t="s">
        <v>115</v>
      </c>
      <c r="G8" s="99">
        <v>11</v>
      </c>
      <c r="H8" s="99">
        <v>6</v>
      </c>
      <c r="I8" s="99">
        <v>30</v>
      </c>
      <c r="J8" s="99">
        <v>149</v>
      </c>
      <c r="K8" s="99">
        <v>148</v>
      </c>
      <c r="L8" s="99">
        <v>347</v>
      </c>
      <c r="M8" s="99">
        <v>84</v>
      </c>
      <c r="N8" s="99">
        <v>48</v>
      </c>
      <c r="O8" s="99">
        <v>12</v>
      </c>
      <c r="P8" s="158">
        <v>12</v>
      </c>
      <c r="Q8" s="99" t="s">
        <v>792</v>
      </c>
      <c r="R8" s="99">
        <v>9</v>
      </c>
      <c r="S8" s="99" t="s">
        <v>792</v>
      </c>
      <c r="T8" s="99" t="s">
        <v>792</v>
      </c>
      <c r="U8" s="99" t="s">
        <v>792</v>
      </c>
      <c r="V8" s="99" t="s">
        <v>792</v>
      </c>
      <c r="W8" s="99">
        <v>7</v>
      </c>
      <c r="X8" s="99" t="s">
        <v>792</v>
      </c>
      <c r="Y8" s="99">
        <v>13</v>
      </c>
      <c r="Z8" s="99">
        <v>13</v>
      </c>
      <c r="AA8" s="99" t="s">
        <v>792</v>
      </c>
      <c r="AB8" s="99" t="s">
        <v>792</v>
      </c>
      <c r="AC8" s="99" t="s">
        <v>792</v>
      </c>
      <c r="AD8" s="98" t="s">
        <v>97</v>
      </c>
      <c r="AE8" s="100">
        <v>0.14006224988883947</v>
      </c>
      <c r="AF8" s="100">
        <v>0.18</v>
      </c>
      <c r="AG8" s="98">
        <v>489.10626945309025</v>
      </c>
      <c r="AH8" s="98">
        <v>266.7852378835038</v>
      </c>
      <c r="AI8" s="100">
        <v>0.013300000000000001</v>
      </c>
      <c r="AJ8" s="100">
        <v>0.712919</v>
      </c>
      <c r="AK8" s="100">
        <v>0.732673</v>
      </c>
      <c r="AL8" s="100">
        <v>0.675097</v>
      </c>
      <c r="AM8" s="100">
        <v>0.5</v>
      </c>
      <c r="AN8" s="100">
        <v>0.5</v>
      </c>
      <c r="AO8" s="98">
        <v>533.5704757670076</v>
      </c>
      <c r="AP8" s="157">
        <v>0.2888</v>
      </c>
      <c r="AQ8" s="100" t="s">
        <v>792</v>
      </c>
      <c r="AR8" s="100" t="s">
        <v>792</v>
      </c>
      <c r="AS8" s="98" t="s">
        <v>792</v>
      </c>
      <c r="AT8" s="98" t="s">
        <v>792</v>
      </c>
      <c r="AU8" s="98" t="s">
        <v>792</v>
      </c>
      <c r="AV8" s="98" t="s">
        <v>792</v>
      </c>
      <c r="AW8" s="98">
        <v>311.2494441974211</v>
      </c>
      <c r="AX8" s="98" t="s">
        <v>792</v>
      </c>
      <c r="AY8" s="98">
        <v>578.0346820809249</v>
      </c>
      <c r="AZ8" s="98">
        <v>578.0346820809249</v>
      </c>
      <c r="BA8" s="100" t="s">
        <v>792</v>
      </c>
      <c r="BB8" s="100" t="s">
        <v>792</v>
      </c>
      <c r="BC8" s="100" t="s">
        <v>792</v>
      </c>
      <c r="BD8" s="157">
        <v>0.1492</v>
      </c>
      <c r="BE8" s="157">
        <v>0.5045000000000001</v>
      </c>
      <c r="BF8" s="161">
        <v>209</v>
      </c>
      <c r="BG8" s="161">
        <v>202</v>
      </c>
      <c r="BH8" s="161">
        <v>514</v>
      </c>
      <c r="BI8" s="161">
        <v>168</v>
      </c>
      <c r="BJ8" s="161">
        <v>96</v>
      </c>
      <c r="BK8" s="97"/>
      <c r="BL8" s="97"/>
      <c r="BM8" s="97"/>
      <c r="BN8" s="97"/>
    </row>
    <row r="9" spans="1:66" ht="12.75">
      <c r="A9" s="79" t="s">
        <v>198</v>
      </c>
      <c r="B9" s="79" t="s">
        <v>69</v>
      </c>
      <c r="C9" s="79" t="s">
        <v>380</v>
      </c>
      <c r="D9" s="99">
        <v>7452</v>
      </c>
      <c r="E9" s="99">
        <v>1554</v>
      </c>
      <c r="F9" s="99" t="s">
        <v>117</v>
      </c>
      <c r="G9" s="99">
        <v>36</v>
      </c>
      <c r="H9" s="99">
        <v>13</v>
      </c>
      <c r="I9" s="99">
        <v>202</v>
      </c>
      <c r="J9" s="99">
        <v>867</v>
      </c>
      <c r="K9" s="99">
        <v>851</v>
      </c>
      <c r="L9" s="99">
        <v>1566</v>
      </c>
      <c r="M9" s="99">
        <v>660</v>
      </c>
      <c r="N9" s="99">
        <v>318</v>
      </c>
      <c r="O9" s="99">
        <v>158</v>
      </c>
      <c r="P9" s="158">
        <v>158</v>
      </c>
      <c r="Q9" s="99">
        <v>26</v>
      </c>
      <c r="R9" s="99">
        <v>50</v>
      </c>
      <c r="S9" s="99">
        <v>19</v>
      </c>
      <c r="T9" s="99">
        <v>28</v>
      </c>
      <c r="U9" s="99">
        <v>7</v>
      </c>
      <c r="V9" s="99">
        <v>17</v>
      </c>
      <c r="W9" s="99">
        <v>54</v>
      </c>
      <c r="X9" s="99">
        <v>32</v>
      </c>
      <c r="Y9" s="99">
        <v>88</v>
      </c>
      <c r="Z9" s="99">
        <v>47</v>
      </c>
      <c r="AA9" s="99" t="s">
        <v>792</v>
      </c>
      <c r="AB9" s="99">
        <v>20</v>
      </c>
      <c r="AC9" s="99" t="s">
        <v>792</v>
      </c>
      <c r="AD9" s="98" t="s">
        <v>97</v>
      </c>
      <c r="AE9" s="100">
        <v>0.20853462157809985</v>
      </c>
      <c r="AF9" s="100">
        <v>0.08</v>
      </c>
      <c r="AG9" s="98">
        <v>483.09178743961354</v>
      </c>
      <c r="AH9" s="98">
        <v>174.44981213097154</v>
      </c>
      <c r="AI9" s="100">
        <v>0.0271</v>
      </c>
      <c r="AJ9" s="100">
        <v>0.817925</v>
      </c>
      <c r="AK9" s="100">
        <v>0.828627</v>
      </c>
      <c r="AL9" s="100">
        <v>0.83431</v>
      </c>
      <c r="AM9" s="100">
        <v>0.654762</v>
      </c>
      <c r="AN9" s="100">
        <v>0.672304</v>
      </c>
      <c r="AO9" s="98">
        <v>2120.2361782071926</v>
      </c>
      <c r="AP9" s="157">
        <v>0.9404</v>
      </c>
      <c r="AQ9" s="100">
        <v>0.16455696202531644</v>
      </c>
      <c r="AR9" s="100">
        <v>0.52</v>
      </c>
      <c r="AS9" s="98">
        <v>254.9651100375738</v>
      </c>
      <c r="AT9" s="98">
        <v>375.7380568974772</v>
      </c>
      <c r="AU9" s="98">
        <v>93.9345142243693</v>
      </c>
      <c r="AV9" s="98">
        <v>228.12667740203972</v>
      </c>
      <c r="AW9" s="98">
        <v>724.6376811594203</v>
      </c>
      <c r="AX9" s="98">
        <v>429.41492216854533</v>
      </c>
      <c r="AY9" s="98">
        <v>1180.8910359634997</v>
      </c>
      <c r="AZ9" s="98">
        <v>630.703166935051</v>
      </c>
      <c r="BA9" s="100" t="s">
        <v>792</v>
      </c>
      <c r="BB9" s="100">
        <v>0.46511627906976744</v>
      </c>
      <c r="BC9" s="100" t="s">
        <v>792</v>
      </c>
      <c r="BD9" s="157">
        <v>0.7995</v>
      </c>
      <c r="BE9" s="157">
        <v>1.099</v>
      </c>
      <c r="BF9" s="161">
        <v>1060</v>
      </c>
      <c r="BG9" s="161">
        <v>1027</v>
      </c>
      <c r="BH9" s="161">
        <v>1877</v>
      </c>
      <c r="BI9" s="161">
        <v>1008</v>
      </c>
      <c r="BJ9" s="161">
        <v>473</v>
      </c>
      <c r="BK9" s="97"/>
      <c r="BL9" s="97"/>
      <c r="BM9" s="97"/>
      <c r="BN9" s="97"/>
    </row>
    <row r="10" spans="1:66" ht="12.75">
      <c r="A10" s="79" t="s">
        <v>201</v>
      </c>
      <c r="B10" s="79" t="s">
        <v>72</v>
      </c>
      <c r="C10" s="79" t="s">
        <v>380</v>
      </c>
      <c r="D10" s="99">
        <v>6920</v>
      </c>
      <c r="E10" s="99">
        <v>1180</v>
      </c>
      <c r="F10" s="99" t="s">
        <v>115</v>
      </c>
      <c r="G10" s="99">
        <v>38</v>
      </c>
      <c r="H10" s="99">
        <v>21</v>
      </c>
      <c r="I10" s="99">
        <v>135</v>
      </c>
      <c r="J10" s="99">
        <v>592</v>
      </c>
      <c r="K10" s="99">
        <v>581</v>
      </c>
      <c r="L10" s="99">
        <v>1450</v>
      </c>
      <c r="M10" s="99">
        <v>453</v>
      </c>
      <c r="N10" s="99">
        <v>229</v>
      </c>
      <c r="O10" s="99">
        <v>143</v>
      </c>
      <c r="P10" s="158">
        <v>143</v>
      </c>
      <c r="Q10" s="99">
        <v>15</v>
      </c>
      <c r="R10" s="99">
        <v>27</v>
      </c>
      <c r="S10" s="99">
        <v>22</v>
      </c>
      <c r="T10" s="99">
        <v>25</v>
      </c>
      <c r="U10" s="99">
        <v>8</v>
      </c>
      <c r="V10" s="99">
        <v>28</v>
      </c>
      <c r="W10" s="99">
        <v>32</v>
      </c>
      <c r="X10" s="99">
        <v>32</v>
      </c>
      <c r="Y10" s="99">
        <v>90</v>
      </c>
      <c r="Z10" s="99">
        <v>34</v>
      </c>
      <c r="AA10" s="99" t="s">
        <v>792</v>
      </c>
      <c r="AB10" s="99">
        <v>20</v>
      </c>
      <c r="AC10" s="99" t="s">
        <v>792</v>
      </c>
      <c r="AD10" s="98" t="s">
        <v>97</v>
      </c>
      <c r="AE10" s="100">
        <v>0.17052023121387283</v>
      </c>
      <c r="AF10" s="100">
        <v>0.16</v>
      </c>
      <c r="AG10" s="98">
        <v>549.1329479768787</v>
      </c>
      <c r="AH10" s="98">
        <v>303.46820809248555</v>
      </c>
      <c r="AI10" s="100">
        <v>0.0195</v>
      </c>
      <c r="AJ10" s="100">
        <v>0.752224</v>
      </c>
      <c r="AK10" s="100">
        <v>0.757497</v>
      </c>
      <c r="AL10" s="100">
        <v>0.839606</v>
      </c>
      <c r="AM10" s="100">
        <v>0.652738</v>
      </c>
      <c r="AN10" s="100">
        <v>0.689759</v>
      </c>
      <c r="AO10" s="98">
        <v>2066.473988439306</v>
      </c>
      <c r="AP10" s="157">
        <v>1.0242</v>
      </c>
      <c r="AQ10" s="100">
        <v>0.1048951048951049</v>
      </c>
      <c r="AR10" s="100">
        <v>0.5555555555555556</v>
      </c>
      <c r="AS10" s="98">
        <v>317.91907514450867</v>
      </c>
      <c r="AT10" s="98">
        <v>361.271676300578</v>
      </c>
      <c r="AU10" s="98">
        <v>115.60693641618496</v>
      </c>
      <c r="AV10" s="98">
        <v>404.6242774566474</v>
      </c>
      <c r="AW10" s="98">
        <v>462.42774566473986</v>
      </c>
      <c r="AX10" s="98">
        <v>462.42774566473986</v>
      </c>
      <c r="AY10" s="98">
        <v>1300.578034682081</v>
      </c>
      <c r="AZ10" s="98">
        <v>491.32947976878614</v>
      </c>
      <c r="BA10" s="100" t="s">
        <v>792</v>
      </c>
      <c r="BB10" s="100">
        <v>0.6060606060606061</v>
      </c>
      <c r="BC10" s="100" t="s">
        <v>792</v>
      </c>
      <c r="BD10" s="157">
        <v>0.8632</v>
      </c>
      <c r="BE10" s="157">
        <v>1.2065000000000001</v>
      </c>
      <c r="BF10" s="161">
        <v>787</v>
      </c>
      <c r="BG10" s="161">
        <v>767</v>
      </c>
      <c r="BH10" s="161">
        <v>1727</v>
      </c>
      <c r="BI10" s="161">
        <v>694</v>
      </c>
      <c r="BJ10" s="161">
        <v>332</v>
      </c>
      <c r="BK10" s="97"/>
      <c r="BL10" s="97"/>
      <c r="BM10" s="97"/>
      <c r="BN10" s="97"/>
    </row>
    <row r="11" spans="1:66" ht="12.75">
      <c r="A11" s="79" t="s">
        <v>793</v>
      </c>
      <c r="B11" s="79" t="s">
        <v>86</v>
      </c>
      <c r="C11" s="79" t="s">
        <v>380</v>
      </c>
      <c r="D11" s="99">
        <v>4645</v>
      </c>
      <c r="E11" s="99">
        <v>331</v>
      </c>
      <c r="F11" s="99" t="s">
        <v>116</v>
      </c>
      <c r="G11" s="99">
        <v>7</v>
      </c>
      <c r="H11" s="99" t="s">
        <v>792</v>
      </c>
      <c r="I11" s="99">
        <v>16</v>
      </c>
      <c r="J11" s="99">
        <v>178</v>
      </c>
      <c r="K11" s="99" t="s">
        <v>792</v>
      </c>
      <c r="L11" s="99">
        <v>653</v>
      </c>
      <c r="M11" s="99">
        <v>64</v>
      </c>
      <c r="N11" s="99">
        <v>30</v>
      </c>
      <c r="O11" s="99" t="s">
        <v>792</v>
      </c>
      <c r="P11" s="158" t="s">
        <v>792</v>
      </c>
      <c r="Q11" s="99" t="s">
        <v>792</v>
      </c>
      <c r="R11" s="99" t="s">
        <v>792</v>
      </c>
      <c r="S11" s="99" t="s">
        <v>792</v>
      </c>
      <c r="T11" s="99" t="s">
        <v>792</v>
      </c>
      <c r="U11" s="99" t="s">
        <v>792</v>
      </c>
      <c r="V11" s="99" t="s">
        <v>792</v>
      </c>
      <c r="W11" s="99">
        <v>14</v>
      </c>
      <c r="X11" s="99">
        <v>10</v>
      </c>
      <c r="Y11" s="99">
        <v>26</v>
      </c>
      <c r="Z11" s="99" t="s">
        <v>792</v>
      </c>
      <c r="AA11" s="99" t="s">
        <v>792</v>
      </c>
      <c r="AB11" s="99" t="s">
        <v>792</v>
      </c>
      <c r="AC11" s="99" t="s">
        <v>792</v>
      </c>
      <c r="AD11" s="98" t="s">
        <v>97</v>
      </c>
      <c r="AE11" s="100">
        <v>0.071259418729817</v>
      </c>
      <c r="AF11" s="100">
        <v>0.28</v>
      </c>
      <c r="AG11" s="98">
        <v>150.69967707212055</v>
      </c>
      <c r="AH11" s="98" t="s">
        <v>792</v>
      </c>
      <c r="AI11" s="100">
        <v>0.0034000000000000002</v>
      </c>
      <c r="AJ11" s="100">
        <v>0.551084</v>
      </c>
      <c r="AK11" s="100" t="s">
        <v>792</v>
      </c>
      <c r="AL11" s="100">
        <v>0.661601</v>
      </c>
      <c r="AM11" s="100">
        <v>0.300469</v>
      </c>
      <c r="AN11" s="100">
        <v>0.252101</v>
      </c>
      <c r="AO11" s="98" t="s">
        <v>792</v>
      </c>
      <c r="AP11" s="157" t="s">
        <v>792</v>
      </c>
      <c r="AQ11" s="100" t="s">
        <v>792</v>
      </c>
      <c r="AR11" s="100" t="s">
        <v>792</v>
      </c>
      <c r="AS11" s="98" t="s">
        <v>792</v>
      </c>
      <c r="AT11" s="98" t="s">
        <v>792</v>
      </c>
      <c r="AU11" s="98" t="s">
        <v>792</v>
      </c>
      <c r="AV11" s="98" t="s">
        <v>792</v>
      </c>
      <c r="AW11" s="98">
        <v>301.3993541442411</v>
      </c>
      <c r="AX11" s="98">
        <v>215.28525296017222</v>
      </c>
      <c r="AY11" s="98">
        <v>559.7416576964478</v>
      </c>
      <c r="AZ11" s="98" t="s">
        <v>792</v>
      </c>
      <c r="BA11" s="100" t="s">
        <v>792</v>
      </c>
      <c r="BB11" s="100" t="s">
        <v>792</v>
      </c>
      <c r="BC11" s="100" t="s">
        <v>792</v>
      </c>
      <c r="BD11" s="157" t="s">
        <v>792</v>
      </c>
      <c r="BE11" s="157" t="s">
        <v>792</v>
      </c>
      <c r="BF11" s="161">
        <v>323</v>
      </c>
      <c r="BG11" s="161" t="s">
        <v>792</v>
      </c>
      <c r="BH11" s="161">
        <v>987</v>
      </c>
      <c r="BI11" s="161">
        <v>213</v>
      </c>
      <c r="BJ11" s="161">
        <v>119</v>
      </c>
      <c r="BK11" s="97"/>
      <c r="BL11" s="97"/>
      <c r="BM11" s="97"/>
      <c r="BN11" s="97"/>
    </row>
    <row r="12" spans="1:66" ht="12.75">
      <c r="A12" s="79" t="s">
        <v>801</v>
      </c>
      <c r="B12" s="79" t="s">
        <v>84</v>
      </c>
      <c r="C12" s="79" t="s">
        <v>380</v>
      </c>
      <c r="D12" s="99">
        <v>7701</v>
      </c>
      <c r="E12" s="99">
        <v>1244</v>
      </c>
      <c r="F12" s="99" t="s">
        <v>119</v>
      </c>
      <c r="G12" s="99">
        <v>29</v>
      </c>
      <c r="H12" s="99">
        <v>19</v>
      </c>
      <c r="I12" s="99">
        <v>134</v>
      </c>
      <c r="J12" s="99">
        <v>846</v>
      </c>
      <c r="K12" s="99">
        <v>10</v>
      </c>
      <c r="L12" s="99">
        <v>1680</v>
      </c>
      <c r="M12" s="99">
        <v>760</v>
      </c>
      <c r="N12" s="99">
        <v>368</v>
      </c>
      <c r="O12" s="99">
        <v>224</v>
      </c>
      <c r="P12" s="158">
        <v>224</v>
      </c>
      <c r="Q12" s="99">
        <v>24</v>
      </c>
      <c r="R12" s="99">
        <v>38</v>
      </c>
      <c r="S12" s="99">
        <v>55</v>
      </c>
      <c r="T12" s="99">
        <v>46</v>
      </c>
      <c r="U12" s="99" t="s">
        <v>792</v>
      </c>
      <c r="V12" s="99">
        <v>46</v>
      </c>
      <c r="W12" s="99">
        <v>49</v>
      </c>
      <c r="X12" s="99">
        <v>36</v>
      </c>
      <c r="Y12" s="99">
        <v>77</v>
      </c>
      <c r="Z12" s="99">
        <v>34</v>
      </c>
      <c r="AA12" s="99">
        <v>9</v>
      </c>
      <c r="AB12" s="99">
        <v>18</v>
      </c>
      <c r="AC12" s="99">
        <v>10</v>
      </c>
      <c r="AD12" s="98" t="s">
        <v>97</v>
      </c>
      <c r="AE12" s="100">
        <v>0.16153746266718608</v>
      </c>
      <c r="AF12" s="100">
        <v>0.07</v>
      </c>
      <c r="AG12" s="98">
        <v>376.5744708479418</v>
      </c>
      <c r="AH12" s="98">
        <v>246.72120503830672</v>
      </c>
      <c r="AI12" s="100">
        <v>0.0174</v>
      </c>
      <c r="AJ12" s="100">
        <v>0.734375</v>
      </c>
      <c r="AK12" s="100">
        <v>0.416667</v>
      </c>
      <c r="AL12" s="100">
        <v>0.804213</v>
      </c>
      <c r="AM12" s="100">
        <v>0.696609</v>
      </c>
      <c r="AN12" s="100">
        <v>0.684015</v>
      </c>
      <c r="AO12" s="98">
        <v>2908.7131541358267</v>
      </c>
      <c r="AP12" s="157">
        <v>1.3793</v>
      </c>
      <c r="AQ12" s="100">
        <v>0.10714285714285714</v>
      </c>
      <c r="AR12" s="100">
        <v>0.631578947368421</v>
      </c>
      <c r="AS12" s="98">
        <v>714.1929619529931</v>
      </c>
      <c r="AT12" s="98">
        <v>597.3250227243216</v>
      </c>
      <c r="AU12" s="98" t="s">
        <v>792</v>
      </c>
      <c r="AV12" s="98">
        <v>597.3250227243216</v>
      </c>
      <c r="AW12" s="98">
        <v>636.281002467212</v>
      </c>
      <c r="AX12" s="98">
        <v>467.4717569146864</v>
      </c>
      <c r="AY12" s="98">
        <v>999.8701467341904</v>
      </c>
      <c r="AZ12" s="98">
        <v>441.5011037527594</v>
      </c>
      <c r="BA12" s="100">
        <v>0.24324324324324326</v>
      </c>
      <c r="BB12" s="100">
        <v>0.4864864864864865</v>
      </c>
      <c r="BC12" s="100">
        <v>0.2702702702702703</v>
      </c>
      <c r="BD12" s="157">
        <v>1.2046</v>
      </c>
      <c r="BE12" s="157">
        <v>1.5722999999999998</v>
      </c>
      <c r="BF12" s="161">
        <v>1152</v>
      </c>
      <c r="BG12" s="161">
        <v>24</v>
      </c>
      <c r="BH12" s="161">
        <v>2089</v>
      </c>
      <c r="BI12" s="161">
        <v>1091</v>
      </c>
      <c r="BJ12" s="161">
        <v>538</v>
      </c>
      <c r="BK12" s="97"/>
      <c r="BL12" s="97"/>
      <c r="BM12" s="97"/>
      <c r="BN12" s="97"/>
    </row>
    <row r="13" spans="1:66" ht="12.75">
      <c r="A13" s="79" t="s">
        <v>794</v>
      </c>
      <c r="B13" s="79" t="s">
        <v>76</v>
      </c>
      <c r="C13" s="79" t="s">
        <v>380</v>
      </c>
      <c r="D13" s="99">
        <v>3188</v>
      </c>
      <c r="E13" s="99">
        <v>367</v>
      </c>
      <c r="F13" s="99" t="s">
        <v>116</v>
      </c>
      <c r="G13" s="99">
        <v>11</v>
      </c>
      <c r="H13" s="99">
        <v>6</v>
      </c>
      <c r="I13" s="99">
        <v>24</v>
      </c>
      <c r="J13" s="99">
        <v>165</v>
      </c>
      <c r="K13" s="99" t="s">
        <v>792</v>
      </c>
      <c r="L13" s="99">
        <v>532</v>
      </c>
      <c r="M13" s="99">
        <v>99</v>
      </c>
      <c r="N13" s="99">
        <v>54</v>
      </c>
      <c r="O13" s="99">
        <v>58</v>
      </c>
      <c r="P13" s="158">
        <v>58</v>
      </c>
      <c r="Q13" s="99" t="s">
        <v>792</v>
      </c>
      <c r="R13" s="99">
        <v>7</v>
      </c>
      <c r="S13" s="99">
        <v>17</v>
      </c>
      <c r="T13" s="99" t="s">
        <v>792</v>
      </c>
      <c r="U13" s="99" t="s">
        <v>792</v>
      </c>
      <c r="V13" s="99">
        <v>19</v>
      </c>
      <c r="W13" s="99">
        <v>10</v>
      </c>
      <c r="X13" s="99">
        <v>21</v>
      </c>
      <c r="Y13" s="99">
        <v>26</v>
      </c>
      <c r="Z13" s="99">
        <v>19</v>
      </c>
      <c r="AA13" s="99" t="s">
        <v>792</v>
      </c>
      <c r="AB13" s="99" t="s">
        <v>792</v>
      </c>
      <c r="AC13" s="99" t="s">
        <v>792</v>
      </c>
      <c r="AD13" s="98" t="s">
        <v>97</v>
      </c>
      <c r="AE13" s="100">
        <v>0.11511919698870765</v>
      </c>
      <c r="AF13" s="100">
        <v>0.29</v>
      </c>
      <c r="AG13" s="98">
        <v>345.0439146800502</v>
      </c>
      <c r="AH13" s="98">
        <v>188.20577164366375</v>
      </c>
      <c r="AI13" s="100">
        <v>0.0075</v>
      </c>
      <c r="AJ13" s="100">
        <v>0.593525</v>
      </c>
      <c r="AK13" s="100" t="s">
        <v>792</v>
      </c>
      <c r="AL13" s="100">
        <v>0.7</v>
      </c>
      <c r="AM13" s="100">
        <v>0.447964</v>
      </c>
      <c r="AN13" s="100">
        <v>0.473684</v>
      </c>
      <c r="AO13" s="98">
        <v>1819.322459222083</v>
      </c>
      <c r="AP13" s="157">
        <v>1.099</v>
      </c>
      <c r="AQ13" s="100" t="s">
        <v>792</v>
      </c>
      <c r="AR13" s="100" t="s">
        <v>792</v>
      </c>
      <c r="AS13" s="98">
        <v>533.249686323714</v>
      </c>
      <c r="AT13" s="98" t="s">
        <v>792</v>
      </c>
      <c r="AU13" s="98" t="s">
        <v>792</v>
      </c>
      <c r="AV13" s="98">
        <v>595.9849435382685</v>
      </c>
      <c r="AW13" s="98">
        <v>313.6762860727729</v>
      </c>
      <c r="AX13" s="98">
        <v>658.7202007528231</v>
      </c>
      <c r="AY13" s="98">
        <v>815.5583437892095</v>
      </c>
      <c r="AZ13" s="98">
        <v>595.9849435382685</v>
      </c>
      <c r="BA13" s="100" t="s">
        <v>792</v>
      </c>
      <c r="BB13" s="100" t="s">
        <v>792</v>
      </c>
      <c r="BC13" s="100" t="s">
        <v>792</v>
      </c>
      <c r="BD13" s="157">
        <v>0.8345</v>
      </c>
      <c r="BE13" s="157">
        <v>1.4208</v>
      </c>
      <c r="BF13" s="161">
        <v>278</v>
      </c>
      <c r="BG13" s="161" t="s">
        <v>792</v>
      </c>
      <c r="BH13" s="161">
        <v>760</v>
      </c>
      <c r="BI13" s="161">
        <v>221</v>
      </c>
      <c r="BJ13" s="161">
        <v>114</v>
      </c>
      <c r="BK13" s="97"/>
      <c r="BL13" s="97"/>
      <c r="BM13" s="97"/>
      <c r="BN13" s="97"/>
    </row>
    <row r="14" spans="1:66" ht="12.75">
      <c r="A14" s="79" t="s">
        <v>206</v>
      </c>
      <c r="B14" s="79" t="s">
        <v>79</v>
      </c>
      <c r="C14" s="79" t="s">
        <v>380</v>
      </c>
      <c r="D14" s="99">
        <v>2277</v>
      </c>
      <c r="E14" s="99">
        <v>399</v>
      </c>
      <c r="F14" s="99" t="s">
        <v>116</v>
      </c>
      <c r="G14" s="99">
        <v>10</v>
      </c>
      <c r="H14" s="99" t="s">
        <v>792</v>
      </c>
      <c r="I14" s="99">
        <v>22</v>
      </c>
      <c r="J14" s="99">
        <v>138</v>
      </c>
      <c r="K14" s="99">
        <v>133</v>
      </c>
      <c r="L14" s="99">
        <v>395</v>
      </c>
      <c r="M14" s="99">
        <v>108</v>
      </c>
      <c r="N14" s="99">
        <v>49</v>
      </c>
      <c r="O14" s="99">
        <v>16</v>
      </c>
      <c r="P14" s="158">
        <v>16</v>
      </c>
      <c r="Q14" s="99" t="s">
        <v>792</v>
      </c>
      <c r="R14" s="99">
        <v>10</v>
      </c>
      <c r="S14" s="99" t="s">
        <v>792</v>
      </c>
      <c r="T14" s="99" t="s">
        <v>792</v>
      </c>
      <c r="U14" s="99" t="s">
        <v>792</v>
      </c>
      <c r="V14" s="99" t="s">
        <v>792</v>
      </c>
      <c r="W14" s="99">
        <v>8</v>
      </c>
      <c r="X14" s="99">
        <v>8</v>
      </c>
      <c r="Y14" s="99">
        <v>20</v>
      </c>
      <c r="Z14" s="99">
        <v>16</v>
      </c>
      <c r="AA14" s="99" t="s">
        <v>792</v>
      </c>
      <c r="AB14" s="99" t="s">
        <v>792</v>
      </c>
      <c r="AC14" s="99" t="s">
        <v>792</v>
      </c>
      <c r="AD14" s="98" t="s">
        <v>97</v>
      </c>
      <c r="AE14" s="100">
        <v>0.17523056653491437</v>
      </c>
      <c r="AF14" s="100">
        <v>0.23</v>
      </c>
      <c r="AG14" s="98">
        <v>439.17435221783046</v>
      </c>
      <c r="AH14" s="98" t="s">
        <v>792</v>
      </c>
      <c r="AI14" s="100">
        <v>0.0097</v>
      </c>
      <c r="AJ14" s="100">
        <v>0.60262</v>
      </c>
      <c r="AK14" s="100">
        <v>0.60181</v>
      </c>
      <c r="AL14" s="100">
        <v>0.765504</v>
      </c>
      <c r="AM14" s="100">
        <v>0.446281</v>
      </c>
      <c r="AN14" s="100">
        <v>0.449541</v>
      </c>
      <c r="AO14" s="98">
        <v>702.6789635485287</v>
      </c>
      <c r="AP14" s="157">
        <v>0.3428</v>
      </c>
      <c r="AQ14" s="100" t="s">
        <v>792</v>
      </c>
      <c r="AR14" s="100" t="s">
        <v>792</v>
      </c>
      <c r="AS14" s="98" t="s">
        <v>792</v>
      </c>
      <c r="AT14" s="98" t="s">
        <v>792</v>
      </c>
      <c r="AU14" s="98" t="s">
        <v>792</v>
      </c>
      <c r="AV14" s="98" t="s">
        <v>792</v>
      </c>
      <c r="AW14" s="98">
        <v>351.33948177426436</v>
      </c>
      <c r="AX14" s="98">
        <v>351.33948177426436</v>
      </c>
      <c r="AY14" s="98">
        <v>878.3487044356609</v>
      </c>
      <c r="AZ14" s="98">
        <v>702.6789635485287</v>
      </c>
      <c r="BA14" s="100" t="s">
        <v>792</v>
      </c>
      <c r="BB14" s="100" t="s">
        <v>792</v>
      </c>
      <c r="BC14" s="100" t="s">
        <v>792</v>
      </c>
      <c r="BD14" s="157">
        <v>0.1959</v>
      </c>
      <c r="BE14" s="157">
        <v>0.5566</v>
      </c>
      <c r="BF14" s="161">
        <v>229</v>
      </c>
      <c r="BG14" s="161">
        <v>221</v>
      </c>
      <c r="BH14" s="161">
        <v>516</v>
      </c>
      <c r="BI14" s="161">
        <v>242</v>
      </c>
      <c r="BJ14" s="161">
        <v>109</v>
      </c>
      <c r="BK14" s="97"/>
      <c r="BL14" s="97"/>
      <c r="BM14" s="97"/>
      <c r="BN14" s="97"/>
    </row>
    <row r="15" spans="1:66" ht="12.75">
      <c r="A15" s="79" t="s">
        <v>210</v>
      </c>
      <c r="B15" s="79" t="s">
        <v>89</v>
      </c>
      <c r="C15" s="79" t="s">
        <v>380</v>
      </c>
      <c r="D15" s="99">
        <v>1837</v>
      </c>
      <c r="E15" s="99">
        <v>214</v>
      </c>
      <c r="F15" s="99" t="s">
        <v>116</v>
      </c>
      <c r="G15" s="99">
        <v>8</v>
      </c>
      <c r="H15" s="99">
        <v>6</v>
      </c>
      <c r="I15" s="99">
        <v>14</v>
      </c>
      <c r="J15" s="99">
        <v>117</v>
      </c>
      <c r="K15" s="99">
        <v>115</v>
      </c>
      <c r="L15" s="99">
        <v>318</v>
      </c>
      <c r="M15" s="99">
        <v>50</v>
      </c>
      <c r="N15" s="99">
        <v>25</v>
      </c>
      <c r="O15" s="99" t="s">
        <v>792</v>
      </c>
      <c r="P15" s="158" t="s">
        <v>792</v>
      </c>
      <c r="Q15" s="99" t="s">
        <v>792</v>
      </c>
      <c r="R15" s="99" t="s">
        <v>792</v>
      </c>
      <c r="S15" s="99" t="s">
        <v>792</v>
      </c>
      <c r="T15" s="99" t="s">
        <v>792</v>
      </c>
      <c r="U15" s="99" t="s">
        <v>792</v>
      </c>
      <c r="V15" s="99" t="s">
        <v>792</v>
      </c>
      <c r="W15" s="99" t="s">
        <v>792</v>
      </c>
      <c r="X15" s="99">
        <v>7</v>
      </c>
      <c r="Y15" s="99">
        <v>19</v>
      </c>
      <c r="Z15" s="99">
        <v>7</v>
      </c>
      <c r="AA15" s="99" t="s">
        <v>792</v>
      </c>
      <c r="AB15" s="99" t="s">
        <v>792</v>
      </c>
      <c r="AC15" s="99" t="s">
        <v>792</v>
      </c>
      <c r="AD15" s="98" t="s">
        <v>97</v>
      </c>
      <c r="AE15" s="100">
        <v>0.11649428415895481</v>
      </c>
      <c r="AF15" s="100">
        <v>0.24</v>
      </c>
      <c r="AG15" s="98">
        <v>435.49265106151336</v>
      </c>
      <c r="AH15" s="98">
        <v>326.619488296135</v>
      </c>
      <c r="AI15" s="100">
        <v>0.0076</v>
      </c>
      <c r="AJ15" s="100">
        <v>0.692308</v>
      </c>
      <c r="AK15" s="100">
        <v>0.70122</v>
      </c>
      <c r="AL15" s="100">
        <v>0.724374</v>
      </c>
      <c r="AM15" s="100">
        <v>0.387597</v>
      </c>
      <c r="AN15" s="100">
        <v>0.367647</v>
      </c>
      <c r="AO15" s="98" t="s">
        <v>792</v>
      </c>
      <c r="AP15" s="157" t="s">
        <v>792</v>
      </c>
      <c r="AQ15" s="100" t="s">
        <v>792</v>
      </c>
      <c r="AR15" s="100" t="s">
        <v>792</v>
      </c>
      <c r="AS15" s="98" t="s">
        <v>792</v>
      </c>
      <c r="AT15" s="98" t="s">
        <v>792</v>
      </c>
      <c r="AU15" s="98" t="s">
        <v>792</v>
      </c>
      <c r="AV15" s="98" t="s">
        <v>792</v>
      </c>
      <c r="AW15" s="98" t="s">
        <v>792</v>
      </c>
      <c r="AX15" s="98">
        <v>381.05606967882414</v>
      </c>
      <c r="AY15" s="98">
        <v>1034.2950462710942</v>
      </c>
      <c r="AZ15" s="98">
        <v>381.05606967882414</v>
      </c>
      <c r="BA15" s="100" t="s">
        <v>792</v>
      </c>
      <c r="BB15" s="100" t="s">
        <v>792</v>
      </c>
      <c r="BC15" s="100" t="s">
        <v>792</v>
      </c>
      <c r="BD15" s="157" t="s">
        <v>792</v>
      </c>
      <c r="BE15" s="157" t="s">
        <v>792</v>
      </c>
      <c r="BF15" s="161">
        <v>169</v>
      </c>
      <c r="BG15" s="161">
        <v>164</v>
      </c>
      <c r="BH15" s="161">
        <v>439</v>
      </c>
      <c r="BI15" s="161">
        <v>129</v>
      </c>
      <c r="BJ15" s="161">
        <v>68</v>
      </c>
      <c r="BK15" s="97"/>
      <c r="BL15" s="97"/>
      <c r="BM15" s="97"/>
      <c r="BN15" s="97"/>
    </row>
    <row r="16" spans="1:66" ht="12.75">
      <c r="A16" s="79" t="s">
        <v>202</v>
      </c>
      <c r="B16" s="79" t="s">
        <v>73</v>
      </c>
      <c r="C16" s="79" t="s">
        <v>380</v>
      </c>
      <c r="D16" s="99">
        <v>6395</v>
      </c>
      <c r="E16" s="99">
        <v>1093</v>
      </c>
      <c r="F16" s="99" t="s">
        <v>116</v>
      </c>
      <c r="G16" s="99">
        <v>27</v>
      </c>
      <c r="H16" s="99">
        <v>22</v>
      </c>
      <c r="I16" s="99">
        <v>73</v>
      </c>
      <c r="J16" s="99">
        <v>549</v>
      </c>
      <c r="K16" s="99">
        <v>532</v>
      </c>
      <c r="L16" s="99">
        <v>1111</v>
      </c>
      <c r="M16" s="99">
        <v>402</v>
      </c>
      <c r="N16" s="99">
        <v>190</v>
      </c>
      <c r="O16" s="99">
        <v>80</v>
      </c>
      <c r="P16" s="158">
        <v>80</v>
      </c>
      <c r="Q16" s="99">
        <v>10</v>
      </c>
      <c r="R16" s="99">
        <v>25</v>
      </c>
      <c r="S16" s="99">
        <v>13</v>
      </c>
      <c r="T16" s="99">
        <v>11</v>
      </c>
      <c r="U16" s="99" t="s">
        <v>792</v>
      </c>
      <c r="V16" s="99">
        <v>18</v>
      </c>
      <c r="W16" s="99">
        <v>29</v>
      </c>
      <c r="X16" s="99">
        <v>28</v>
      </c>
      <c r="Y16" s="99">
        <v>75</v>
      </c>
      <c r="Z16" s="99">
        <v>43</v>
      </c>
      <c r="AA16" s="99">
        <v>13</v>
      </c>
      <c r="AB16" s="99">
        <v>18</v>
      </c>
      <c r="AC16" s="99">
        <v>9</v>
      </c>
      <c r="AD16" s="98" t="s">
        <v>97</v>
      </c>
      <c r="AE16" s="100">
        <v>0.1709147771696638</v>
      </c>
      <c r="AF16" s="100">
        <v>0.22</v>
      </c>
      <c r="AG16" s="98">
        <v>422.2048475371384</v>
      </c>
      <c r="AH16" s="98">
        <v>344.01876465989056</v>
      </c>
      <c r="AI16" s="100">
        <v>0.011399999999999999</v>
      </c>
      <c r="AJ16" s="100">
        <v>0.717647</v>
      </c>
      <c r="AK16" s="100">
        <v>0.717949</v>
      </c>
      <c r="AL16" s="100">
        <v>0.722367</v>
      </c>
      <c r="AM16" s="100">
        <v>0.555249</v>
      </c>
      <c r="AN16" s="100">
        <v>0.544413</v>
      </c>
      <c r="AO16" s="98">
        <v>1250.9773260359657</v>
      </c>
      <c r="AP16" s="157">
        <v>0.624</v>
      </c>
      <c r="AQ16" s="100">
        <v>0.125</v>
      </c>
      <c r="AR16" s="100">
        <v>0.4</v>
      </c>
      <c r="AS16" s="98">
        <v>203.2838154808444</v>
      </c>
      <c r="AT16" s="98">
        <v>172.00938232994528</v>
      </c>
      <c r="AU16" s="98" t="s">
        <v>792</v>
      </c>
      <c r="AV16" s="98">
        <v>281.4698983580923</v>
      </c>
      <c r="AW16" s="98">
        <v>453.47928068803753</v>
      </c>
      <c r="AX16" s="98">
        <v>437.84206411258793</v>
      </c>
      <c r="AY16" s="98">
        <v>1172.7912431587179</v>
      </c>
      <c r="AZ16" s="98">
        <v>672.4003127443315</v>
      </c>
      <c r="BA16" s="100">
        <v>0.325</v>
      </c>
      <c r="BB16" s="100">
        <v>0.45</v>
      </c>
      <c r="BC16" s="100">
        <v>0.225</v>
      </c>
      <c r="BD16" s="157">
        <v>0.49479999999999996</v>
      </c>
      <c r="BE16" s="157">
        <v>0.7767000000000001</v>
      </c>
      <c r="BF16" s="161">
        <v>765</v>
      </c>
      <c r="BG16" s="161">
        <v>741</v>
      </c>
      <c r="BH16" s="161">
        <v>1538</v>
      </c>
      <c r="BI16" s="161">
        <v>724</v>
      </c>
      <c r="BJ16" s="161">
        <v>349</v>
      </c>
      <c r="BK16" s="97"/>
      <c r="BL16" s="97"/>
      <c r="BM16" s="97"/>
      <c r="BN16" s="97"/>
    </row>
    <row r="17" spans="1:66" ht="12.75">
      <c r="A17" s="79" t="s">
        <v>795</v>
      </c>
      <c r="B17" s="79" t="s">
        <v>85</v>
      </c>
      <c r="C17" s="79" t="s">
        <v>380</v>
      </c>
      <c r="D17" s="99">
        <v>3390</v>
      </c>
      <c r="E17" s="99">
        <v>378</v>
      </c>
      <c r="F17" s="99" t="s">
        <v>116</v>
      </c>
      <c r="G17" s="99">
        <v>14</v>
      </c>
      <c r="H17" s="99">
        <v>8</v>
      </c>
      <c r="I17" s="99">
        <v>21</v>
      </c>
      <c r="J17" s="99">
        <v>183</v>
      </c>
      <c r="K17" s="99" t="s">
        <v>792</v>
      </c>
      <c r="L17" s="99">
        <v>681</v>
      </c>
      <c r="M17" s="99">
        <v>115</v>
      </c>
      <c r="N17" s="99">
        <v>62</v>
      </c>
      <c r="O17" s="99">
        <v>8</v>
      </c>
      <c r="P17" s="158">
        <v>8</v>
      </c>
      <c r="Q17" s="99" t="s">
        <v>792</v>
      </c>
      <c r="R17" s="99">
        <v>6</v>
      </c>
      <c r="S17" s="99" t="s">
        <v>792</v>
      </c>
      <c r="T17" s="99" t="s">
        <v>792</v>
      </c>
      <c r="U17" s="99" t="s">
        <v>792</v>
      </c>
      <c r="V17" s="99" t="s">
        <v>792</v>
      </c>
      <c r="W17" s="99">
        <v>8</v>
      </c>
      <c r="X17" s="99">
        <v>14</v>
      </c>
      <c r="Y17" s="99">
        <v>13</v>
      </c>
      <c r="Z17" s="99">
        <v>20</v>
      </c>
      <c r="AA17" s="99" t="s">
        <v>792</v>
      </c>
      <c r="AB17" s="99" t="s">
        <v>792</v>
      </c>
      <c r="AC17" s="99" t="s">
        <v>792</v>
      </c>
      <c r="AD17" s="98" t="s">
        <v>97</v>
      </c>
      <c r="AE17" s="100">
        <v>0.11150442477876106</v>
      </c>
      <c r="AF17" s="100">
        <v>0.26</v>
      </c>
      <c r="AG17" s="98">
        <v>412.9793510324484</v>
      </c>
      <c r="AH17" s="98">
        <v>235.9882005899705</v>
      </c>
      <c r="AI17" s="100">
        <v>0.0062</v>
      </c>
      <c r="AJ17" s="100">
        <v>0.577287</v>
      </c>
      <c r="AK17" s="100" t="s">
        <v>792</v>
      </c>
      <c r="AL17" s="100">
        <v>0.837638</v>
      </c>
      <c r="AM17" s="100">
        <v>0.477178</v>
      </c>
      <c r="AN17" s="100">
        <v>0.459259</v>
      </c>
      <c r="AO17" s="98">
        <v>235.9882005899705</v>
      </c>
      <c r="AP17" s="157">
        <v>0.1466</v>
      </c>
      <c r="AQ17" s="100" t="s">
        <v>792</v>
      </c>
      <c r="AR17" s="100" t="s">
        <v>792</v>
      </c>
      <c r="AS17" s="98" t="s">
        <v>792</v>
      </c>
      <c r="AT17" s="98" t="s">
        <v>792</v>
      </c>
      <c r="AU17" s="98" t="s">
        <v>792</v>
      </c>
      <c r="AV17" s="98" t="s">
        <v>792</v>
      </c>
      <c r="AW17" s="98">
        <v>235.9882005899705</v>
      </c>
      <c r="AX17" s="98">
        <v>412.9793510324484</v>
      </c>
      <c r="AY17" s="98">
        <v>383.48082595870204</v>
      </c>
      <c r="AZ17" s="98">
        <v>589.9705014749262</v>
      </c>
      <c r="BA17" s="100" t="s">
        <v>792</v>
      </c>
      <c r="BB17" s="100" t="s">
        <v>792</v>
      </c>
      <c r="BC17" s="100" t="s">
        <v>792</v>
      </c>
      <c r="BD17" s="157">
        <v>0.0633</v>
      </c>
      <c r="BE17" s="157">
        <v>0.2888</v>
      </c>
      <c r="BF17" s="161">
        <v>317</v>
      </c>
      <c r="BG17" s="161" t="s">
        <v>792</v>
      </c>
      <c r="BH17" s="161">
        <v>813</v>
      </c>
      <c r="BI17" s="161">
        <v>241</v>
      </c>
      <c r="BJ17" s="161">
        <v>135</v>
      </c>
      <c r="BK17" s="97"/>
      <c r="BL17" s="97"/>
      <c r="BM17" s="97"/>
      <c r="BN17" s="97"/>
    </row>
    <row r="18" spans="1:66" ht="12.75">
      <c r="A18" s="79" t="s">
        <v>796</v>
      </c>
      <c r="B18" s="79" t="s">
        <v>92</v>
      </c>
      <c r="C18" s="79" t="s">
        <v>380</v>
      </c>
      <c r="D18" s="99">
        <v>4562</v>
      </c>
      <c r="E18" s="99">
        <v>859</v>
      </c>
      <c r="F18" s="99" t="s">
        <v>117</v>
      </c>
      <c r="G18" s="99">
        <v>27</v>
      </c>
      <c r="H18" s="99">
        <v>15</v>
      </c>
      <c r="I18" s="99">
        <v>114</v>
      </c>
      <c r="J18" s="99">
        <v>420</v>
      </c>
      <c r="K18" s="99" t="s">
        <v>792</v>
      </c>
      <c r="L18" s="99">
        <v>925</v>
      </c>
      <c r="M18" s="99">
        <v>359</v>
      </c>
      <c r="N18" s="99">
        <v>173</v>
      </c>
      <c r="O18" s="99">
        <v>46</v>
      </c>
      <c r="P18" s="158">
        <v>46</v>
      </c>
      <c r="Q18" s="99">
        <v>13</v>
      </c>
      <c r="R18" s="99">
        <v>28</v>
      </c>
      <c r="S18" s="99">
        <v>10</v>
      </c>
      <c r="T18" s="99">
        <v>9</v>
      </c>
      <c r="U18" s="99">
        <v>7</v>
      </c>
      <c r="V18" s="99" t="s">
        <v>792</v>
      </c>
      <c r="W18" s="99">
        <v>24</v>
      </c>
      <c r="X18" s="99">
        <v>34</v>
      </c>
      <c r="Y18" s="99">
        <v>40</v>
      </c>
      <c r="Z18" s="99">
        <v>37</v>
      </c>
      <c r="AA18" s="99">
        <v>6</v>
      </c>
      <c r="AB18" s="99">
        <v>12</v>
      </c>
      <c r="AC18" s="99">
        <v>13</v>
      </c>
      <c r="AD18" s="98" t="s">
        <v>97</v>
      </c>
      <c r="AE18" s="100">
        <v>0.18829460762823322</v>
      </c>
      <c r="AF18" s="100">
        <v>0.1</v>
      </c>
      <c r="AG18" s="98">
        <v>591.8456817185445</v>
      </c>
      <c r="AH18" s="98">
        <v>328.8031565103025</v>
      </c>
      <c r="AI18" s="100">
        <v>0.025</v>
      </c>
      <c r="AJ18" s="100">
        <v>0.687398</v>
      </c>
      <c r="AK18" s="100" t="s">
        <v>792</v>
      </c>
      <c r="AL18" s="100">
        <v>0.820035</v>
      </c>
      <c r="AM18" s="100">
        <v>0.613675</v>
      </c>
      <c r="AN18" s="100">
        <v>0.594502</v>
      </c>
      <c r="AO18" s="98">
        <v>1008.3296799649277</v>
      </c>
      <c r="AP18" s="157">
        <v>0.4654</v>
      </c>
      <c r="AQ18" s="100">
        <v>0.2826086956521739</v>
      </c>
      <c r="AR18" s="100">
        <v>0.4642857142857143</v>
      </c>
      <c r="AS18" s="98">
        <v>219.20210434020166</v>
      </c>
      <c r="AT18" s="98">
        <v>197.2818939061815</v>
      </c>
      <c r="AU18" s="98">
        <v>153.44147303814117</v>
      </c>
      <c r="AV18" s="98" t="s">
        <v>792</v>
      </c>
      <c r="AW18" s="98">
        <v>526.085050416484</v>
      </c>
      <c r="AX18" s="98">
        <v>745.2871547566857</v>
      </c>
      <c r="AY18" s="98">
        <v>876.8084173608066</v>
      </c>
      <c r="AZ18" s="98">
        <v>811.0477860587462</v>
      </c>
      <c r="BA18" s="100">
        <v>0.1935483870967742</v>
      </c>
      <c r="BB18" s="100">
        <v>0.3870967741935484</v>
      </c>
      <c r="BC18" s="100">
        <v>0.41935483870967744</v>
      </c>
      <c r="BD18" s="157">
        <v>0.3407</v>
      </c>
      <c r="BE18" s="157">
        <v>0.6208</v>
      </c>
      <c r="BF18" s="161">
        <v>611</v>
      </c>
      <c r="BG18" s="161" t="s">
        <v>792</v>
      </c>
      <c r="BH18" s="161">
        <v>1128</v>
      </c>
      <c r="BI18" s="161">
        <v>585</v>
      </c>
      <c r="BJ18" s="161">
        <v>291</v>
      </c>
      <c r="BK18" s="97"/>
      <c r="BL18" s="97"/>
      <c r="BM18" s="97"/>
      <c r="BN18" s="97"/>
    </row>
    <row r="19" spans="1:66" ht="12.75">
      <c r="A19" s="79" t="s">
        <v>797</v>
      </c>
      <c r="B19" s="79" t="s">
        <v>59</v>
      </c>
      <c r="C19" s="79" t="s">
        <v>380</v>
      </c>
      <c r="D19" s="99">
        <v>13049</v>
      </c>
      <c r="E19" s="99">
        <v>2165</v>
      </c>
      <c r="F19" s="99" t="s">
        <v>119</v>
      </c>
      <c r="G19" s="99">
        <v>67</v>
      </c>
      <c r="H19" s="99">
        <v>28</v>
      </c>
      <c r="I19" s="99">
        <v>270</v>
      </c>
      <c r="J19" s="99">
        <v>1367</v>
      </c>
      <c r="K19" s="99">
        <v>11</v>
      </c>
      <c r="L19" s="99">
        <v>2792</v>
      </c>
      <c r="M19" s="99">
        <v>1177</v>
      </c>
      <c r="N19" s="99">
        <v>575</v>
      </c>
      <c r="O19" s="99">
        <v>229</v>
      </c>
      <c r="P19" s="158">
        <v>229</v>
      </c>
      <c r="Q19" s="99">
        <v>36</v>
      </c>
      <c r="R19" s="99">
        <v>51</v>
      </c>
      <c r="S19" s="99">
        <v>47</v>
      </c>
      <c r="T19" s="99">
        <v>25</v>
      </c>
      <c r="U19" s="99">
        <v>12</v>
      </c>
      <c r="V19" s="99">
        <v>51</v>
      </c>
      <c r="W19" s="99">
        <v>59</v>
      </c>
      <c r="X19" s="99">
        <v>43</v>
      </c>
      <c r="Y19" s="99">
        <v>135</v>
      </c>
      <c r="Z19" s="99">
        <v>92</v>
      </c>
      <c r="AA19" s="99">
        <v>18</v>
      </c>
      <c r="AB19" s="99">
        <v>40</v>
      </c>
      <c r="AC19" s="99">
        <v>11</v>
      </c>
      <c r="AD19" s="98" t="s">
        <v>97</v>
      </c>
      <c r="AE19" s="100">
        <v>0.16591309678902597</v>
      </c>
      <c r="AF19" s="100">
        <v>0.07</v>
      </c>
      <c r="AG19" s="98">
        <v>513.4493064602651</v>
      </c>
      <c r="AH19" s="98">
        <v>214.57582956548396</v>
      </c>
      <c r="AI19" s="100">
        <v>0.0207</v>
      </c>
      <c r="AJ19" s="100">
        <v>0.722898</v>
      </c>
      <c r="AK19" s="100">
        <v>0.647059</v>
      </c>
      <c r="AL19" s="100">
        <v>0.816374</v>
      </c>
      <c r="AM19" s="100">
        <v>0.676437</v>
      </c>
      <c r="AN19" s="100">
        <v>0.68128</v>
      </c>
      <c r="AO19" s="98">
        <v>1754.9237489462794</v>
      </c>
      <c r="AP19" s="157">
        <v>0.8266</v>
      </c>
      <c r="AQ19" s="100">
        <v>0.1572052401746725</v>
      </c>
      <c r="AR19" s="100">
        <v>0.7058823529411765</v>
      </c>
      <c r="AS19" s="98">
        <v>360.18085677063374</v>
      </c>
      <c r="AT19" s="98">
        <v>191.58556211203924</v>
      </c>
      <c r="AU19" s="98">
        <v>91.96106981377883</v>
      </c>
      <c r="AV19" s="98">
        <v>390.83454670856</v>
      </c>
      <c r="AW19" s="98">
        <v>452.1419265844126</v>
      </c>
      <c r="AX19" s="98">
        <v>329.5271668327075</v>
      </c>
      <c r="AY19" s="98">
        <v>1034.5620354050118</v>
      </c>
      <c r="AZ19" s="98">
        <v>705.0348685723044</v>
      </c>
      <c r="BA19" s="100">
        <v>0.2608695652173913</v>
      </c>
      <c r="BB19" s="100">
        <v>0.5797101449275363</v>
      </c>
      <c r="BC19" s="100">
        <v>0.15942028985507245</v>
      </c>
      <c r="BD19" s="157">
        <v>0.723</v>
      </c>
      <c r="BE19" s="157">
        <v>0.9409000000000001</v>
      </c>
      <c r="BF19" s="161">
        <v>1891</v>
      </c>
      <c r="BG19" s="161">
        <v>17</v>
      </c>
      <c r="BH19" s="161">
        <v>3420</v>
      </c>
      <c r="BI19" s="161">
        <v>1740</v>
      </c>
      <c r="BJ19" s="161">
        <v>844</v>
      </c>
      <c r="BK19" s="97"/>
      <c r="BL19" s="97"/>
      <c r="BM19" s="97"/>
      <c r="BN19" s="97"/>
    </row>
    <row r="20" spans="1:66" ht="12.75">
      <c r="A20" s="79" t="s">
        <v>798</v>
      </c>
      <c r="B20" s="79" t="s">
        <v>88</v>
      </c>
      <c r="C20" s="79" t="s">
        <v>380</v>
      </c>
      <c r="D20" s="99">
        <v>2096</v>
      </c>
      <c r="E20" s="99">
        <v>325</v>
      </c>
      <c r="F20" s="99" t="s">
        <v>116</v>
      </c>
      <c r="G20" s="99">
        <v>10</v>
      </c>
      <c r="H20" s="99" t="s">
        <v>792</v>
      </c>
      <c r="I20" s="99">
        <v>8</v>
      </c>
      <c r="J20" s="99">
        <v>142</v>
      </c>
      <c r="K20" s="99">
        <v>141</v>
      </c>
      <c r="L20" s="99">
        <v>358</v>
      </c>
      <c r="M20" s="99">
        <v>93</v>
      </c>
      <c r="N20" s="99">
        <v>43</v>
      </c>
      <c r="O20" s="99" t="s">
        <v>792</v>
      </c>
      <c r="P20" s="158" t="s">
        <v>792</v>
      </c>
      <c r="Q20" s="99" t="s">
        <v>792</v>
      </c>
      <c r="R20" s="99" t="s">
        <v>792</v>
      </c>
      <c r="S20" s="99" t="s">
        <v>792</v>
      </c>
      <c r="T20" s="99" t="s">
        <v>792</v>
      </c>
      <c r="U20" s="99" t="s">
        <v>792</v>
      </c>
      <c r="V20" s="99" t="s">
        <v>792</v>
      </c>
      <c r="W20" s="99" t="s">
        <v>792</v>
      </c>
      <c r="X20" s="99" t="s">
        <v>792</v>
      </c>
      <c r="Y20" s="99">
        <v>19</v>
      </c>
      <c r="Z20" s="99">
        <v>10</v>
      </c>
      <c r="AA20" s="99" t="s">
        <v>792</v>
      </c>
      <c r="AB20" s="99" t="s">
        <v>792</v>
      </c>
      <c r="AC20" s="99" t="s">
        <v>792</v>
      </c>
      <c r="AD20" s="98" t="s">
        <v>97</v>
      </c>
      <c r="AE20" s="100">
        <v>0.15505725190839695</v>
      </c>
      <c r="AF20" s="100">
        <v>0.22</v>
      </c>
      <c r="AG20" s="98">
        <v>477.09923664122135</v>
      </c>
      <c r="AH20" s="98" t="s">
        <v>792</v>
      </c>
      <c r="AI20" s="100">
        <v>0.0038</v>
      </c>
      <c r="AJ20" s="100">
        <v>0.636771</v>
      </c>
      <c r="AK20" s="100">
        <v>0.655814</v>
      </c>
      <c r="AL20" s="100">
        <v>0.742739</v>
      </c>
      <c r="AM20" s="100">
        <v>0.497326</v>
      </c>
      <c r="AN20" s="100">
        <v>0.43</v>
      </c>
      <c r="AO20" s="98" t="s">
        <v>792</v>
      </c>
      <c r="AP20" s="157" t="s">
        <v>792</v>
      </c>
      <c r="AQ20" s="100" t="s">
        <v>792</v>
      </c>
      <c r="AR20" s="100" t="s">
        <v>792</v>
      </c>
      <c r="AS20" s="98" t="s">
        <v>792</v>
      </c>
      <c r="AT20" s="98" t="s">
        <v>792</v>
      </c>
      <c r="AU20" s="98" t="s">
        <v>792</v>
      </c>
      <c r="AV20" s="98" t="s">
        <v>792</v>
      </c>
      <c r="AW20" s="98" t="s">
        <v>792</v>
      </c>
      <c r="AX20" s="98" t="s">
        <v>792</v>
      </c>
      <c r="AY20" s="98">
        <v>906.4885496183206</v>
      </c>
      <c r="AZ20" s="98">
        <v>477.09923664122135</v>
      </c>
      <c r="BA20" s="100" t="s">
        <v>792</v>
      </c>
      <c r="BB20" s="100" t="s">
        <v>792</v>
      </c>
      <c r="BC20" s="100" t="s">
        <v>792</v>
      </c>
      <c r="BD20" s="157" t="s">
        <v>792</v>
      </c>
      <c r="BE20" s="157" t="s">
        <v>792</v>
      </c>
      <c r="BF20" s="161">
        <v>223</v>
      </c>
      <c r="BG20" s="161">
        <v>215</v>
      </c>
      <c r="BH20" s="161">
        <v>482</v>
      </c>
      <c r="BI20" s="161">
        <v>187</v>
      </c>
      <c r="BJ20" s="161">
        <v>100</v>
      </c>
      <c r="BK20" s="97"/>
      <c r="BL20" s="97"/>
      <c r="BM20" s="97"/>
      <c r="BN20" s="97"/>
    </row>
    <row r="21" spans="1:66" ht="12.75">
      <c r="A21" s="79" t="s">
        <v>211</v>
      </c>
      <c r="B21" s="79" t="s">
        <v>90</v>
      </c>
      <c r="C21" s="79" t="s">
        <v>380</v>
      </c>
      <c r="D21" s="99">
        <v>2551</v>
      </c>
      <c r="E21" s="99">
        <v>206</v>
      </c>
      <c r="F21" s="99" t="s">
        <v>116</v>
      </c>
      <c r="G21" s="99" t="s">
        <v>792</v>
      </c>
      <c r="H21" s="99" t="s">
        <v>792</v>
      </c>
      <c r="I21" s="99">
        <v>9</v>
      </c>
      <c r="J21" s="99">
        <v>99</v>
      </c>
      <c r="K21" s="99" t="s">
        <v>792</v>
      </c>
      <c r="L21" s="99">
        <v>422</v>
      </c>
      <c r="M21" s="99">
        <v>49</v>
      </c>
      <c r="N21" s="99">
        <v>27</v>
      </c>
      <c r="O21" s="99">
        <v>24</v>
      </c>
      <c r="P21" s="158">
        <v>24</v>
      </c>
      <c r="Q21" s="99" t="s">
        <v>792</v>
      </c>
      <c r="R21" s="99" t="s">
        <v>792</v>
      </c>
      <c r="S21" s="99" t="s">
        <v>792</v>
      </c>
      <c r="T21" s="99" t="s">
        <v>792</v>
      </c>
      <c r="U21" s="99" t="s">
        <v>792</v>
      </c>
      <c r="V21" s="99" t="s">
        <v>792</v>
      </c>
      <c r="W21" s="99">
        <v>9</v>
      </c>
      <c r="X21" s="99" t="s">
        <v>792</v>
      </c>
      <c r="Y21" s="99">
        <v>22</v>
      </c>
      <c r="Z21" s="99">
        <v>7</v>
      </c>
      <c r="AA21" s="99" t="s">
        <v>792</v>
      </c>
      <c r="AB21" s="99" t="s">
        <v>792</v>
      </c>
      <c r="AC21" s="99" t="s">
        <v>792</v>
      </c>
      <c r="AD21" s="98" t="s">
        <v>97</v>
      </c>
      <c r="AE21" s="100">
        <v>0.08075264602116818</v>
      </c>
      <c r="AF21" s="100">
        <v>0.24</v>
      </c>
      <c r="AG21" s="98" t="s">
        <v>792</v>
      </c>
      <c r="AH21" s="98" t="s">
        <v>792</v>
      </c>
      <c r="AI21" s="100">
        <v>0.0034999999999999996</v>
      </c>
      <c r="AJ21" s="100">
        <v>0.529412</v>
      </c>
      <c r="AK21" s="100" t="s">
        <v>792</v>
      </c>
      <c r="AL21" s="100">
        <v>0.748227</v>
      </c>
      <c r="AM21" s="100">
        <v>0.374046</v>
      </c>
      <c r="AN21" s="100">
        <v>0.421875</v>
      </c>
      <c r="AO21" s="98">
        <v>940.8075264602116</v>
      </c>
      <c r="AP21" s="157">
        <v>0.6716</v>
      </c>
      <c r="AQ21" s="100" t="s">
        <v>792</v>
      </c>
      <c r="AR21" s="100" t="s">
        <v>792</v>
      </c>
      <c r="AS21" s="98" t="s">
        <v>792</v>
      </c>
      <c r="AT21" s="98" t="s">
        <v>792</v>
      </c>
      <c r="AU21" s="98" t="s">
        <v>792</v>
      </c>
      <c r="AV21" s="98" t="s">
        <v>792</v>
      </c>
      <c r="AW21" s="98">
        <v>352.80282242257937</v>
      </c>
      <c r="AX21" s="98" t="s">
        <v>792</v>
      </c>
      <c r="AY21" s="98">
        <v>862.406899255194</v>
      </c>
      <c r="AZ21" s="98">
        <v>274.40219521756177</v>
      </c>
      <c r="BA21" s="100" t="s">
        <v>792</v>
      </c>
      <c r="BB21" s="100" t="s">
        <v>792</v>
      </c>
      <c r="BC21" s="100" t="s">
        <v>792</v>
      </c>
      <c r="BD21" s="157">
        <v>0.4303</v>
      </c>
      <c r="BE21" s="157">
        <v>0.9993000000000001</v>
      </c>
      <c r="BF21" s="161">
        <v>187</v>
      </c>
      <c r="BG21" s="161" t="s">
        <v>792</v>
      </c>
      <c r="BH21" s="161">
        <v>564</v>
      </c>
      <c r="BI21" s="161">
        <v>131</v>
      </c>
      <c r="BJ21" s="161">
        <v>64</v>
      </c>
      <c r="BK21" s="97"/>
      <c r="BL21" s="97"/>
      <c r="BM21" s="97"/>
      <c r="BN21" s="97"/>
    </row>
    <row r="22" spans="1:66" ht="12.75">
      <c r="A22" s="79" t="s">
        <v>799</v>
      </c>
      <c r="B22" s="79" t="s">
        <v>74</v>
      </c>
      <c r="C22" s="79" t="s">
        <v>380</v>
      </c>
      <c r="D22" s="99">
        <v>8431</v>
      </c>
      <c r="E22" s="99">
        <v>1077</v>
      </c>
      <c r="F22" s="99" t="s">
        <v>115</v>
      </c>
      <c r="G22" s="99">
        <v>23</v>
      </c>
      <c r="H22" s="99">
        <v>14</v>
      </c>
      <c r="I22" s="99">
        <v>124</v>
      </c>
      <c r="J22" s="99">
        <v>575</v>
      </c>
      <c r="K22" s="99">
        <v>562</v>
      </c>
      <c r="L22" s="99">
        <v>1577</v>
      </c>
      <c r="M22" s="99">
        <v>345</v>
      </c>
      <c r="N22" s="99">
        <v>159</v>
      </c>
      <c r="O22" s="99">
        <v>120</v>
      </c>
      <c r="P22" s="158">
        <v>120</v>
      </c>
      <c r="Q22" s="99">
        <v>16</v>
      </c>
      <c r="R22" s="99">
        <v>28</v>
      </c>
      <c r="S22" s="99">
        <v>16</v>
      </c>
      <c r="T22" s="99">
        <v>17</v>
      </c>
      <c r="U22" s="99">
        <v>12</v>
      </c>
      <c r="V22" s="99">
        <v>22</v>
      </c>
      <c r="W22" s="99">
        <v>36</v>
      </c>
      <c r="X22" s="99">
        <v>42</v>
      </c>
      <c r="Y22" s="99">
        <v>101</v>
      </c>
      <c r="Z22" s="99">
        <v>39</v>
      </c>
      <c r="AA22" s="99">
        <v>8</v>
      </c>
      <c r="AB22" s="99">
        <v>12</v>
      </c>
      <c r="AC22" s="99">
        <v>6</v>
      </c>
      <c r="AD22" s="98" t="s">
        <v>97</v>
      </c>
      <c r="AE22" s="100">
        <v>0.12774285375400307</v>
      </c>
      <c r="AF22" s="100">
        <v>0.19</v>
      </c>
      <c r="AG22" s="98">
        <v>272.8027517494959</v>
      </c>
      <c r="AH22" s="98">
        <v>166.0538488909975</v>
      </c>
      <c r="AI22" s="100">
        <v>0.0147</v>
      </c>
      <c r="AJ22" s="100">
        <v>0.695284</v>
      </c>
      <c r="AK22" s="100">
        <v>0.698137</v>
      </c>
      <c r="AL22" s="100">
        <v>0.761836</v>
      </c>
      <c r="AM22" s="100">
        <v>0.502183</v>
      </c>
      <c r="AN22" s="100">
        <v>0.454286</v>
      </c>
      <c r="AO22" s="98">
        <v>1423.3187047799786</v>
      </c>
      <c r="AP22" s="157">
        <v>0.8165</v>
      </c>
      <c r="AQ22" s="100">
        <v>0.13333333333333333</v>
      </c>
      <c r="AR22" s="100">
        <v>0.5714285714285714</v>
      </c>
      <c r="AS22" s="98">
        <v>189.77582730399715</v>
      </c>
      <c r="AT22" s="98">
        <v>201.63681651049697</v>
      </c>
      <c r="AU22" s="98">
        <v>142.33187047799785</v>
      </c>
      <c r="AV22" s="98">
        <v>260.94176254299606</v>
      </c>
      <c r="AW22" s="98">
        <v>426.9956114339936</v>
      </c>
      <c r="AX22" s="98">
        <v>498.16154667299253</v>
      </c>
      <c r="AY22" s="98">
        <v>1197.959909856482</v>
      </c>
      <c r="AZ22" s="98">
        <v>462.57857905349306</v>
      </c>
      <c r="BA22" s="100">
        <v>0.3076923076923077</v>
      </c>
      <c r="BB22" s="100">
        <v>0.46153846153846156</v>
      </c>
      <c r="BC22" s="100">
        <v>0.23076923076923078</v>
      </c>
      <c r="BD22" s="157">
        <v>0.677</v>
      </c>
      <c r="BE22" s="157">
        <v>0.9764</v>
      </c>
      <c r="BF22" s="161">
        <v>827</v>
      </c>
      <c r="BG22" s="161">
        <v>805</v>
      </c>
      <c r="BH22" s="161">
        <v>2070</v>
      </c>
      <c r="BI22" s="161">
        <v>687</v>
      </c>
      <c r="BJ22" s="161">
        <v>350</v>
      </c>
      <c r="BK22" s="97"/>
      <c r="BL22" s="97"/>
      <c r="BM22" s="97"/>
      <c r="BN22" s="97"/>
    </row>
    <row r="23" spans="1:66" ht="12.75">
      <c r="A23" s="79" t="s">
        <v>800</v>
      </c>
      <c r="B23" s="79" t="s">
        <v>81</v>
      </c>
      <c r="C23" s="79" t="s">
        <v>380</v>
      </c>
      <c r="D23" s="99">
        <v>2888</v>
      </c>
      <c r="E23" s="99">
        <v>967</v>
      </c>
      <c r="F23" s="99" t="s">
        <v>115</v>
      </c>
      <c r="G23" s="99">
        <v>17</v>
      </c>
      <c r="H23" s="99">
        <v>18</v>
      </c>
      <c r="I23" s="99">
        <v>100</v>
      </c>
      <c r="J23" s="99">
        <v>316</v>
      </c>
      <c r="K23" s="99">
        <v>307</v>
      </c>
      <c r="L23" s="99">
        <v>495</v>
      </c>
      <c r="M23" s="99">
        <v>286</v>
      </c>
      <c r="N23" s="99">
        <v>125</v>
      </c>
      <c r="O23" s="99">
        <v>32</v>
      </c>
      <c r="P23" s="158">
        <v>32</v>
      </c>
      <c r="Q23" s="99">
        <v>11</v>
      </c>
      <c r="R23" s="99">
        <v>23</v>
      </c>
      <c r="S23" s="99">
        <v>7</v>
      </c>
      <c r="T23" s="99" t="s">
        <v>792</v>
      </c>
      <c r="U23" s="99" t="s">
        <v>792</v>
      </c>
      <c r="V23" s="99">
        <v>9</v>
      </c>
      <c r="W23" s="99">
        <v>27</v>
      </c>
      <c r="X23" s="99">
        <v>13</v>
      </c>
      <c r="Y23" s="99">
        <v>35</v>
      </c>
      <c r="Z23" s="99">
        <v>38</v>
      </c>
      <c r="AA23" s="99">
        <v>10</v>
      </c>
      <c r="AB23" s="99">
        <v>17</v>
      </c>
      <c r="AC23" s="99">
        <v>12</v>
      </c>
      <c r="AD23" s="98" t="s">
        <v>97</v>
      </c>
      <c r="AE23" s="100">
        <v>0.3348337950138504</v>
      </c>
      <c r="AF23" s="100">
        <v>0.16</v>
      </c>
      <c r="AG23" s="98">
        <v>588.6426592797784</v>
      </c>
      <c r="AH23" s="98">
        <v>623.2686980609418</v>
      </c>
      <c r="AI23" s="100">
        <v>0.0346</v>
      </c>
      <c r="AJ23" s="100">
        <v>0.719818</v>
      </c>
      <c r="AK23" s="100">
        <v>0.720657</v>
      </c>
      <c r="AL23" s="100">
        <v>0.779528</v>
      </c>
      <c r="AM23" s="100">
        <v>0.617711</v>
      </c>
      <c r="AN23" s="100">
        <v>0.618812</v>
      </c>
      <c r="AO23" s="98">
        <v>1108.03324099723</v>
      </c>
      <c r="AP23" s="157">
        <v>0.3886</v>
      </c>
      <c r="AQ23" s="100">
        <v>0.34375</v>
      </c>
      <c r="AR23" s="100">
        <v>0.4782608695652174</v>
      </c>
      <c r="AS23" s="98">
        <v>242.38227146814404</v>
      </c>
      <c r="AT23" s="98" t="s">
        <v>792</v>
      </c>
      <c r="AU23" s="98" t="s">
        <v>792</v>
      </c>
      <c r="AV23" s="98">
        <v>311.6343490304709</v>
      </c>
      <c r="AW23" s="98">
        <v>934.9030470914128</v>
      </c>
      <c r="AX23" s="98">
        <v>450.1385041551247</v>
      </c>
      <c r="AY23" s="98">
        <v>1211.9113573407203</v>
      </c>
      <c r="AZ23" s="98">
        <v>1315.7894736842106</v>
      </c>
      <c r="BA23" s="100">
        <v>0.2564102564102564</v>
      </c>
      <c r="BB23" s="100">
        <v>0.4358974358974359</v>
      </c>
      <c r="BC23" s="100">
        <v>0.3076923076923077</v>
      </c>
      <c r="BD23" s="157">
        <v>0.2658</v>
      </c>
      <c r="BE23" s="157">
        <v>0.5485</v>
      </c>
      <c r="BF23" s="161">
        <v>439</v>
      </c>
      <c r="BG23" s="161">
        <v>426</v>
      </c>
      <c r="BH23" s="161">
        <v>635</v>
      </c>
      <c r="BI23" s="161">
        <v>463</v>
      </c>
      <c r="BJ23" s="161">
        <v>202</v>
      </c>
      <c r="BK23" s="97"/>
      <c r="BL23" s="97"/>
      <c r="BM23" s="97"/>
      <c r="BN23" s="97"/>
    </row>
    <row r="24" spans="1:66" ht="12.75">
      <c r="A24" s="79" t="s">
        <v>204</v>
      </c>
      <c r="B24" s="79" t="s">
        <v>77</v>
      </c>
      <c r="C24" s="79" t="s">
        <v>380</v>
      </c>
      <c r="D24" s="99">
        <v>7920</v>
      </c>
      <c r="E24" s="99">
        <v>1203</v>
      </c>
      <c r="F24" s="99" t="s">
        <v>118</v>
      </c>
      <c r="G24" s="99">
        <v>38</v>
      </c>
      <c r="H24" s="99">
        <v>20</v>
      </c>
      <c r="I24" s="99">
        <v>110</v>
      </c>
      <c r="J24" s="99">
        <v>738</v>
      </c>
      <c r="K24" s="99">
        <v>13</v>
      </c>
      <c r="L24" s="99">
        <v>1697</v>
      </c>
      <c r="M24" s="99">
        <v>569</v>
      </c>
      <c r="N24" s="99">
        <v>283</v>
      </c>
      <c r="O24" s="99">
        <v>160</v>
      </c>
      <c r="P24" s="158">
        <v>160</v>
      </c>
      <c r="Q24" s="99">
        <v>14</v>
      </c>
      <c r="R24" s="99">
        <v>24</v>
      </c>
      <c r="S24" s="99">
        <v>27</v>
      </c>
      <c r="T24" s="99">
        <v>18</v>
      </c>
      <c r="U24" s="99" t="s">
        <v>792</v>
      </c>
      <c r="V24" s="99">
        <v>49</v>
      </c>
      <c r="W24" s="99">
        <v>33</v>
      </c>
      <c r="X24" s="99">
        <v>39</v>
      </c>
      <c r="Y24" s="99">
        <v>99</v>
      </c>
      <c r="Z24" s="99">
        <v>57</v>
      </c>
      <c r="AA24" s="99">
        <v>12</v>
      </c>
      <c r="AB24" s="99">
        <v>20</v>
      </c>
      <c r="AC24" s="99">
        <v>8</v>
      </c>
      <c r="AD24" s="98" t="s">
        <v>97</v>
      </c>
      <c r="AE24" s="100">
        <v>0.1518939393939394</v>
      </c>
      <c r="AF24" s="100">
        <v>0.12</v>
      </c>
      <c r="AG24" s="98">
        <v>479.7979797979798</v>
      </c>
      <c r="AH24" s="98">
        <v>252.5252525252525</v>
      </c>
      <c r="AI24" s="100">
        <v>0.0139</v>
      </c>
      <c r="AJ24" s="100">
        <v>0.716505</v>
      </c>
      <c r="AK24" s="100">
        <v>0.565217</v>
      </c>
      <c r="AL24" s="100">
        <v>0.813129</v>
      </c>
      <c r="AM24" s="100">
        <v>0.637178</v>
      </c>
      <c r="AN24" s="100">
        <v>0.620614</v>
      </c>
      <c r="AO24" s="98">
        <v>2020.20202020202</v>
      </c>
      <c r="AP24" s="157">
        <v>1.0128</v>
      </c>
      <c r="AQ24" s="100">
        <v>0.0875</v>
      </c>
      <c r="AR24" s="100">
        <v>0.5833333333333334</v>
      </c>
      <c r="AS24" s="98">
        <v>340.90909090909093</v>
      </c>
      <c r="AT24" s="98">
        <v>227.27272727272728</v>
      </c>
      <c r="AU24" s="98" t="s">
        <v>792</v>
      </c>
      <c r="AV24" s="98">
        <v>618.6868686868687</v>
      </c>
      <c r="AW24" s="98">
        <v>416.6666666666667</v>
      </c>
      <c r="AX24" s="98">
        <v>492.42424242424244</v>
      </c>
      <c r="AY24" s="98">
        <v>1250</v>
      </c>
      <c r="AZ24" s="98">
        <v>719.6969696969697</v>
      </c>
      <c r="BA24" s="100">
        <v>0.3</v>
      </c>
      <c r="BB24" s="100">
        <v>0.5</v>
      </c>
      <c r="BC24" s="100">
        <v>0.2</v>
      </c>
      <c r="BD24" s="157">
        <v>0.8619</v>
      </c>
      <c r="BE24" s="157">
        <v>1.1825</v>
      </c>
      <c r="BF24" s="161">
        <v>1030</v>
      </c>
      <c r="BG24" s="161">
        <v>23</v>
      </c>
      <c r="BH24" s="161">
        <v>2087</v>
      </c>
      <c r="BI24" s="161">
        <v>893</v>
      </c>
      <c r="BJ24" s="161">
        <v>456</v>
      </c>
      <c r="BK24" s="97"/>
      <c r="BL24" s="97"/>
      <c r="BM24" s="97"/>
      <c r="BN24" s="97"/>
    </row>
    <row r="25" spans="1:66" ht="12.75">
      <c r="A25" s="79" t="s">
        <v>195</v>
      </c>
      <c r="B25" s="79" t="s">
        <v>63</v>
      </c>
      <c r="C25" s="79" t="s">
        <v>380</v>
      </c>
      <c r="D25" s="99">
        <v>8035</v>
      </c>
      <c r="E25" s="99">
        <v>1749</v>
      </c>
      <c r="F25" s="99" t="s">
        <v>117</v>
      </c>
      <c r="G25" s="99">
        <v>57</v>
      </c>
      <c r="H25" s="99">
        <v>28</v>
      </c>
      <c r="I25" s="99">
        <v>193</v>
      </c>
      <c r="J25" s="99">
        <v>911</v>
      </c>
      <c r="K25" s="99">
        <v>15</v>
      </c>
      <c r="L25" s="99">
        <v>1640</v>
      </c>
      <c r="M25" s="99">
        <v>817</v>
      </c>
      <c r="N25" s="99">
        <v>396</v>
      </c>
      <c r="O25" s="99">
        <v>237</v>
      </c>
      <c r="P25" s="158">
        <v>237</v>
      </c>
      <c r="Q25" s="99">
        <v>20</v>
      </c>
      <c r="R25" s="99">
        <v>42</v>
      </c>
      <c r="S25" s="99">
        <v>37</v>
      </c>
      <c r="T25" s="99">
        <v>48</v>
      </c>
      <c r="U25" s="99">
        <v>9</v>
      </c>
      <c r="V25" s="99">
        <v>49</v>
      </c>
      <c r="W25" s="99">
        <v>56</v>
      </c>
      <c r="X25" s="99">
        <v>43</v>
      </c>
      <c r="Y25" s="99">
        <v>98</v>
      </c>
      <c r="Z25" s="99">
        <v>79</v>
      </c>
      <c r="AA25" s="99">
        <v>9</v>
      </c>
      <c r="AB25" s="99">
        <v>21</v>
      </c>
      <c r="AC25" s="99">
        <v>11</v>
      </c>
      <c r="AD25" s="98" t="s">
        <v>97</v>
      </c>
      <c r="AE25" s="100">
        <v>0.2176726820161792</v>
      </c>
      <c r="AF25" s="100">
        <v>0.08</v>
      </c>
      <c r="AG25" s="98">
        <v>709.3963907902925</v>
      </c>
      <c r="AH25" s="98">
        <v>348.4754200373367</v>
      </c>
      <c r="AI25" s="100">
        <v>0.024</v>
      </c>
      <c r="AJ25" s="100">
        <v>0.744281</v>
      </c>
      <c r="AK25" s="100">
        <v>0.576923</v>
      </c>
      <c r="AL25" s="100">
        <v>0.831643</v>
      </c>
      <c r="AM25" s="100">
        <v>0.673537</v>
      </c>
      <c r="AN25" s="100">
        <v>0.691099</v>
      </c>
      <c r="AO25" s="98">
        <v>2949.5955196017426</v>
      </c>
      <c r="AP25" s="157">
        <v>1.2499</v>
      </c>
      <c r="AQ25" s="100">
        <v>0.08438818565400844</v>
      </c>
      <c r="AR25" s="100">
        <v>0.47619047619047616</v>
      </c>
      <c r="AS25" s="98">
        <v>460.48537647790914</v>
      </c>
      <c r="AT25" s="98">
        <v>597.3864343497199</v>
      </c>
      <c r="AU25" s="98">
        <v>112.0099564405725</v>
      </c>
      <c r="AV25" s="98">
        <v>609.8319850653392</v>
      </c>
      <c r="AW25" s="98">
        <v>696.9508400746734</v>
      </c>
      <c r="AX25" s="98">
        <v>535.1586807716242</v>
      </c>
      <c r="AY25" s="98">
        <v>1219.6639701306783</v>
      </c>
      <c r="AZ25" s="98">
        <v>983.1985065339142</v>
      </c>
      <c r="BA25" s="100">
        <v>0.21951219512195122</v>
      </c>
      <c r="BB25" s="100">
        <v>0.5121951219512195</v>
      </c>
      <c r="BC25" s="100">
        <v>0.2682926829268293</v>
      </c>
      <c r="BD25" s="157">
        <v>1.0957999999999999</v>
      </c>
      <c r="BE25" s="157">
        <v>1.4196</v>
      </c>
      <c r="BF25" s="161">
        <v>1224</v>
      </c>
      <c r="BG25" s="161">
        <v>26</v>
      </c>
      <c r="BH25" s="161">
        <v>1972</v>
      </c>
      <c r="BI25" s="161">
        <v>1213</v>
      </c>
      <c r="BJ25" s="161">
        <v>573</v>
      </c>
      <c r="BK25" s="97"/>
      <c r="BL25" s="97"/>
      <c r="BM25" s="97"/>
      <c r="BN25" s="97"/>
    </row>
    <row r="26" spans="1:66" ht="12.75">
      <c r="A26" s="79" t="s">
        <v>196</v>
      </c>
      <c r="B26" s="79" t="s">
        <v>66</v>
      </c>
      <c r="C26" s="79" t="s">
        <v>380</v>
      </c>
      <c r="D26" s="99">
        <v>7767</v>
      </c>
      <c r="E26" s="99">
        <v>1312</v>
      </c>
      <c r="F26" s="99" t="s">
        <v>119</v>
      </c>
      <c r="G26" s="99">
        <v>41</v>
      </c>
      <c r="H26" s="99">
        <v>14</v>
      </c>
      <c r="I26" s="99">
        <v>175</v>
      </c>
      <c r="J26" s="99">
        <v>914</v>
      </c>
      <c r="K26" s="99">
        <v>879</v>
      </c>
      <c r="L26" s="99">
        <v>1740</v>
      </c>
      <c r="M26" s="99">
        <v>705</v>
      </c>
      <c r="N26" s="99">
        <v>360</v>
      </c>
      <c r="O26" s="99">
        <v>141</v>
      </c>
      <c r="P26" s="158">
        <v>141</v>
      </c>
      <c r="Q26" s="99">
        <v>15</v>
      </c>
      <c r="R26" s="99">
        <v>34</v>
      </c>
      <c r="S26" s="99">
        <v>37</v>
      </c>
      <c r="T26" s="99">
        <v>31</v>
      </c>
      <c r="U26" s="99">
        <v>6</v>
      </c>
      <c r="V26" s="99">
        <v>21</v>
      </c>
      <c r="W26" s="99">
        <v>52</v>
      </c>
      <c r="X26" s="99">
        <v>45</v>
      </c>
      <c r="Y26" s="99">
        <v>86</v>
      </c>
      <c r="Z26" s="99">
        <v>48</v>
      </c>
      <c r="AA26" s="99">
        <v>7</v>
      </c>
      <c r="AB26" s="99">
        <v>21</v>
      </c>
      <c r="AC26" s="99">
        <v>9</v>
      </c>
      <c r="AD26" s="98" t="s">
        <v>97</v>
      </c>
      <c r="AE26" s="100">
        <v>0.16891978885026393</v>
      </c>
      <c r="AF26" s="100">
        <v>0.06</v>
      </c>
      <c r="AG26" s="98">
        <v>527.8743401570748</v>
      </c>
      <c r="AH26" s="98">
        <v>180.24977468778164</v>
      </c>
      <c r="AI26" s="100">
        <v>0.0225</v>
      </c>
      <c r="AJ26" s="100">
        <v>0.803163</v>
      </c>
      <c r="AK26" s="100">
        <v>0.794038</v>
      </c>
      <c r="AL26" s="100">
        <v>0.842207</v>
      </c>
      <c r="AM26" s="100">
        <v>0.671429</v>
      </c>
      <c r="AN26" s="100">
        <v>0.652174</v>
      </c>
      <c r="AO26" s="98">
        <v>1815.3727307840866</v>
      </c>
      <c r="AP26" s="157">
        <v>0.8551000000000001</v>
      </c>
      <c r="AQ26" s="100">
        <v>0.10638297872340426</v>
      </c>
      <c r="AR26" s="100">
        <v>0.4411764705882353</v>
      </c>
      <c r="AS26" s="98">
        <v>476.37440453199434</v>
      </c>
      <c r="AT26" s="98">
        <v>399.1245010943736</v>
      </c>
      <c r="AU26" s="98">
        <v>77.2499034376207</v>
      </c>
      <c r="AV26" s="98">
        <v>270.3746620316725</v>
      </c>
      <c r="AW26" s="98">
        <v>669.4991631260461</v>
      </c>
      <c r="AX26" s="98">
        <v>579.3742757821552</v>
      </c>
      <c r="AY26" s="98">
        <v>1107.2486159392301</v>
      </c>
      <c r="AZ26" s="98">
        <v>617.9992275009656</v>
      </c>
      <c r="BA26" s="100">
        <v>0.1891891891891892</v>
      </c>
      <c r="BB26" s="100">
        <v>0.5675675675675675</v>
      </c>
      <c r="BC26" s="100">
        <v>0.24324324324324326</v>
      </c>
      <c r="BD26" s="157">
        <v>0.7198</v>
      </c>
      <c r="BE26" s="157">
        <v>1.0085</v>
      </c>
      <c r="BF26" s="161">
        <v>1138</v>
      </c>
      <c r="BG26" s="161">
        <v>1107</v>
      </c>
      <c r="BH26" s="161">
        <v>2066</v>
      </c>
      <c r="BI26" s="161">
        <v>1050</v>
      </c>
      <c r="BJ26" s="161">
        <v>552</v>
      </c>
      <c r="BK26" s="97"/>
      <c r="BL26" s="97"/>
      <c r="BM26" s="97"/>
      <c r="BN26" s="97"/>
    </row>
    <row r="27" spans="1:66" ht="12.75">
      <c r="A27" s="79" t="s">
        <v>384</v>
      </c>
      <c r="B27" s="79" t="s">
        <v>67</v>
      </c>
      <c r="C27" s="79" t="s">
        <v>380</v>
      </c>
      <c r="D27" s="99">
        <v>9596</v>
      </c>
      <c r="E27" s="99">
        <v>1368</v>
      </c>
      <c r="F27" s="99" t="s">
        <v>117</v>
      </c>
      <c r="G27" s="99">
        <v>32</v>
      </c>
      <c r="H27" s="99">
        <v>18</v>
      </c>
      <c r="I27" s="99">
        <v>155</v>
      </c>
      <c r="J27" s="99">
        <v>988</v>
      </c>
      <c r="K27" s="99">
        <v>25</v>
      </c>
      <c r="L27" s="99">
        <v>2194</v>
      </c>
      <c r="M27" s="99">
        <v>729</v>
      </c>
      <c r="N27" s="99">
        <v>345</v>
      </c>
      <c r="O27" s="99">
        <v>98</v>
      </c>
      <c r="P27" s="158">
        <v>98</v>
      </c>
      <c r="Q27" s="99">
        <v>15</v>
      </c>
      <c r="R27" s="99">
        <v>29</v>
      </c>
      <c r="S27" s="99">
        <v>7</v>
      </c>
      <c r="T27" s="99">
        <v>16</v>
      </c>
      <c r="U27" s="99">
        <v>10</v>
      </c>
      <c r="V27" s="99">
        <v>19</v>
      </c>
      <c r="W27" s="99">
        <v>58</v>
      </c>
      <c r="X27" s="99">
        <v>45</v>
      </c>
      <c r="Y27" s="99">
        <v>93</v>
      </c>
      <c r="Z27" s="99">
        <v>39</v>
      </c>
      <c r="AA27" s="99">
        <v>8</v>
      </c>
      <c r="AB27" s="99">
        <v>16</v>
      </c>
      <c r="AC27" s="99">
        <v>11</v>
      </c>
      <c r="AD27" s="98" t="s">
        <v>97</v>
      </c>
      <c r="AE27" s="100">
        <v>0.1425593997498958</v>
      </c>
      <c r="AF27" s="100">
        <v>0.11</v>
      </c>
      <c r="AG27" s="98">
        <v>333.4722801167153</v>
      </c>
      <c r="AH27" s="98">
        <v>187.57815756565236</v>
      </c>
      <c r="AI27" s="100">
        <v>0.016200000000000003</v>
      </c>
      <c r="AJ27" s="100">
        <v>0.770671</v>
      </c>
      <c r="AK27" s="100">
        <v>0.595238</v>
      </c>
      <c r="AL27" s="100">
        <v>0.851378</v>
      </c>
      <c r="AM27" s="100">
        <v>0.683865</v>
      </c>
      <c r="AN27" s="100">
        <v>0.669903</v>
      </c>
      <c r="AO27" s="98">
        <v>1021.2588578574406</v>
      </c>
      <c r="AP27" s="157">
        <v>0.519</v>
      </c>
      <c r="AQ27" s="100">
        <v>0.15306122448979592</v>
      </c>
      <c r="AR27" s="100">
        <v>0.5172413793103449</v>
      </c>
      <c r="AS27" s="98">
        <v>72.94706127553147</v>
      </c>
      <c r="AT27" s="98">
        <v>166.73614005835765</v>
      </c>
      <c r="AU27" s="98">
        <v>104.21008753647354</v>
      </c>
      <c r="AV27" s="98">
        <v>197.99916631929972</v>
      </c>
      <c r="AW27" s="98">
        <v>604.4185077115465</v>
      </c>
      <c r="AX27" s="98">
        <v>468.9453939141309</v>
      </c>
      <c r="AY27" s="98">
        <v>969.1538140892038</v>
      </c>
      <c r="AZ27" s="98">
        <v>406.4193413922468</v>
      </c>
      <c r="BA27" s="100">
        <v>0.22857142857142856</v>
      </c>
      <c r="BB27" s="100">
        <v>0.45714285714285713</v>
      </c>
      <c r="BC27" s="100">
        <v>0.3142857142857143</v>
      </c>
      <c r="BD27" s="157">
        <v>0.4213</v>
      </c>
      <c r="BE27" s="157">
        <v>0.6325</v>
      </c>
      <c r="BF27" s="161">
        <v>1282</v>
      </c>
      <c r="BG27" s="161">
        <v>42</v>
      </c>
      <c r="BH27" s="161">
        <v>2577</v>
      </c>
      <c r="BI27" s="161">
        <v>1066</v>
      </c>
      <c r="BJ27" s="161">
        <v>515</v>
      </c>
      <c r="BK27" s="97"/>
      <c r="BL27" s="97"/>
      <c r="BM27" s="97"/>
      <c r="BN27" s="97"/>
    </row>
    <row r="28" spans="1:66" ht="12.75">
      <c r="A28" s="79" t="s">
        <v>386</v>
      </c>
      <c r="B28" s="79" t="s">
        <v>93</v>
      </c>
      <c r="C28" s="79" t="s">
        <v>380</v>
      </c>
      <c r="D28" s="99">
        <v>8815</v>
      </c>
      <c r="E28" s="99">
        <v>1656</v>
      </c>
      <c r="F28" s="99" t="s">
        <v>115</v>
      </c>
      <c r="G28" s="99">
        <v>31</v>
      </c>
      <c r="H28" s="99">
        <v>19</v>
      </c>
      <c r="I28" s="99">
        <v>112</v>
      </c>
      <c r="J28" s="99">
        <v>800</v>
      </c>
      <c r="K28" s="99">
        <v>793</v>
      </c>
      <c r="L28" s="99">
        <v>1612</v>
      </c>
      <c r="M28" s="99">
        <v>574</v>
      </c>
      <c r="N28" s="99">
        <v>279</v>
      </c>
      <c r="O28" s="99">
        <v>74</v>
      </c>
      <c r="P28" s="158">
        <v>74</v>
      </c>
      <c r="Q28" s="99">
        <v>15</v>
      </c>
      <c r="R28" s="99">
        <v>37</v>
      </c>
      <c r="S28" s="99">
        <v>7</v>
      </c>
      <c r="T28" s="99">
        <v>12</v>
      </c>
      <c r="U28" s="99" t="s">
        <v>792</v>
      </c>
      <c r="V28" s="99">
        <v>13</v>
      </c>
      <c r="W28" s="99">
        <v>21</v>
      </c>
      <c r="X28" s="99">
        <v>36</v>
      </c>
      <c r="Y28" s="99">
        <v>61</v>
      </c>
      <c r="Z28" s="99">
        <v>44</v>
      </c>
      <c r="AA28" s="99">
        <v>8</v>
      </c>
      <c r="AB28" s="99">
        <v>23</v>
      </c>
      <c r="AC28" s="99">
        <v>13</v>
      </c>
      <c r="AD28" s="98" t="s">
        <v>97</v>
      </c>
      <c r="AE28" s="100">
        <v>0.18786159954622803</v>
      </c>
      <c r="AF28" s="100">
        <v>0.21</v>
      </c>
      <c r="AG28" s="98">
        <v>351.6732841747022</v>
      </c>
      <c r="AH28" s="98">
        <v>215.54169030062394</v>
      </c>
      <c r="AI28" s="100">
        <v>0.0127</v>
      </c>
      <c r="AJ28" s="100">
        <v>0.742804</v>
      </c>
      <c r="AK28" s="100">
        <v>0.755958</v>
      </c>
      <c r="AL28" s="100">
        <v>0.751866</v>
      </c>
      <c r="AM28" s="100">
        <v>0.586313</v>
      </c>
      <c r="AN28" s="100">
        <v>0.572895</v>
      </c>
      <c r="AO28" s="98">
        <v>839.4781622234827</v>
      </c>
      <c r="AP28" s="157">
        <v>0.3987</v>
      </c>
      <c r="AQ28" s="100">
        <v>0.20270270270270271</v>
      </c>
      <c r="AR28" s="100">
        <v>0.40540540540540543</v>
      </c>
      <c r="AS28" s="98">
        <v>79.41009642654566</v>
      </c>
      <c r="AT28" s="98">
        <v>136.13159387407828</v>
      </c>
      <c r="AU28" s="98" t="s">
        <v>792</v>
      </c>
      <c r="AV28" s="98">
        <v>147.4758933635848</v>
      </c>
      <c r="AW28" s="98">
        <v>238.230289279637</v>
      </c>
      <c r="AX28" s="98">
        <v>408.3947816222348</v>
      </c>
      <c r="AY28" s="98">
        <v>692.0022688598979</v>
      </c>
      <c r="AZ28" s="98">
        <v>499.149177538287</v>
      </c>
      <c r="BA28" s="100">
        <v>0.18181818181818182</v>
      </c>
      <c r="BB28" s="100">
        <v>0.5227272727272727</v>
      </c>
      <c r="BC28" s="100">
        <v>0.29545454545454547</v>
      </c>
      <c r="BD28" s="157">
        <v>0.3131</v>
      </c>
      <c r="BE28" s="157">
        <v>0.5006</v>
      </c>
      <c r="BF28" s="161">
        <v>1077</v>
      </c>
      <c r="BG28" s="161">
        <v>1049</v>
      </c>
      <c r="BH28" s="161">
        <v>2144</v>
      </c>
      <c r="BI28" s="161">
        <v>979</v>
      </c>
      <c r="BJ28" s="161">
        <v>487</v>
      </c>
      <c r="BK28" s="97"/>
      <c r="BL28" s="97"/>
      <c r="BM28" s="97"/>
      <c r="BN28" s="97"/>
    </row>
    <row r="29" spans="1:66" ht="12.75">
      <c r="A29" s="79" t="s">
        <v>205</v>
      </c>
      <c r="B29" s="79" t="s">
        <v>78</v>
      </c>
      <c r="C29" s="79" t="s">
        <v>380</v>
      </c>
      <c r="D29" s="99">
        <v>4536</v>
      </c>
      <c r="E29" s="99">
        <v>748</v>
      </c>
      <c r="F29" s="99" t="s">
        <v>117</v>
      </c>
      <c r="G29" s="99">
        <v>17</v>
      </c>
      <c r="H29" s="99">
        <v>6</v>
      </c>
      <c r="I29" s="99">
        <v>55</v>
      </c>
      <c r="J29" s="99">
        <v>422</v>
      </c>
      <c r="K29" s="99">
        <v>8</v>
      </c>
      <c r="L29" s="99">
        <v>906</v>
      </c>
      <c r="M29" s="99">
        <v>351</v>
      </c>
      <c r="N29" s="99">
        <v>167</v>
      </c>
      <c r="O29" s="99">
        <v>67</v>
      </c>
      <c r="P29" s="158">
        <v>67</v>
      </c>
      <c r="Q29" s="99">
        <v>10</v>
      </c>
      <c r="R29" s="99">
        <v>19</v>
      </c>
      <c r="S29" s="99">
        <v>9</v>
      </c>
      <c r="T29" s="99">
        <v>8</v>
      </c>
      <c r="U29" s="99" t="s">
        <v>792</v>
      </c>
      <c r="V29" s="99">
        <v>25</v>
      </c>
      <c r="W29" s="99">
        <v>17</v>
      </c>
      <c r="X29" s="99">
        <v>11</v>
      </c>
      <c r="Y29" s="99">
        <v>46</v>
      </c>
      <c r="Z29" s="99">
        <v>20</v>
      </c>
      <c r="AA29" s="99" t="s">
        <v>792</v>
      </c>
      <c r="AB29" s="99">
        <v>13</v>
      </c>
      <c r="AC29" s="99" t="s">
        <v>792</v>
      </c>
      <c r="AD29" s="98" t="s">
        <v>97</v>
      </c>
      <c r="AE29" s="100">
        <v>0.16490299823633156</v>
      </c>
      <c r="AF29" s="100">
        <v>0.1</v>
      </c>
      <c r="AG29" s="98">
        <v>374.7795414462081</v>
      </c>
      <c r="AH29" s="98">
        <v>132.27513227513228</v>
      </c>
      <c r="AI29" s="100">
        <v>0.0121</v>
      </c>
      <c r="AJ29" s="100">
        <v>0.666667</v>
      </c>
      <c r="AK29" s="100">
        <v>0.5</v>
      </c>
      <c r="AL29" s="100">
        <v>0.758159</v>
      </c>
      <c r="AM29" s="100">
        <v>0.588926</v>
      </c>
      <c r="AN29" s="100">
        <v>0.56229</v>
      </c>
      <c r="AO29" s="98">
        <v>1477.0723104056437</v>
      </c>
      <c r="AP29" s="157">
        <v>0.6983</v>
      </c>
      <c r="AQ29" s="100">
        <v>0.14925373134328357</v>
      </c>
      <c r="AR29" s="100">
        <v>0.5263157894736842</v>
      </c>
      <c r="AS29" s="98">
        <v>198.4126984126984</v>
      </c>
      <c r="AT29" s="98">
        <v>176.3668430335097</v>
      </c>
      <c r="AU29" s="98" t="s">
        <v>792</v>
      </c>
      <c r="AV29" s="98">
        <v>551.1463844797178</v>
      </c>
      <c r="AW29" s="98">
        <v>374.7795414462081</v>
      </c>
      <c r="AX29" s="98">
        <v>242.50440917107585</v>
      </c>
      <c r="AY29" s="98">
        <v>1014.1093474426808</v>
      </c>
      <c r="AZ29" s="98">
        <v>440.9171075837742</v>
      </c>
      <c r="BA29" s="100" t="s">
        <v>792</v>
      </c>
      <c r="BB29" s="100">
        <v>0.5652173913043478</v>
      </c>
      <c r="BC29" s="100" t="s">
        <v>792</v>
      </c>
      <c r="BD29" s="157">
        <v>0.5412</v>
      </c>
      <c r="BE29" s="157">
        <v>0.8869</v>
      </c>
      <c r="BF29" s="161">
        <v>633</v>
      </c>
      <c r="BG29" s="161">
        <v>16</v>
      </c>
      <c r="BH29" s="161">
        <v>1195</v>
      </c>
      <c r="BI29" s="161">
        <v>596</v>
      </c>
      <c r="BJ29" s="161">
        <v>297</v>
      </c>
      <c r="BK29" s="97"/>
      <c r="BL29" s="97"/>
      <c r="BM29" s="97"/>
      <c r="BN29" s="97"/>
    </row>
    <row r="30" spans="1:66" ht="12.75">
      <c r="A30" s="79" t="s">
        <v>199</v>
      </c>
      <c r="B30" s="79" t="s">
        <v>70</v>
      </c>
      <c r="C30" s="79" t="s">
        <v>380</v>
      </c>
      <c r="D30" s="99">
        <v>6134</v>
      </c>
      <c r="E30" s="99">
        <v>1163</v>
      </c>
      <c r="F30" s="99" t="s">
        <v>117</v>
      </c>
      <c r="G30" s="99">
        <v>22</v>
      </c>
      <c r="H30" s="99">
        <v>14</v>
      </c>
      <c r="I30" s="99">
        <v>113</v>
      </c>
      <c r="J30" s="99">
        <v>664</v>
      </c>
      <c r="K30" s="99">
        <v>230</v>
      </c>
      <c r="L30" s="99">
        <v>1252</v>
      </c>
      <c r="M30" s="99">
        <v>589</v>
      </c>
      <c r="N30" s="99">
        <v>265</v>
      </c>
      <c r="O30" s="99">
        <v>70</v>
      </c>
      <c r="P30" s="158">
        <v>70</v>
      </c>
      <c r="Q30" s="99">
        <v>11</v>
      </c>
      <c r="R30" s="99">
        <v>20</v>
      </c>
      <c r="S30" s="99">
        <v>13</v>
      </c>
      <c r="T30" s="99">
        <v>11</v>
      </c>
      <c r="U30" s="99">
        <v>6</v>
      </c>
      <c r="V30" s="99">
        <v>12</v>
      </c>
      <c r="W30" s="99">
        <v>30</v>
      </c>
      <c r="X30" s="99">
        <v>26</v>
      </c>
      <c r="Y30" s="99">
        <v>57</v>
      </c>
      <c r="Z30" s="99">
        <v>46</v>
      </c>
      <c r="AA30" s="99">
        <v>11</v>
      </c>
      <c r="AB30" s="99">
        <v>11</v>
      </c>
      <c r="AC30" s="99">
        <v>7</v>
      </c>
      <c r="AD30" s="98" t="s">
        <v>97</v>
      </c>
      <c r="AE30" s="100">
        <v>0.18959895663514836</v>
      </c>
      <c r="AF30" s="100">
        <v>0.11</v>
      </c>
      <c r="AG30" s="98">
        <v>358.6566677535051</v>
      </c>
      <c r="AH30" s="98">
        <v>228.23606129768504</v>
      </c>
      <c r="AI30" s="100">
        <v>0.0184</v>
      </c>
      <c r="AJ30" s="100">
        <v>0.736959</v>
      </c>
      <c r="AK30" s="100">
        <v>0.867925</v>
      </c>
      <c r="AL30" s="100">
        <v>0.823684</v>
      </c>
      <c r="AM30" s="100">
        <v>0.698695</v>
      </c>
      <c r="AN30" s="100">
        <v>0.697368</v>
      </c>
      <c r="AO30" s="98">
        <v>1141.1803064884252</v>
      </c>
      <c r="AP30" s="157">
        <v>0.5266</v>
      </c>
      <c r="AQ30" s="100">
        <v>0.15714285714285714</v>
      </c>
      <c r="AR30" s="100">
        <v>0.55</v>
      </c>
      <c r="AS30" s="98">
        <v>211.93348549070754</v>
      </c>
      <c r="AT30" s="98">
        <v>179.32833387675254</v>
      </c>
      <c r="AU30" s="98">
        <v>97.81545484186502</v>
      </c>
      <c r="AV30" s="98">
        <v>195.63090968373004</v>
      </c>
      <c r="AW30" s="98">
        <v>489.0772742093251</v>
      </c>
      <c r="AX30" s="98">
        <v>423.8669709814151</v>
      </c>
      <c r="AY30" s="98">
        <v>929.2468209977177</v>
      </c>
      <c r="AZ30" s="98">
        <v>749.9184871209651</v>
      </c>
      <c r="BA30" s="100">
        <v>0.3793103448275862</v>
      </c>
      <c r="BB30" s="100">
        <v>0.3793103448275862</v>
      </c>
      <c r="BC30" s="100">
        <v>0.2413793103448276</v>
      </c>
      <c r="BD30" s="157">
        <v>0.4105</v>
      </c>
      <c r="BE30" s="157">
        <v>0.6653</v>
      </c>
      <c r="BF30" s="161">
        <v>901</v>
      </c>
      <c r="BG30" s="161">
        <v>265</v>
      </c>
      <c r="BH30" s="161">
        <v>1520</v>
      </c>
      <c r="BI30" s="161">
        <v>843</v>
      </c>
      <c r="BJ30" s="161">
        <v>380</v>
      </c>
      <c r="BK30" s="97"/>
      <c r="BL30" s="97"/>
      <c r="BM30" s="97"/>
      <c r="BN30" s="97"/>
    </row>
    <row r="31" spans="1:66" ht="12.75">
      <c r="A31" s="79" t="s">
        <v>194</v>
      </c>
      <c r="B31" s="79" t="s">
        <v>62</v>
      </c>
      <c r="C31" s="79" t="s">
        <v>380</v>
      </c>
      <c r="D31" s="99">
        <v>8656</v>
      </c>
      <c r="E31" s="99">
        <v>1153</v>
      </c>
      <c r="F31" s="99" t="s">
        <v>116</v>
      </c>
      <c r="G31" s="99">
        <v>24</v>
      </c>
      <c r="H31" s="99">
        <v>28</v>
      </c>
      <c r="I31" s="99">
        <v>113</v>
      </c>
      <c r="J31" s="99">
        <v>660</v>
      </c>
      <c r="K31" s="99">
        <v>641</v>
      </c>
      <c r="L31" s="99">
        <v>1531</v>
      </c>
      <c r="M31" s="99">
        <v>430</v>
      </c>
      <c r="N31" s="99">
        <v>210</v>
      </c>
      <c r="O31" s="99">
        <v>75</v>
      </c>
      <c r="P31" s="158">
        <v>75</v>
      </c>
      <c r="Q31" s="99">
        <v>14</v>
      </c>
      <c r="R31" s="99">
        <v>31</v>
      </c>
      <c r="S31" s="99">
        <v>12</v>
      </c>
      <c r="T31" s="99">
        <v>12</v>
      </c>
      <c r="U31" s="99">
        <v>6</v>
      </c>
      <c r="V31" s="99">
        <v>8</v>
      </c>
      <c r="W31" s="99">
        <v>32</v>
      </c>
      <c r="X31" s="99">
        <v>23</v>
      </c>
      <c r="Y31" s="99">
        <v>71</v>
      </c>
      <c r="Z31" s="99">
        <v>49</v>
      </c>
      <c r="AA31" s="99">
        <v>21</v>
      </c>
      <c r="AB31" s="99">
        <v>16</v>
      </c>
      <c r="AC31" s="99">
        <v>12</v>
      </c>
      <c r="AD31" s="98" t="s">
        <v>97</v>
      </c>
      <c r="AE31" s="100">
        <v>0.13320240295748614</v>
      </c>
      <c r="AF31" s="100">
        <v>0.24</v>
      </c>
      <c r="AG31" s="98">
        <v>277.264325323475</v>
      </c>
      <c r="AH31" s="98">
        <v>323.4750462107209</v>
      </c>
      <c r="AI31" s="100">
        <v>0.0131</v>
      </c>
      <c r="AJ31" s="100">
        <v>0.739082</v>
      </c>
      <c r="AK31" s="100">
        <v>0.744483</v>
      </c>
      <c r="AL31" s="100">
        <v>0.716425</v>
      </c>
      <c r="AM31" s="100">
        <v>0.564304</v>
      </c>
      <c r="AN31" s="100">
        <v>0.555556</v>
      </c>
      <c r="AO31" s="98">
        <v>866.4510166358596</v>
      </c>
      <c r="AP31" s="157">
        <v>0.49520000000000003</v>
      </c>
      <c r="AQ31" s="100">
        <v>0.18666666666666668</v>
      </c>
      <c r="AR31" s="100">
        <v>0.45161290322580644</v>
      </c>
      <c r="AS31" s="98">
        <v>138.6321626617375</v>
      </c>
      <c r="AT31" s="98">
        <v>138.6321626617375</v>
      </c>
      <c r="AU31" s="98">
        <v>69.31608133086876</v>
      </c>
      <c r="AV31" s="98">
        <v>92.42144177449168</v>
      </c>
      <c r="AW31" s="98">
        <v>369.68576709796673</v>
      </c>
      <c r="AX31" s="98">
        <v>265.7116451016636</v>
      </c>
      <c r="AY31" s="98">
        <v>820.2402957486137</v>
      </c>
      <c r="AZ31" s="98">
        <v>566.0813308687616</v>
      </c>
      <c r="BA31" s="100">
        <v>0.42857142857142855</v>
      </c>
      <c r="BB31" s="100">
        <v>0.32653061224489793</v>
      </c>
      <c r="BC31" s="100">
        <v>0.24489795918367346</v>
      </c>
      <c r="BD31" s="157">
        <v>0.3895</v>
      </c>
      <c r="BE31" s="157">
        <v>0.6207</v>
      </c>
      <c r="BF31" s="161">
        <v>893</v>
      </c>
      <c r="BG31" s="161">
        <v>861</v>
      </c>
      <c r="BH31" s="161">
        <v>2137</v>
      </c>
      <c r="BI31" s="161">
        <v>762</v>
      </c>
      <c r="BJ31" s="161">
        <v>378</v>
      </c>
      <c r="BK31" s="97"/>
      <c r="BL31" s="97"/>
      <c r="BM31" s="97"/>
      <c r="BN31" s="97"/>
    </row>
    <row r="32" spans="1:66" ht="12.75">
      <c r="A32" s="79" t="s">
        <v>213</v>
      </c>
      <c r="B32" s="79" t="s">
        <v>94</v>
      </c>
      <c r="C32" s="79" t="s">
        <v>380</v>
      </c>
      <c r="D32" s="99">
        <v>2556</v>
      </c>
      <c r="E32" s="99">
        <v>572</v>
      </c>
      <c r="F32" s="99" t="s">
        <v>117</v>
      </c>
      <c r="G32" s="99">
        <v>12</v>
      </c>
      <c r="H32" s="99">
        <v>7</v>
      </c>
      <c r="I32" s="99">
        <v>61</v>
      </c>
      <c r="J32" s="99">
        <v>247</v>
      </c>
      <c r="K32" s="99">
        <v>92</v>
      </c>
      <c r="L32" s="99">
        <v>478</v>
      </c>
      <c r="M32" s="99">
        <v>192</v>
      </c>
      <c r="N32" s="99">
        <v>92</v>
      </c>
      <c r="O32" s="99">
        <v>50</v>
      </c>
      <c r="P32" s="158">
        <v>50</v>
      </c>
      <c r="Q32" s="99" t="s">
        <v>792</v>
      </c>
      <c r="R32" s="99">
        <v>7</v>
      </c>
      <c r="S32" s="99" t="s">
        <v>792</v>
      </c>
      <c r="T32" s="99">
        <v>10</v>
      </c>
      <c r="U32" s="99" t="s">
        <v>792</v>
      </c>
      <c r="V32" s="99">
        <v>10</v>
      </c>
      <c r="W32" s="99">
        <v>16</v>
      </c>
      <c r="X32" s="99">
        <v>8</v>
      </c>
      <c r="Y32" s="99">
        <v>31</v>
      </c>
      <c r="Z32" s="99">
        <v>15</v>
      </c>
      <c r="AA32" s="99" t="s">
        <v>792</v>
      </c>
      <c r="AB32" s="99">
        <v>12</v>
      </c>
      <c r="AC32" s="99" t="s">
        <v>792</v>
      </c>
      <c r="AD32" s="98" t="s">
        <v>97</v>
      </c>
      <c r="AE32" s="100">
        <v>0.2237871674491393</v>
      </c>
      <c r="AF32" s="100">
        <v>0.1</v>
      </c>
      <c r="AG32" s="98">
        <v>469.4835680751174</v>
      </c>
      <c r="AH32" s="98">
        <v>273.86541471048514</v>
      </c>
      <c r="AI32" s="100">
        <v>0.0239</v>
      </c>
      <c r="AJ32" s="100">
        <v>0.75076</v>
      </c>
      <c r="AK32" s="100">
        <v>0.828829</v>
      </c>
      <c r="AL32" s="100">
        <v>0.841549</v>
      </c>
      <c r="AM32" s="100">
        <v>0.592593</v>
      </c>
      <c r="AN32" s="100">
        <v>0.61745</v>
      </c>
      <c r="AO32" s="98">
        <v>1956.1815336463224</v>
      </c>
      <c r="AP32" s="157">
        <v>0.8389</v>
      </c>
      <c r="AQ32" s="100" t="s">
        <v>792</v>
      </c>
      <c r="AR32" s="100" t="s">
        <v>792</v>
      </c>
      <c r="AS32" s="98" t="s">
        <v>792</v>
      </c>
      <c r="AT32" s="98">
        <v>391.23630672926447</v>
      </c>
      <c r="AU32" s="98" t="s">
        <v>792</v>
      </c>
      <c r="AV32" s="98">
        <v>391.23630672926447</v>
      </c>
      <c r="AW32" s="98">
        <v>625.9780907668231</v>
      </c>
      <c r="AX32" s="98">
        <v>312.98904538341156</v>
      </c>
      <c r="AY32" s="98">
        <v>1212.83255086072</v>
      </c>
      <c r="AZ32" s="98">
        <v>586.8544600938967</v>
      </c>
      <c r="BA32" s="100" t="s">
        <v>792</v>
      </c>
      <c r="BB32" s="100">
        <v>0.5454545454545454</v>
      </c>
      <c r="BC32" s="100" t="s">
        <v>792</v>
      </c>
      <c r="BD32" s="157">
        <v>0.6225999999999999</v>
      </c>
      <c r="BE32" s="157">
        <v>1.1059999999999999</v>
      </c>
      <c r="BF32" s="161">
        <v>329</v>
      </c>
      <c r="BG32" s="161">
        <v>111</v>
      </c>
      <c r="BH32" s="161">
        <v>568</v>
      </c>
      <c r="BI32" s="161">
        <v>324</v>
      </c>
      <c r="BJ32" s="161">
        <v>149</v>
      </c>
      <c r="BK32" s="97"/>
      <c r="BL32" s="97"/>
      <c r="BM32" s="97"/>
      <c r="BN32" s="97"/>
    </row>
    <row r="33" spans="1:66" ht="12.75">
      <c r="A33" s="79" t="s">
        <v>192</v>
      </c>
      <c r="B33" s="79" t="s">
        <v>58</v>
      </c>
      <c r="C33" s="79" t="s">
        <v>380</v>
      </c>
      <c r="D33" s="99">
        <v>6278</v>
      </c>
      <c r="E33" s="99">
        <v>1327</v>
      </c>
      <c r="F33" s="99" t="s">
        <v>119</v>
      </c>
      <c r="G33" s="99">
        <v>27</v>
      </c>
      <c r="H33" s="99">
        <v>10</v>
      </c>
      <c r="I33" s="99">
        <v>180</v>
      </c>
      <c r="J33" s="99">
        <v>792</v>
      </c>
      <c r="K33" s="99">
        <v>778</v>
      </c>
      <c r="L33" s="99">
        <v>1331</v>
      </c>
      <c r="M33" s="99">
        <v>675</v>
      </c>
      <c r="N33" s="99">
        <v>332</v>
      </c>
      <c r="O33" s="99">
        <v>147</v>
      </c>
      <c r="P33" s="158">
        <v>147</v>
      </c>
      <c r="Q33" s="99">
        <v>17</v>
      </c>
      <c r="R33" s="99">
        <v>26</v>
      </c>
      <c r="S33" s="99">
        <v>36</v>
      </c>
      <c r="T33" s="99">
        <v>24</v>
      </c>
      <c r="U33" s="99">
        <v>6</v>
      </c>
      <c r="V33" s="99">
        <v>27</v>
      </c>
      <c r="W33" s="99">
        <v>36</v>
      </c>
      <c r="X33" s="99">
        <v>31</v>
      </c>
      <c r="Y33" s="99">
        <v>58</v>
      </c>
      <c r="Z33" s="99">
        <v>39</v>
      </c>
      <c r="AA33" s="99" t="s">
        <v>792</v>
      </c>
      <c r="AB33" s="99" t="s">
        <v>792</v>
      </c>
      <c r="AC33" s="99" t="s">
        <v>792</v>
      </c>
      <c r="AD33" s="98" t="s">
        <v>97</v>
      </c>
      <c r="AE33" s="100">
        <v>0.21137304874163745</v>
      </c>
      <c r="AF33" s="100">
        <v>0.05</v>
      </c>
      <c r="AG33" s="98">
        <v>430.0732717425932</v>
      </c>
      <c r="AH33" s="98">
        <v>159.28639694170118</v>
      </c>
      <c r="AI33" s="100">
        <v>0.0287</v>
      </c>
      <c r="AJ33" s="100">
        <v>0.808163</v>
      </c>
      <c r="AK33" s="100">
        <v>0.832976</v>
      </c>
      <c r="AL33" s="100">
        <v>0.859819</v>
      </c>
      <c r="AM33" s="100">
        <v>0.66437</v>
      </c>
      <c r="AN33" s="100">
        <v>0.669355</v>
      </c>
      <c r="AO33" s="98">
        <v>2341.5100350430075</v>
      </c>
      <c r="AP33" s="157">
        <v>1.0173999999999999</v>
      </c>
      <c r="AQ33" s="100">
        <v>0.11564625850340136</v>
      </c>
      <c r="AR33" s="100">
        <v>0.6538461538461539</v>
      </c>
      <c r="AS33" s="98">
        <v>573.4310289901242</v>
      </c>
      <c r="AT33" s="98">
        <v>382.28735266008283</v>
      </c>
      <c r="AU33" s="98">
        <v>95.57183816502071</v>
      </c>
      <c r="AV33" s="98">
        <v>430.0732717425932</v>
      </c>
      <c r="AW33" s="98">
        <v>573.4310289901242</v>
      </c>
      <c r="AX33" s="98">
        <v>493.78783051927365</v>
      </c>
      <c r="AY33" s="98">
        <v>923.8611022618668</v>
      </c>
      <c r="AZ33" s="98">
        <v>621.2169480726346</v>
      </c>
      <c r="BA33" s="100" t="s">
        <v>792</v>
      </c>
      <c r="BB33" s="100" t="s">
        <v>792</v>
      </c>
      <c r="BC33" s="100" t="s">
        <v>792</v>
      </c>
      <c r="BD33" s="157">
        <v>0.8595999999999999</v>
      </c>
      <c r="BE33" s="157">
        <v>1.1958</v>
      </c>
      <c r="BF33" s="161">
        <v>980</v>
      </c>
      <c r="BG33" s="161">
        <v>934</v>
      </c>
      <c r="BH33" s="161">
        <v>1548</v>
      </c>
      <c r="BI33" s="161">
        <v>1016</v>
      </c>
      <c r="BJ33" s="161">
        <v>496</v>
      </c>
      <c r="BK33" s="97"/>
      <c r="BL33" s="97"/>
      <c r="BM33" s="97"/>
      <c r="BN33" s="97"/>
    </row>
    <row r="34" spans="1:66" ht="12.75">
      <c r="A34" s="79" t="s">
        <v>208</v>
      </c>
      <c r="B34" s="79" t="s">
        <v>82</v>
      </c>
      <c r="C34" s="79" t="s">
        <v>380</v>
      </c>
      <c r="D34" s="99">
        <v>9185</v>
      </c>
      <c r="E34" s="99">
        <v>1706</v>
      </c>
      <c r="F34" s="99" t="s">
        <v>119</v>
      </c>
      <c r="G34" s="99">
        <v>40</v>
      </c>
      <c r="H34" s="99">
        <v>16</v>
      </c>
      <c r="I34" s="99">
        <v>200</v>
      </c>
      <c r="J34" s="99">
        <v>1077</v>
      </c>
      <c r="K34" s="99">
        <v>1055</v>
      </c>
      <c r="L34" s="99">
        <v>1948</v>
      </c>
      <c r="M34" s="99">
        <v>899</v>
      </c>
      <c r="N34" s="99">
        <v>434</v>
      </c>
      <c r="O34" s="99">
        <v>117</v>
      </c>
      <c r="P34" s="158">
        <v>117</v>
      </c>
      <c r="Q34" s="99">
        <v>17</v>
      </c>
      <c r="R34" s="99">
        <v>48</v>
      </c>
      <c r="S34" s="99">
        <v>21</v>
      </c>
      <c r="T34" s="99">
        <v>22</v>
      </c>
      <c r="U34" s="99" t="s">
        <v>792</v>
      </c>
      <c r="V34" s="99">
        <v>27</v>
      </c>
      <c r="W34" s="99">
        <v>45</v>
      </c>
      <c r="X34" s="99">
        <v>36</v>
      </c>
      <c r="Y34" s="99">
        <v>92</v>
      </c>
      <c r="Z34" s="99">
        <v>64</v>
      </c>
      <c r="AA34" s="99" t="s">
        <v>792</v>
      </c>
      <c r="AB34" s="99">
        <v>16</v>
      </c>
      <c r="AC34" s="99" t="s">
        <v>792</v>
      </c>
      <c r="AD34" s="98" t="s">
        <v>97</v>
      </c>
      <c r="AE34" s="100">
        <v>0.18573761567773545</v>
      </c>
      <c r="AF34" s="100">
        <v>0.08</v>
      </c>
      <c r="AG34" s="98">
        <v>435.49265106151336</v>
      </c>
      <c r="AH34" s="98">
        <v>174.19706042460533</v>
      </c>
      <c r="AI34" s="100">
        <v>0.0218</v>
      </c>
      <c r="AJ34" s="100">
        <v>0.800743</v>
      </c>
      <c r="AK34" s="100">
        <v>0.812789</v>
      </c>
      <c r="AL34" s="100">
        <v>0.829642</v>
      </c>
      <c r="AM34" s="100">
        <v>0.670395</v>
      </c>
      <c r="AN34" s="100">
        <v>0.653614</v>
      </c>
      <c r="AO34" s="98">
        <v>1273.8160043549265</v>
      </c>
      <c r="AP34" s="157">
        <v>0.584</v>
      </c>
      <c r="AQ34" s="100">
        <v>0.1452991452991453</v>
      </c>
      <c r="AR34" s="100">
        <v>0.3541666666666667</v>
      </c>
      <c r="AS34" s="98">
        <v>228.6336418072945</v>
      </c>
      <c r="AT34" s="98">
        <v>239.52095808383234</v>
      </c>
      <c r="AU34" s="98" t="s">
        <v>792</v>
      </c>
      <c r="AV34" s="98">
        <v>293.9575394665215</v>
      </c>
      <c r="AW34" s="98">
        <v>489.9292324442025</v>
      </c>
      <c r="AX34" s="98">
        <v>391.943385955362</v>
      </c>
      <c r="AY34" s="98">
        <v>1001.6330974414807</v>
      </c>
      <c r="AZ34" s="98">
        <v>696.7882416984213</v>
      </c>
      <c r="BA34" s="100" t="s">
        <v>792</v>
      </c>
      <c r="BB34" s="100">
        <v>0.48484848484848486</v>
      </c>
      <c r="BC34" s="100" t="s">
        <v>792</v>
      </c>
      <c r="BD34" s="157">
        <v>0.483</v>
      </c>
      <c r="BE34" s="157">
        <v>0.6999</v>
      </c>
      <c r="BF34" s="161">
        <v>1345</v>
      </c>
      <c r="BG34" s="161">
        <v>1298</v>
      </c>
      <c r="BH34" s="161">
        <v>2348</v>
      </c>
      <c r="BI34" s="161">
        <v>1341</v>
      </c>
      <c r="BJ34" s="161">
        <v>664</v>
      </c>
      <c r="BK34" s="97"/>
      <c r="BL34" s="97"/>
      <c r="BM34" s="97"/>
      <c r="BN34" s="97"/>
    </row>
    <row r="35" spans="1:66" ht="12.75">
      <c r="A35" s="79" t="s">
        <v>207</v>
      </c>
      <c r="B35" s="79" t="s">
        <v>80</v>
      </c>
      <c r="C35" s="79" t="s">
        <v>380</v>
      </c>
      <c r="D35" s="99">
        <v>4134</v>
      </c>
      <c r="E35" s="99">
        <v>523</v>
      </c>
      <c r="F35" s="99" t="s">
        <v>117</v>
      </c>
      <c r="G35" s="99">
        <v>19</v>
      </c>
      <c r="H35" s="99">
        <v>7</v>
      </c>
      <c r="I35" s="99">
        <v>49</v>
      </c>
      <c r="J35" s="99">
        <v>317</v>
      </c>
      <c r="K35" s="99">
        <v>13</v>
      </c>
      <c r="L35" s="99">
        <v>931</v>
      </c>
      <c r="M35" s="99">
        <v>228</v>
      </c>
      <c r="N35" s="99">
        <v>116</v>
      </c>
      <c r="O35" s="99">
        <v>98</v>
      </c>
      <c r="P35" s="158">
        <v>98</v>
      </c>
      <c r="Q35" s="99">
        <v>7</v>
      </c>
      <c r="R35" s="99">
        <v>8</v>
      </c>
      <c r="S35" s="99">
        <v>14</v>
      </c>
      <c r="T35" s="99">
        <v>18</v>
      </c>
      <c r="U35" s="99">
        <v>8</v>
      </c>
      <c r="V35" s="99">
        <v>26</v>
      </c>
      <c r="W35" s="99">
        <v>27</v>
      </c>
      <c r="X35" s="99">
        <v>15</v>
      </c>
      <c r="Y35" s="99">
        <v>34</v>
      </c>
      <c r="Z35" s="99">
        <v>16</v>
      </c>
      <c r="AA35" s="99" t="s">
        <v>792</v>
      </c>
      <c r="AB35" s="99" t="s">
        <v>792</v>
      </c>
      <c r="AC35" s="99" t="s">
        <v>792</v>
      </c>
      <c r="AD35" s="98" t="s">
        <v>97</v>
      </c>
      <c r="AE35" s="100">
        <v>0.12651185292694728</v>
      </c>
      <c r="AF35" s="100">
        <v>0.1</v>
      </c>
      <c r="AG35" s="98">
        <v>459.603289791969</v>
      </c>
      <c r="AH35" s="98">
        <v>169.32752781809387</v>
      </c>
      <c r="AI35" s="100">
        <v>0.011899999999999999</v>
      </c>
      <c r="AJ35" s="100">
        <v>0.68913</v>
      </c>
      <c r="AK35" s="100">
        <v>0.590909</v>
      </c>
      <c r="AL35" s="100">
        <v>0.821712</v>
      </c>
      <c r="AM35" s="100">
        <v>0.617886</v>
      </c>
      <c r="AN35" s="100">
        <v>0.613757</v>
      </c>
      <c r="AO35" s="98">
        <v>2370.585389453314</v>
      </c>
      <c r="AP35" s="157">
        <v>1.2703</v>
      </c>
      <c r="AQ35" s="100">
        <v>0.07142857142857142</v>
      </c>
      <c r="AR35" s="100">
        <v>0.875</v>
      </c>
      <c r="AS35" s="98">
        <v>338.65505563618774</v>
      </c>
      <c r="AT35" s="98">
        <v>435.41364296081275</v>
      </c>
      <c r="AU35" s="98">
        <v>193.5171746492501</v>
      </c>
      <c r="AV35" s="98">
        <v>628.930817610063</v>
      </c>
      <c r="AW35" s="98">
        <v>653.1204644412192</v>
      </c>
      <c r="AX35" s="98">
        <v>362.84470246734395</v>
      </c>
      <c r="AY35" s="98">
        <v>822.447992259313</v>
      </c>
      <c r="AZ35" s="98">
        <v>387.0343492985002</v>
      </c>
      <c r="BA35" s="100" t="s">
        <v>792</v>
      </c>
      <c r="BB35" s="100" t="s">
        <v>792</v>
      </c>
      <c r="BC35" s="100" t="s">
        <v>792</v>
      </c>
      <c r="BD35" s="157">
        <v>1.0312999999999999</v>
      </c>
      <c r="BE35" s="157">
        <v>1.5481</v>
      </c>
      <c r="BF35" s="161">
        <v>460</v>
      </c>
      <c r="BG35" s="161">
        <v>22</v>
      </c>
      <c r="BH35" s="161">
        <v>1133</v>
      </c>
      <c r="BI35" s="161">
        <v>369</v>
      </c>
      <c r="BJ35" s="161">
        <v>189</v>
      </c>
      <c r="BK35" s="97"/>
      <c r="BL35" s="97"/>
      <c r="BM35" s="97"/>
      <c r="BN35" s="97"/>
    </row>
    <row r="36" spans="1:66" ht="12.75">
      <c r="A36" s="79" t="s">
        <v>197</v>
      </c>
      <c r="B36" s="79" t="s">
        <v>68</v>
      </c>
      <c r="C36" s="79" t="s">
        <v>380</v>
      </c>
      <c r="D36" s="99">
        <v>16874</v>
      </c>
      <c r="E36" s="99">
        <v>2548</v>
      </c>
      <c r="F36" s="99" t="s">
        <v>116</v>
      </c>
      <c r="G36" s="99">
        <v>100</v>
      </c>
      <c r="H36" s="99">
        <v>46</v>
      </c>
      <c r="I36" s="99">
        <v>221</v>
      </c>
      <c r="J36" s="99">
        <v>1225</v>
      </c>
      <c r="K36" s="99">
        <v>20</v>
      </c>
      <c r="L36" s="99">
        <v>3109</v>
      </c>
      <c r="M36" s="99">
        <v>830</v>
      </c>
      <c r="N36" s="99">
        <v>391</v>
      </c>
      <c r="O36" s="99">
        <v>282</v>
      </c>
      <c r="P36" s="158">
        <v>282</v>
      </c>
      <c r="Q36" s="99">
        <v>41</v>
      </c>
      <c r="R36" s="99">
        <v>74</v>
      </c>
      <c r="S36" s="99">
        <v>31</v>
      </c>
      <c r="T36" s="99">
        <v>54</v>
      </c>
      <c r="U36" s="99">
        <v>19</v>
      </c>
      <c r="V36" s="99">
        <v>35</v>
      </c>
      <c r="W36" s="99">
        <v>88</v>
      </c>
      <c r="X36" s="99">
        <v>60</v>
      </c>
      <c r="Y36" s="99">
        <v>191</v>
      </c>
      <c r="Z36" s="99">
        <v>113</v>
      </c>
      <c r="AA36" s="99">
        <v>17</v>
      </c>
      <c r="AB36" s="99">
        <v>34</v>
      </c>
      <c r="AC36" s="99">
        <v>20</v>
      </c>
      <c r="AD36" s="98" t="s">
        <v>97</v>
      </c>
      <c r="AE36" s="100">
        <v>0.1510015408320493</v>
      </c>
      <c r="AF36" s="100">
        <v>0.26</v>
      </c>
      <c r="AG36" s="98">
        <v>592.627711271779</v>
      </c>
      <c r="AH36" s="98">
        <v>272.6087471850184</v>
      </c>
      <c r="AI36" s="100">
        <v>0.0131</v>
      </c>
      <c r="AJ36" s="100">
        <v>0.703215</v>
      </c>
      <c r="AK36" s="100">
        <v>0.434783</v>
      </c>
      <c r="AL36" s="100">
        <v>0.752785</v>
      </c>
      <c r="AM36" s="100">
        <v>0.537565</v>
      </c>
      <c r="AN36" s="100">
        <v>0.512451</v>
      </c>
      <c r="AO36" s="98">
        <v>1671.210145786417</v>
      </c>
      <c r="AP36" s="157">
        <v>0.8975</v>
      </c>
      <c r="AQ36" s="100">
        <v>0.1453900709219858</v>
      </c>
      <c r="AR36" s="100">
        <v>0.5540540540540541</v>
      </c>
      <c r="AS36" s="98">
        <v>183.71459049425152</v>
      </c>
      <c r="AT36" s="98">
        <v>320.0189640867607</v>
      </c>
      <c r="AU36" s="98">
        <v>112.59926514163803</v>
      </c>
      <c r="AV36" s="98">
        <v>207.41969894512266</v>
      </c>
      <c r="AW36" s="98">
        <v>521.5123859191656</v>
      </c>
      <c r="AX36" s="98">
        <v>355.57662676306745</v>
      </c>
      <c r="AY36" s="98">
        <v>1131.918928529098</v>
      </c>
      <c r="AZ36" s="98">
        <v>669.6693137371103</v>
      </c>
      <c r="BA36" s="100">
        <v>0.23943661971830985</v>
      </c>
      <c r="BB36" s="100">
        <v>0.4788732394366197</v>
      </c>
      <c r="BC36" s="100">
        <v>0.28169014084507044</v>
      </c>
      <c r="BD36" s="157">
        <v>0.7958</v>
      </c>
      <c r="BE36" s="157">
        <v>1.0086</v>
      </c>
      <c r="BF36" s="161">
        <v>1742</v>
      </c>
      <c r="BG36" s="161">
        <v>46</v>
      </c>
      <c r="BH36" s="161">
        <v>4130</v>
      </c>
      <c r="BI36" s="161">
        <v>1544</v>
      </c>
      <c r="BJ36" s="161">
        <v>763</v>
      </c>
      <c r="BK36" s="97"/>
      <c r="BL36" s="97"/>
      <c r="BM36" s="97"/>
      <c r="BN36" s="97"/>
    </row>
    <row r="37" spans="1:66" ht="12.75">
      <c r="A37" s="79" t="s">
        <v>215</v>
      </c>
      <c r="B37" s="79" t="s">
        <v>96</v>
      </c>
      <c r="C37" s="79" t="s">
        <v>380</v>
      </c>
      <c r="D37" s="99">
        <v>5179</v>
      </c>
      <c r="E37" s="99">
        <v>884</v>
      </c>
      <c r="F37" s="99" t="s">
        <v>115</v>
      </c>
      <c r="G37" s="99">
        <v>26</v>
      </c>
      <c r="H37" s="99">
        <v>17</v>
      </c>
      <c r="I37" s="99">
        <v>78</v>
      </c>
      <c r="J37" s="99">
        <v>488</v>
      </c>
      <c r="K37" s="99">
        <v>484</v>
      </c>
      <c r="L37" s="99">
        <v>990</v>
      </c>
      <c r="M37" s="99">
        <v>321</v>
      </c>
      <c r="N37" s="99">
        <v>163</v>
      </c>
      <c r="O37" s="99">
        <v>26</v>
      </c>
      <c r="P37" s="158">
        <v>26</v>
      </c>
      <c r="Q37" s="99">
        <v>6</v>
      </c>
      <c r="R37" s="99">
        <v>23</v>
      </c>
      <c r="S37" s="99" t="s">
        <v>792</v>
      </c>
      <c r="T37" s="99" t="s">
        <v>792</v>
      </c>
      <c r="U37" s="99" t="s">
        <v>792</v>
      </c>
      <c r="V37" s="99" t="s">
        <v>792</v>
      </c>
      <c r="W37" s="99">
        <v>19</v>
      </c>
      <c r="X37" s="99">
        <v>31</v>
      </c>
      <c r="Y37" s="99">
        <v>68</v>
      </c>
      <c r="Z37" s="99">
        <v>43</v>
      </c>
      <c r="AA37" s="99">
        <v>8</v>
      </c>
      <c r="AB37" s="99">
        <v>17</v>
      </c>
      <c r="AC37" s="99">
        <v>9</v>
      </c>
      <c r="AD37" s="98" t="s">
        <v>97</v>
      </c>
      <c r="AE37" s="100">
        <v>0.17068932226298514</v>
      </c>
      <c r="AF37" s="100">
        <v>0.18</v>
      </c>
      <c r="AG37" s="98">
        <v>502.0274184205445</v>
      </c>
      <c r="AH37" s="98">
        <v>328.2486966595868</v>
      </c>
      <c r="AI37" s="100">
        <v>0.0151</v>
      </c>
      <c r="AJ37" s="100">
        <v>0.774603</v>
      </c>
      <c r="AK37" s="100">
        <v>0.796053</v>
      </c>
      <c r="AL37" s="100">
        <v>0.771028</v>
      </c>
      <c r="AM37" s="100">
        <v>0.595547</v>
      </c>
      <c r="AN37" s="100">
        <v>0.575972</v>
      </c>
      <c r="AO37" s="98">
        <v>502.0274184205445</v>
      </c>
      <c r="AP37" s="157">
        <v>0.24420000000000003</v>
      </c>
      <c r="AQ37" s="100">
        <v>0.23076923076923078</v>
      </c>
      <c r="AR37" s="100">
        <v>0.2608695652173913</v>
      </c>
      <c r="AS37" s="98" t="s">
        <v>792</v>
      </c>
      <c r="AT37" s="98" t="s">
        <v>792</v>
      </c>
      <c r="AU37" s="98" t="s">
        <v>792</v>
      </c>
      <c r="AV37" s="98" t="s">
        <v>792</v>
      </c>
      <c r="AW37" s="98">
        <v>366.8661903842441</v>
      </c>
      <c r="AX37" s="98">
        <v>598.5711527321877</v>
      </c>
      <c r="AY37" s="98">
        <v>1312.9947866383473</v>
      </c>
      <c r="AZ37" s="98">
        <v>830.2761150801313</v>
      </c>
      <c r="BA37" s="100">
        <v>0.23529411764705882</v>
      </c>
      <c r="BB37" s="100">
        <v>0.5</v>
      </c>
      <c r="BC37" s="100">
        <v>0.2647058823529412</v>
      </c>
      <c r="BD37" s="157">
        <v>0.1595</v>
      </c>
      <c r="BE37" s="157">
        <v>0.3578</v>
      </c>
      <c r="BF37" s="161">
        <v>630</v>
      </c>
      <c r="BG37" s="161">
        <v>608</v>
      </c>
      <c r="BH37" s="161">
        <v>1284</v>
      </c>
      <c r="BI37" s="161">
        <v>539</v>
      </c>
      <c r="BJ37" s="161">
        <v>283</v>
      </c>
      <c r="BK37" s="97"/>
      <c r="BL37" s="97"/>
      <c r="BM37" s="97"/>
      <c r="BN37" s="97"/>
    </row>
    <row r="38" spans="1:66" ht="12.75">
      <c r="A38" s="79" t="s">
        <v>200</v>
      </c>
      <c r="B38" s="79" t="s">
        <v>71</v>
      </c>
      <c r="C38" s="79" t="s">
        <v>380</v>
      </c>
      <c r="D38" s="99">
        <v>4467</v>
      </c>
      <c r="E38" s="99">
        <v>905</v>
      </c>
      <c r="F38" s="99" t="s">
        <v>117</v>
      </c>
      <c r="G38" s="99">
        <v>26</v>
      </c>
      <c r="H38" s="99">
        <v>15</v>
      </c>
      <c r="I38" s="99">
        <v>77</v>
      </c>
      <c r="J38" s="99">
        <v>444</v>
      </c>
      <c r="K38" s="99">
        <v>7</v>
      </c>
      <c r="L38" s="99">
        <v>952</v>
      </c>
      <c r="M38" s="99">
        <v>349</v>
      </c>
      <c r="N38" s="99">
        <v>168</v>
      </c>
      <c r="O38" s="99">
        <v>21</v>
      </c>
      <c r="P38" s="158">
        <v>21</v>
      </c>
      <c r="Q38" s="99" t="s">
        <v>792</v>
      </c>
      <c r="R38" s="99">
        <v>14</v>
      </c>
      <c r="S38" s="99" t="s">
        <v>792</v>
      </c>
      <c r="T38" s="99" t="s">
        <v>792</v>
      </c>
      <c r="U38" s="99" t="s">
        <v>792</v>
      </c>
      <c r="V38" s="99">
        <v>6</v>
      </c>
      <c r="W38" s="99">
        <v>19</v>
      </c>
      <c r="X38" s="99">
        <v>14</v>
      </c>
      <c r="Y38" s="99">
        <v>36</v>
      </c>
      <c r="Z38" s="99">
        <v>28</v>
      </c>
      <c r="AA38" s="99" t="s">
        <v>792</v>
      </c>
      <c r="AB38" s="99">
        <v>13</v>
      </c>
      <c r="AC38" s="99" t="s">
        <v>792</v>
      </c>
      <c r="AD38" s="98" t="s">
        <v>97</v>
      </c>
      <c r="AE38" s="100">
        <v>0.2025968211327513</v>
      </c>
      <c r="AF38" s="100">
        <v>0.1</v>
      </c>
      <c r="AG38" s="98">
        <v>582.0461159614954</v>
      </c>
      <c r="AH38" s="98">
        <v>335.795836131632</v>
      </c>
      <c r="AI38" s="100">
        <v>0.0172</v>
      </c>
      <c r="AJ38" s="100">
        <v>0.74</v>
      </c>
      <c r="AK38" s="100">
        <v>0.388889</v>
      </c>
      <c r="AL38" s="100">
        <v>0.848485</v>
      </c>
      <c r="AM38" s="100">
        <v>0.648699</v>
      </c>
      <c r="AN38" s="100">
        <v>0.629213</v>
      </c>
      <c r="AO38" s="98">
        <v>470.11417058428475</v>
      </c>
      <c r="AP38" s="157">
        <v>0.20980000000000001</v>
      </c>
      <c r="AQ38" s="100" t="s">
        <v>792</v>
      </c>
      <c r="AR38" s="100" t="s">
        <v>792</v>
      </c>
      <c r="AS38" s="98" t="s">
        <v>792</v>
      </c>
      <c r="AT38" s="98" t="s">
        <v>792</v>
      </c>
      <c r="AU38" s="98" t="s">
        <v>792</v>
      </c>
      <c r="AV38" s="98">
        <v>134.31833445265278</v>
      </c>
      <c r="AW38" s="98">
        <v>425.3413924334005</v>
      </c>
      <c r="AX38" s="98">
        <v>313.40944705618983</v>
      </c>
      <c r="AY38" s="98">
        <v>805.9100067159168</v>
      </c>
      <c r="AZ38" s="98">
        <v>626.8188941123797</v>
      </c>
      <c r="BA38" s="100" t="s">
        <v>792</v>
      </c>
      <c r="BB38" s="100">
        <v>0.5652173913043478</v>
      </c>
      <c r="BC38" s="100" t="s">
        <v>792</v>
      </c>
      <c r="BD38" s="157">
        <v>0.12990000000000002</v>
      </c>
      <c r="BE38" s="157">
        <v>0.3207</v>
      </c>
      <c r="BF38" s="161">
        <v>600</v>
      </c>
      <c r="BG38" s="161">
        <v>18</v>
      </c>
      <c r="BH38" s="161">
        <v>1122</v>
      </c>
      <c r="BI38" s="161">
        <v>538</v>
      </c>
      <c r="BJ38" s="161">
        <v>267</v>
      </c>
      <c r="BK38" s="97"/>
      <c r="BL38" s="97"/>
      <c r="BM38" s="97"/>
      <c r="BN38" s="97"/>
    </row>
    <row r="39" spans="1:66" ht="12.75">
      <c r="A39" s="79" t="s">
        <v>214</v>
      </c>
      <c r="B39" s="79" t="s">
        <v>95</v>
      </c>
      <c r="C39" s="79" t="s">
        <v>380</v>
      </c>
      <c r="D39" s="99">
        <v>1212</v>
      </c>
      <c r="E39" s="99">
        <v>8</v>
      </c>
      <c r="F39" s="99" t="s">
        <v>116</v>
      </c>
      <c r="G39" s="99" t="s">
        <v>792</v>
      </c>
      <c r="H39" s="99" t="s">
        <v>792</v>
      </c>
      <c r="I39" s="99">
        <v>7</v>
      </c>
      <c r="J39" s="99">
        <v>10</v>
      </c>
      <c r="K39" s="99">
        <v>8</v>
      </c>
      <c r="L39" s="99">
        <v>183</v>
      </c>
      <c r="M39" s="99">
        <v>6</v>
      </c>
      <c r="N39" s="99" t="s">
        <v>792</v>
      </c>
      <c r="O39" s="99">
        <v>10</v>
      </c>
      <c r="P39" s="158">
        <v>10</v>
      </c>
      <c r="Q39" s="99" t="s">
        <v>792</v>
      </c>
      <c r="R39" s="99" t="s">
        <v>792</v>
      </c>
      <c r="S39" s="99" t="s">
        <v>792</v>
      </c>
      <c r="T39" s="99" t="s">
        <v>792</v>
      </c>
      <c r="U39" s="99" t="s">
        <v>792</v>
      </c>
      <c r="V39" s="99" t="s">
        <v>792</v>
      </c>
      <c r="W39" s="99" t="s">
        <v>792</v>
      </c>
      <c r="X39" s="99" t="s">
        <v>792</v>
      </c>
      <c r="Y39" s="99">
        <v>14</v>
      </c>
      <c r="Z39" s="99" t="s">
        <v>792</v>
      </c>
      <c r="AA39" s="99" t="s">
        <v>792</v>
      </c>
      <c r="AB39" s="99" t="s">
        <v>792</v>
      </c>
      <c r="AC39" s="99" t="s">
        <v>792</v>
      </c>
      <c r="AD39" s="98" t="s">
        <v>97</v>
      </c>
      <c r="AE39" s="100">
        <v>0.006600660066006601</v>
      </c>
      <c r="AF39" s="100">
        <v>0.3</v>
      </c>
      <c r="AG39" s="98" t="s">
        <v>792</v>
      </c>
      <c r="AH39" s="98" t="s">
        <v>792</v>
      </c>
      <c r="AI39" s="100">
        <v>0.0058</v>
      </c>
      <c r="AJ39" s="100">
        <v>0.5</v>
      </c>
      <c r="AK39" s="100">
        <v>0.666667</v>
      </c>
      <c r="AL39" s="100">
        <v>0.698473</v>
      </c>
      <c r="AM39" s="100">
        <v>0.428571</v>
      </c>
      <c r="AN39" s="100" t="s">
        <v>792</v>
      </c>
      <c r="AO39" s="98">
        <v>825.0825082508251</v>
      </c>
      <c r="AP39" s="157">
        <v>0.9963</v>
      </c>
      <c r="AQ39" s="100" t="s">
        <v>792</v>
      </c>
      <c r="AR39" s="100" t="s">
        <v>792</v>
      </c>
      <c r="AS39" s="98" t="s">
        <v>792</v>
      </c>
      <c r="AT39" s="98" t="s">
        <v>792</v>
      </c>
      <c r="AU39" s="98" t="s">
        <v>792</v>
      </c>
      <c r="AV39" s="98" t="s">
        <v>792</v>
      </c>
      <c r="AW39" s="98" t="s">
        <v>792</v>
      </c>
      <c r="AX39" s="98" t="s">
        <v>792</v>
      </c>
      <c r="AY39" s="98">
        <v>1155.1155115511551</v>
      </c>
      <c r="AZ39" s="98" t="s">
        <v>792</v>
      </c>
      <c r="BA39" s="100" t="s">
        <v>792</v>
      </c>
      <c r="BB39" s="100" t="s">
        <v>792</v>
      </c>
      <c r="BC39" s="100" t="s">
        <v>792</v>
      </c>
      <c r="BD39" s="157">
        <v>0.4778</v>
      </c>
      <c r="BE39" s="157">
        <v>1.8322999999999998</v>
      </c>
      <c r="BF39" s="161">
        <v>20</v>
      </c>
      <c r="BG39" s="161">
        <v>12</v>
      </c>
      <c r="BH39" s="161">
        <v>262</v>
      </c>
      <c r="BI39" s="161">
        <v>14</v>
      </c>
      <c r="BJ39" s="161" t="s">
        <v>792</v>
      </c>
      <c r="BK39" s="97"/>
      <c r="BL39" s="97"/>
      <c r="BM39" s="97"/>
      <c r="BN39" s="97"/>
    </row>
    <row r="40" spans="1:66" ht="12.75">
      <c r="A40" s="79" t="s">
        <v>203</v>
      </c>
      <c r="B40" s="79" t="s">
        <v>75</v>
      </c>
      <c r="C40" s="79" t="s">
        <v>380</v>
      </c>
      <c r="D40" s="99">
        <v>2326</v>
      </c>
      <c r="E40" s="99">
        <v>113</v>
      </c>
      <c r="F40" s="99" t="s">
        <v>116</v>
      </c>
      <c r="G40" s="99" t="s">
        <v>792</v>
      </c>
      <c r="H40" s="99" t="s">
        <v>792</v>
      </c>
      <c r="I40" s="99">
        <v>7</v>
      </c>
      <c r="J40" s="99">
        <v>72</v>
      </c>
      <c r="K40" s="99">
        <v>67</v>
      </c>
      <c r="L40" s="99">
        <v>323</v>
      </c>
      <c r="M40" s="99">
        <v>35</v>
      </c>
      <c r="N40" s="99">
        <v>21</v>
      </c>
      <c r="O40" s="99">
        <v>11</v>
      </c>
      <c r="P40" s="158">
        <v>11</v>
      </c>
      <c r="Q40" s="99" t="s">
        <v>792</v>
      </c>
      <c r="R40" s="99" t="s">
        <v>792</v>
      </c>
      <c r="S40" s="99" t="s">
        <v>792</v>
      </c>
      <c r="T40" s="99" t="s">
        <v>792</v>
      </c>
      <c r="U40" s="99" t="s">
        <v>792</v>
      </c>
      <c r="V40" s="99" t="s">
        <v>792</v>
      </c>
      <c r="W40" s="99">
        <v>8</v>
      </c>
      <c r="X40" s="99" t="s">
        <v>792</v>
      </c>
      <c r="Y40" s="99">
        <v>17</v>
      </c>
      <c r="Z40" s="99" t="s">
        <v>792</v>
      </c>
      <c r="AA40" s="99" t="s">
        <v>792</v>
      </c>
      <c r="AB40" s="99" t="s">
        <v>792</v>
      </c>
      <c r="AC40" s="99" t="s">
        <v>792</v>
      </c>
      <c r="AD40" s="98" t="s">
        <v>97</v>
      </c>
      <c r="AE40" s="100">
        <v>0.04858125537403268</v>
      </c>
      <c r="AF40" s="100">
        <v>0.29</v>
      </c>
      <c r="AG40" s="98" t="s">
        <v>792</v>
      </c>
      <c r="AH40" s="98" t="s">
        <v>792</v>
      </c>
      <c r="AI40" s="100">
        <v>0.003</v>
      </c>
      <c r="AJ40" s="100">
        <v>0.631579</v>
      </c>
      <c r="AK40" s="100">
        <v>0.626168</v>
      </c>
      <c r="AL40" s="100">
        <v>0.660532</v>
      </c>
      <c r="AM40" s="100">
        <v>0.466667</v>
      </c>
      <c r="AN40" s="100">
        <v>0.525</v>
      </c>
      <c r="AO40" s="98">
        <v>472.91487532244196</v>
      </c>
      <c r="AP40" s="157">
        <v>0.4291</v>
      </c>
      <c r="AQ40" s="100" t="s">
        <v>792</v>
      </c>
      <c r="AR40" s="100" t="s">
        <v>792</v>
      </c>
      <c r="AS40" s="98" t="s">
        <v>792</v>
      </c>
      <c r="AT40" s="98" t="s">
        <v>792</v>
      </c>
      <c r="AU40" s="98" t="s">
        <v>792</v>
      </c>
      <c r="AV40" s="98" t="s">
        <v>792</v>
      </c>
      <c r="AW40" s="98">
        <v>343.93809114359414</v>
      </c>
      <c r="AX40" s="98" t="s">
        <v>792</v>
      </c>
      <c r="AY40" s="98">
        <v>730.8684436801376</v>
      </c>
      <c r="AZ40" s="98" t="s">
        <v>792</v>
      </c>
      <c r="BA40" s="100" t="s">
        <v>792</v>
      </c>
      <c r="BB40" s="100" t="s">
        <v>792</v>
      </c>
      <c r="BC40" s="100" t="s">
        <v>792</v>
      </c>
      <c r="BD40" s="157">
        <v>0.21420000000000003</v>
      </c>
      <c r="BE40" s="157">
        <v>0.7679</v>
      </c>
      <c r="BF40" s="161">
        <v>114</v>
      </c>
      <c r="BG40" s="161">
        <v>107</v>
      </c>
      <c r="BH40" s="161">
        <v>489</v>
      </c>
      <c r="BI40" s="161">
        <v>75</v>
      </c>
      <c r="BJ40" s="161">
        <v>40</v>
      </c>
      <c r="BK40" s="97"/>
      <c r="BL40" s="97"/>
      <c r="BM40" s="97"/>
      <c r="BN40" s="97"/>
    </row>
    <row r="41" spans="1:66" ht="12.75">
      <c r="A41" s="79" t="s">
        <v>209</v>
      </c>
      <c r="B41" s="79" t="s">
        <v>83</v>
      </c>
      <c r="C41" s="79" t="s">
        <v>380</v>
      </c>
      <c r="D41" s="99">
        <v>10164</v>
      </c>
      <c r="E41" s="99">
        <v>26</v>
      </c>
      <c r="F41" s="99" t="s">
        <v>115</v>
      </c>
      <c r="G41" s="99" t="s">
        <v>792</v>
      </c>
      <c r="H41" s="99" t="s">
        <v>792</v>
      </c>
      <c r="I41" s="99">
        <v>13</v>
      </c>
      <c r="J41" s="99">
        <v>40</v>
      </c>
      <c r="K41" s="99">
        <v>37</v>
      </c>
      <c r="L41" s="99">
        <v>636</v>
      </c>
      <c r="M41" s="99">
        <v>24</v>
      </c>
      <c r="N41" s="99" t="s">
        <v>792</v>
      </c>
      <c r="O41" s="99">
        <v>35</v>
      </c>
      <c r="P41" s="158">
        <v>35</v>
      </c>
      <c r="Q41" s="99" t="s">
        <v>792</v>
      </c>
      <c r="R41" s="99" t="s">
        <v>792</v>
      </c>
      <c r="S41" s="99">
        <v>8</v>
      </c>
      <c r="T41" s="99" t="s">
        <v>792</v>
      </c>
      <c r="U41" s="99" t="s">
        <v>792</v>
      </c>
      <c r="V41" s="99">
        <v>8</v>
      </c>
      <c r="W41" s="99">
        <v>18</v>
      </c>
      <c r="X41" s="99">
        <v>9</v>
      </c>
      <c r="Y41" s="99">
        <v>20</v>
      </c>
      <c r="Z41" s="99" t="s">
        <v>792</v>
      </c>
      <c r="AA41" s="99" t="s">
        <v>792</v>
      </c>
      <c r="AB41" s="99" t="s">
        <v>792</v>
      </c>
      <c r="AC41" s="99" t="s">
        <v>792</v>
      </c>
      <c r="AD41" s="98" t="s">
        <v>97</v>
      </c>
      <c r="AE41" s="100">
        <v>0.0025580480125934673</v>
      </c>
      <c r="AF41" s="100">
        <v>0.19</v>
      </c>
      <c r="AG41" s="98" t="s">
        <v>792</v>
      </c>
      <c r="AH41" s="98" t="s">
        <v>792</v>
      </c>
      <c r="AI41" s="100">
        <v>0.0013</v>
      </c>
      <c r="AJ41" s="100">
        <v>0.677966</v>
      </c>
      <c r="AK41" s="100">
        <v>0.685185</v>
      </c>
      <c r="AL41" s="100">
        <v>0.510433</v>
      </c>
      <c r="AM41" s="100">
        <v>0.571429</v>
      </c>
      <c r="AN41" s="100" t="s">
        <v>792</v>
      </c>
      <c r="AO41" s="98">
        <v>344.3526170798898</v>
      </c>
      <c r="AP41" s="157">
        <v>0.5257999999999999</v>
      </c>
      <c r="AQ41" s="100" t="s">
        <v>792</v>
      </c>
      <c r="AR41" s="100" t="s">
        <v>792</v>
      </c>
      <c r="AS41" s="98">
        <v>78.70916961826053</v>
      </c>
      <c r="AT41" s="98" t="s">
        <v>792</v>
      </c>
      <c r="AU41" s="98" t="s">
        <v>792</v>
      </c>
      <c r="AV41" s="98">
        <v>78.70916961826053</v>
      </c>
      <c r="AW41" s="98">
        <v>177.0956316410862</v>
      </c>
      <c r="AX41" s="98">
        <v>88.5478158205431</v>
      </c>
      <c r="AY41" s="98">
        <v>196.7729240456513</v>
      </c>
      <c r="AZ41" s="98" t="s">
        <v>792</v>
      </c>
      <c r="BA41" s="100" t="s">
        <v>792</v>
      </c>
      <c r="BB41" s="100" t="s">
        <v>792</v>
      </c>
      <c r="BC41" s="100" t="s">
        <v>792</v>
      </c>
      <c r="BD41" s="157">
        <v>0.3663</v>
      </c>
      <c r="BE41" s="157">
        <v>0.7313</v>
      </c>
      <c r="BF41" s="161">
        <v>59</v>
      </c>
      <c r="BG41" s="161">
        <v>54</v>
      </c>
      <c r="BH41" s="161">
        <v>1246</v>
      </c>
      <c r="BI41" s="161">
        <v>42</v>
      </c>
      <c r="BJ41" s="161" t="s">
        <v>792</v>
      </c>
      <c r="BK41" s="97"/>
      <c r="BL41" s="97"/>
      <c r="BM41" s="97"/>
      <c r="BN41" s="97"/>
    </row>
    <row r="42" spans="1:66" ht="12.75">
      <c r="A42" s="79" t="s">
        <v>383</v>
      </c>
      <c r="B42" s="79" t="s">
        <v>65</v>
      </c>
      <c r="C42" s="79" t="s">
        <v>380</v>
      </c>
      <c r="D42" s="99">
        <v>9289</v>
      </c>
      <c r="E42" s="99">
        <v>1676</v>
      </c>
      <c r="F42" s="99" t="s">
        <v>115</v>
      </c>
      <c r="G42" s="99">
        <v>52</v>
      </c>
      <c r="H42" s="99">
        <v>26</v>
      </c>
      <c r="I42" s="99">
        <v>181</v>
      </c>
      <c r="J42" s="99">
        <v>939</v>
      </c>
      <c r="K42" s="99">
        <v>920</v>
      </c>
      <c r="L42" s="99">
        <v>1825</v>
      </c>
      <c r="M42" s="99">
        <v>691</v>
      </c>
      <c r="N42" s="99">
        <v>316</v>
      </c>
      <c r="O42" s="99">
        <v>164</v>
      </c>
      <c r="P42" s="158">
        <v>164</v>
      </c>
      <c r="Q42" s="99">
        <v>26</v>
      </c>
      <c r="R42" s="99">
        <v>44</v>
      </c>
      <c r="S42" s="99">
        <v>34</v>
      </c>
      <c r="T42" s="99">
        <v>18</v>
      </c>
      <c r="U42" s="99" t="s">
        <v>792</v>
      </c>
      <c r="V42" s="99">
        <v>39</v>
      </c>
      <c r="W42" s="99">
        <v>47</v>
      </c>
      <c r="X42" s="99">
        <v>31</v>
      </c>
      <c r="Y42" s="99">
        <v>109</v>
      </c>
      <c r="Z42" s="99">
        <v>74</v>
      </c>
      <c r="AA42" s="99">
        <v>13</v>
      </c>
      <c r="AB42" s="99">
        <v>24</v>
      </c>
      <c r="AC42" s="99">
        <v>6</v>
      </c>
      <c r="AD42" s="98" t="s">
        <v>97</v>
      </c>
      <c r="AE42" s="100">
        <v>0.18042846377435676</v>
      </c>
      <c r="AF42" s="100">
        <v>0.16</v>
      </c>
      <c r="AG42" s="98">
        <v>559.801916245021</v>
      </c>
      <c r="AH42" s="98">
        <v>279.9009581225105</v>
      </c>
      <c r="AI42" s="100">
        <v>0.0195</v>
      </c>
      <c r="AJ42" s="100">
        <v>0.795763</v>
      </c>
      <c r="AK42" s="100">
        <v>0.798611</v>
      </c>
      <c r="AL42" s="100">
        <v>0.791071</v>
      </c>
      <c r="AM42" s="100">
        <v>0.604549</v>
      </c>
      <c r="AN42" s="100">
        <v>0.556338</v>
      </c>
      <c r="AO42" s="98">
        <v>1765.5291204650662</v>
      </c>
      <c r="AP42" s="157">
        <v>0.8539</v>
      </c>
      <c r="AQ42" s="100">
        <v>0.15853658536585366</v>
      </c>
      <c r="AR42" s="100">
        <v>0.5909090909090909</v>
      </c>
      <c r="AS42" s="98">
        <v>366.02432985251374</v>
      </c>
      <c r="AT42" s="98">
        <v>193.77758639250726</v>
      </c>
      <c r="AU42" s="98" t="s">
        <v>792</v>
      </c>
      <c r="AV42" s="98">
        <v>419.85143718376577</v>
      </c>
      <c r="AW42" s="98">
        <v>505.974808913769</v>
      </c>
      <c r="AX42" s="98">
        <v>333.7280654537625</v>
      </c>
      <c r="AY42" s="98">
        <v>1173.430939821294</v>
      </c>
      <c r="AZ42" s="98">
        <v>796.6411885025299</v>
      </c>
      <c r="BA42" s="100">
        <v>0.3023255813953488</v>
      </c>
      <c r="BB42" s="100">
        <v>0.5581395348837209</v>
      </c>
      <c r="BC42" s="100">
        <v>0.13953488372093023</v>
      </c>
      <c r="BD42" s="157">
        <v>0.7282</v>
      </c>
      <c r="BE42" s="157">
        <v>0.9951000000000001</v>
      </c>
      <c r="BF42" s="161">
        <v>1180</v>
      </c>
      <c r="BG42" s="161">
        <v>1152</v>
      </c>
      <c r="BH42" s="161">
        <v>2307</v>
      </c>
      <c r="BI42" s="161">
        <v>1143</v>
      </c>
      <c r="BJ42" s="161">
        <v>568</v>
      </c>
      <c r="BK42" s="97"/>
      <c r="BL42" s="97"/>
      <c r="BM42" s="97"/>
      <c r="BN42" s="97"/>
    </row>
    <row r="43" spans="1:66" ht="12.75">
      <c r="A43" s="79" t="s">
        <v>212</v>
      </c>
      <c r="B43" s="79" t="s">
        <v>91</v>
      </c>
      <c r="C43" s="79" t="s">
        <v>380</v>
      </c>
      <c r="D43" s="99">
        <v>3817</v>
      </c>
      <c r="E43" s="99">
        <v>747</v>
      </c>
      <c r="F43" s="99" t="s">
        <v>118</v>
      </c>
      <c r="G43" s="99">
        <v>20</v>
      </c>
      <c r="H43" s="99">
        <v>10</v>
      </c>
      <c r="I43" s="99">
        <v>65</v>
      </c>
      <c r="J43" s="99">
        <v>312</v>
      </c>
      <c r="K43" s="99" t="s">
        <v>792</v>
      </c>
      <c r="L43" s="99">
        <v>770</v>
      </c>
      <c r="M43" s="99">
        <v>242</v>
      </c>
      <c r="N43" s="99">
        <v>99</v>
      </c>
      <c r="O43" s="99">
        <v>30</v>
      </c>
      <c r="P43" s="158">
        <v>30</v>
      </c>
      <c r="Q43" s="99" t="s">
        <v>792</v>
      </c>
      <c r="R43" s="99">
        <v>15</v>
      </c>
      <c r="S43" s="99" t="s">
        <v>792</v>
      </c>
      <c r="T43" s="99" t="s">
        <v>792</v>
      </c>
      <c r="U43" s="99" t="s">
        <v>792</v>
      </c>
      <c r="V43" s="99">
        <v>6</v>
      </c>
      <c r="W43" s="99">
        <v>18</v>
      </c>
      <c r="X43" s="99">
        <v>20</v>
      </c>
      <c r="Y43" s="99">
        <v>41</v>
      </c>
      <c r="Z43" s="99">
        <v>20</v>
      </c>
      <c r="AA43" s="99" t="s">
        <v>792</v>
      </c>
      <c r="AB43" s="99" t="s">
        <v>792</v>
      </c>
      <c r="AC43" s="99" t="s">
        <v>792</v>
      </c>
      <c r="AD43" s="98" t="s">
        <v>97</v>
      </c>
      <c r="AE43" s="100">
        <v>0.19570343201467122</v>
      </c>
      <c r="AF43" s="100">
        <v>0.13</v>
      </c>
      <c r="AG43" s="98">
        <v>523.9717055279015</v>
      </c>
      <c r="AH43" s="98">
        <v>261.98585276395073</v>
      </c>
      <c r="AI43" s="100">
        <v>0.017</v>
      </c>
      <c r="AJ43" s="100">
        <v>0.748201</v>
      </c>
      <c r="AK43" s="100" t="s">
        <v>792</v>
      </c>
      <c r="AL43" s="100">
        <v>0.792997</v>
      </c>
      <c r="AM43" s="100">
        <v>0.638522</v>
      </c>
      <c r="AN43" s="100">
        <v>0.607362</v>
      </c>
      <c r="AO43" s="98">
        <v>785.9575582918523</v>
      </c>
      <c r="AP43" s="157">
        <v>0.3667</v>
      </c>
      <c r="AQ43" s="100" t="s">
        <v>792</v>
      </c>
      <c r="AR43" s="100" t="s">
        <v>792</v>
      </c>
      <c r="AS43" s="98" t="s">
        <v>792</v>
      </c>
      <c r="AT43" s="98" t="s">
        <v>792</v>
      </c>
      <c r="AU43" s="98" t="s">
        <v>792</v>
      </c>
      <c r="AV43" s="98">
        <v>157.19151165837044</v>
      </c>
      <c r="AW43" s="98">
        <v>471.57453497511136</v>
      </c>
      <c r="AX43" s="98">
        <v>523.9717055279015</v>
      </c>
      <c r="AY43" s="98">
        <v>1074.141996332198</v>
      </c>
      <c r="AZ43" s="98">
        <v>523.9717055279015</v>
      </c>
      <c r="BA43" s="100" t="s">
        <v>792</v>
      </c>
      <c r="BB43" s="100" t="s">
        <v>792</v>
      </c>
      <c r="BC43" s="100" t="s">
        <v>792</v>
      </c>
      <c r="BD43" s="157">
        <v>0.24739999999999998</v>
      </c>
      <c r="BE43" s="157">
        <v>0.5235</v>
      </c>
      <c r="BF43" s="161">
        <v>417</v>
      </c>
      <c r="BG43" s="161" t="s">
        <v>792</v>
      </c>
      <c r="BH43" s="161">
        <v>971</v>
      </c>
      <c r="BI43" s="161">
        <v>379</v>
      </c>
      <c r="BJ43" s="161">
        <v>163</v>
      </c>
      <c r="BK43" s="97"/>
      <c r="BL43" s="97"/>
      <c r="BM43" s="97"/>
      <c r="BN43" s="97"/>
    </row>
    <row r="44" spans="1:66" ht="12.75">
      <c r="A44" s="79" t="s">
        <v>608</v>
      </c>
      <c r="B44" s="94" t="s">
        <v>380</v>
      </c>
      <c r="C44" s="94" t="s">
        <v>7</v>
      </c>
      <c r="D44" s="99">
        <v>239050</v>
      </c>
      <c r="E44" s="99">
        <v>37893</v>
      </c>
      <c r="F44" s="99">
        <v>36346.060000000005</v>
      </c>
      <c r="G44" s="99">
        <v>1024</v>
      </c>
      <c r="H44" s="99">
        <v>542</v>
      </c>
      <c r="I44" s="99">
        <v>3859</v>
      </c>
      <c r="J44" s="99">
        <v>20903</v>
      </c>
      <c r="K44" s="99">
        <v>11006</v>
      </c>
      <c r="L44" s="99">
        <v>45987</v>
      </c>
      <c r="M44" s="99">
        <v>15948</v>
      </c>
      <c r="N44" s="99">
        <v>7715</v>
      </c>
      <c r="O44" s="99">
        <v>3388</v>
      </c>
      <c r="P44" s="99">
        <v>3388</v>
      </c>
      <c r="Q44" s="99">
        <v>449</v>
      </c>
      <c r="R44" s="99">
        <v>913</v>
      </c>
      <c r="S44" s="99">
        <v>573</v>
      </c>
      <c r="T44" s="99">
        <v>564</v>
      </c>
      <c r="U44" s="99">
        <v>183</v>
      </c>
      <c r="V44" s="99">
        <v>655</v>
      </c>
      <c r="W44" s="99">
        <v>1126</v>
      </c>
      <c r="X44" s="99">
        <v>954</v>
      </c>
      <c r="Y44" s="99">
        <v>2380</v>
      </c>
      <c r="Z44" s="99">
        <v>1394</v>
      </c>
      <c r="AA44" s="99">
        <v>273</v>
      </c>
      <c r="AB44" s="99">
        <v>532</v>
      </c>
      <c r="AC44" s="99">
        <v>281</v>
      </c>
      <c r="AD44" s="98">
        <v>0</v>
      </c>
      <c r="AE44" s="101">
        <v>0.1585149550303284</v>
      </c>
      <c r="AF44" s="101">
        <v>0.1520437565362895</v>
      </c>
      <c r="AG44" s="98">
        <v>428.36226730809454</v>
      </c>
      <c r="AH44" s="98">
        <v>226.7308094540891</v>
      </c>
      <c r="AI44" s="101">
        <v>0.016143066304120476</v>
      </c>
      <c r="AJ44" s="101">
        <v>0.737735582692172</v>
      </c>
      <c r="AK44" s="101">
        <v>0.7680926791820784</v>
      </c>
      <c r="AL44" s="101">
        <v>0.7885558489660139</v>
      </c>
      <c r="AM44" s="101">
        <v>0.6176368072499129</v>
      </c>
      <c r="AN44" s="101">
        <v>0.6063821425764364</v>
      </c>
      <c r="AO44" s="98">
        <v>1417.2767203513908</v>
      </c>
      <c r="AP44" s="98">
        <v>0</v>
      </c>
      <c r="AQ44" s="101">
        <v>0.13252656434474616</v>
      </c>
      <c r="AR44" s="101">
        <v>0.49178532311062434</v>
      </c>
      <c r="AS44" s="98">
        <v>239.698807780799</v>
      </c>
      <c r="AT44" s="98">
        <v>235.93390504078644</v>
      </c>
      <c r="AU44" s="98">
        <v>76.55302238025517</v>
      </c>
      <c r="AV44" s="98">
        <v>274.00125496758</v>
      </c>
      <c r="AW44" s="98">
        <v>471.0311650282368</v>
      </c>
      <c r="AX44" s="98">
        <v>399.0796904413303</v>
      </c>
      <c r="AY44" s="98">
        <v>995.6076134699854</v>
      </c>
      <c r="AZ44" s="98">
        <v>583.1416021752772</v>
      </c>
      <c r="BA44" s="101">
        <v>0.2513812154696133</v>
      </c>
      <c r="BB44" s="101">
        <v>0.48987108655616945</v>
      </c>
      <c r="BC44" s="101">
        <v>0.2587476979742173</v>
      </c>
      <c r="BD44" s="98">
        <v>0</v>
      </c>
      <c r="BE44" s="98">
        <v>0</v>
      </c>
      <c r="BF44" s="99">
        <v>28334</v>
      </c>
      <c r="BG44" s="99">
        <v>14329</v>
      </c>
      <c r="BH44" s="99">
        <v>58318</v>
      </c>
      <c r="BI44" s="99">
        <v>25821</v>
      </c>
      <c r="BJ44" s="99">
        <v>12723</v>
      </c>
      <c r="BK44" s="97"/>
      <c r="BL44" s="97"/>
      <c r="BM44" s="97"/>
      <c r="BN44" s="97"/>
    </row>
    <row r="45" spans="1:66" ht="12.75">
      <c r="A45" s="79" t="s">
        <v>24</v>
      </c>
      <c r="B45" s="94" t="s">
        <v>7</v>
      </c>
      <c r="C45" s="94" t="s">
        <v>7</v>
      </c>
      <c r="D45" s="99">
        <v>55165362</v>
      </c>
      <c r="E45" s="99">
        <v>9048994</v>
      </c>
      <c r="F45" s="99">
        <v>8305264.179999999</v>
      </c>
      <c r="G45" s="99">
        <v>259770</v>
      </c>
      <c r="H45" s="99">
        <v>128954</v>
      </c>
      <c r="I45" s="99">
        <v>978426</v>
      </c>
      <c r="J45" s="99">
        <v>4727163</v>
      </c>
      <c r="K45" s="99">
        <v>1693161</v>
      </c>
      <c r="L45" s="99">
        <v>10175535</v>
      </c>
      <c r="M45" s="99">
        <v>3358821</v>
      </c>
      <c r="N45" s="99">
        <v>1654961</v>
      </c>
      <c r="O45" s="99">
        <v>1093346</v>
      </c>
      <c r="P45" s="99">
        <v>1093346</v>
      </c>
      <c r="Q45" s="99">
        <v>115539</v>
      </c>
      <c r="R45" s="99">
        <v>248587</v>
      </c>
      <c r="S45" s="99">
        <v>205061</v>
      </c>
      <c r="T45" s="99">
        <v>184806</v>
      </c>
      <c r="U45" s="99">
        <v>42802</v>
      </c>
      <c r="V45" s="99">
        <v>192402</v>
      </c>
      <c r="W45" s="99">
        <v>343839</v>
      </c>
      <c r="X45" s="99">
        <v>238616</v>
      </c>
      <c r="Y45" s="99">
        <v>553576</v>
      </c>
      <c r="Z45" s="99">
        <v>323780</v>
      </c>
      <c r="AA45" s="99">
        <v>58003</v>
      </c>
      <c r="AB45" s="99">
        <v>120283</v>
      </c>
      <c r="AC45" s="99">
        <v>66239</v>
      </c>
      <c r="AD45" s="98">
        <v>0</v>
      </c>
      <c r="AE45" s="101">
        <v>0.16403398204837302</v>
      </c>
      <c r="AF45" s="101">
        <v>0.1505521558981159</v>
      </c>
      <c r="AG45" s="98">
        <v>470.8933116400106</v>
      </c>
      <c r="AH45" s="98">
        <v>233.75900261472046</v>
      </c>
      <c r="AI45" s="101">
        <v>0.017736238185113332</v>
      </c>
      <c r="AJ45" s="101">
        <v>0.7246856648259642</v>
      </c>
      <c r="AK45" s="101">
        <v>0.7425503147315781</v>
      </c>
      <c r="AL45" s="101">
        <v>0.7530641252748632</v>
      </c>
      <c r="AM45" s="101">
        <v>0.5744521249276766</v>
      </c>
      <c r="AN45" s="101">
        <v>0.5565049054289257</v>
      </c>
      <c r="AO45" s="98">
        <v>1981.9429445600304</v>
      </c>
      <c r="AP45" s="98">
        <v>1</v>
      </c>
      <c r="AQ45" s="101">
        <v>0.10567469035419712</v>
      </c>
      <c r="AR45" s="101">
        <v>0.46478295325177904</v>
      </c>
      <c r="AS45" s="98">
        <v>371.7205735004512</v>
      </c>
      <c r="AT45" s="98">
        <v>335.00369307827617</v>
      </c>
      <c r="AU45" s="98">
        <v>77.58854188249504</v>
      </c>
      <c r="AV45" s="98">
        <v>348.7732030109763</v>
      </c>
      <c r="AW45" s="98">
        <v>623.2878522577265</v>
      </c>
      <c r="AX45" s="98">
        <v>432.5467854266958</v>
      </c>
      <c r="AY45" s="98">
        <v>1003.4847591501348</v>
      </c>
      <c r="AZ45" s="98">
        <v>586.9262672471904</v>
      </c>
      <c r="BA45" s="101">
        <v>0.2372068295675289</v>
      </c>
      <c r="BB45" s="101">
        <v>0.4919047132195072</v>
      </c>
      <c r="BC45" s="101">
        <v>0.2708884572129639</v>
      </c>
      <c r="BD45" s="98">
        <v>0</v>
      </c>
      <c r="BE45" s="98">
        <v>0</v>
      </c>
      <c r="BF45" s="99">
        <v>6523053</v>
      </c>
      <c r="BG45" s="99">
        <v>2280197</v>
      </c>
      <c r="BH45" s="99">
        <v>13512176</v>
      </c>
      <c r="BI45" s="99">
        <v>5846999</v>
      </c>
      <c r="BJ45" s="99">
        <v>2973848</v>
      </c>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102</v>
      </c>
      <c r="O4" s="75" t="s">
        <v>101</v>
      </c>
      <c r="P4" s="75" t="s">
        <v>152</v>
      </c>
      <c r="Q4" s="75" t="s">
        <v>153</v>
      </c>
      <c r="R4" s="75" t="s">
        <v>154</v>
      </c>
      <c r="S4" s="75" t="s">
        <v>155</v>
      </c>
      <c r="T4" s="39" t="s">
        <v>53</v>
      </c>
      <c r="U4" s="40" t="s">
        <v>54</v>
      </c>
      <c r="V4" s="41" t="s">
        <v>7</v>
      </c>
      <c r="W4" s="24" t="s">
        <v>2</v>
      </c>
      <c r="X4" s="24" t="s">
        <v>3</v>
      </c>
      <c r="Y4" s="75" t="s">
        <v>222</v>
      </c>
      <c r="Z4" s="75" t="s">
        <v>221</v>
      </c>
      <c r="AA4" s="26" t="s">
        <v>55</v>
      </c>
      <c r="AB4" s="24" t="s">
        <v>5</v>
      </c>
      <c r="AC4" s="75" t="s">
        <v>35</v>
      </c>
      <c r="AD4" s="24" t="s">
        <v>6</v>
      </c>
      <c r="AE4" s="24" t="s">
        <v>56</v>
      </c>
      <c r="AF4" s="24" t="s">
        <v>16</v>
      </c>
      <c r="AG4" s="24" t="s">
        <v>15</v>
      </c>
      <c r="AH4" s="24" t="s">
        <v>14</v>
      </c>
      <c r="AI4" s="25" t="s">
        <v>30</v>
      </c>
      <c r="AJ4" s="47" t="s">
        <v>10</v>
      </c>
      <c r="AK4" s="26" t="s">
        <v>21</v>
      </c>
      <c r="AL4" s="25" t="s">
        <v>22</v>
      </c>
      <c r="AQ4" s="102" t="s">
        <v>142</v>
      </c>
      <c r="AR4" s="102" t="s">
        <v>144</v>
      </c>
      <c r="AS4" s="102" t="s">
        <v>143</v>
      </c>
      <c r="AY4" s="102" t="s">
        <v>768</v>
      </c>
      <c r="AZ4" s="102" t="s">
        <v>769</v>
      </c>
      <c r="BA4" s="102" t="s">
        <v>151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370</v>
      </c>
      <c r="AZ5" s="103" t="s">
        <v>557</v>
      </c>
      <c r="BA5" s="103" t="s">
        <v>97</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369</v>
      </c>
      <c r="AZ6" s="103" t="s">
        <v>558</v>
      </c>
      <c r="BA6" s="103" t="s">
        <v>97</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1086</v>
      </c>
      <c r="E7" s="38">
        <f>IF(LEFT(VLOOKUP($B7,'Indicator chart'!$D$1:$J$36,5,FALSE),1)=" "," ",VLOOKUP($B7,'Indicator chart'!$D$1:$J$36,5,FALSE))</f>
        <v>0.17672904800650935</v>
      </c>
      <c r="F7" s="38">
        <f>IF(LEFT(VLOOKUP($B7,'Indicator chart'!$D$1:$J$36,6,FALSE),1)=" "," ",VLOOKUP($B7,'Indicator chart'!$D$1:$J$36,6,FALSE))</f>
        <v>0.1673946668521957</v>
      </c>
      <c r="G7" s="38">
        <f>IF(LEFT(VLOOKUP($B7,'Indicator chart'!$D$1:$J$36,7,FALSE),1)=" "," ",VLOOKUP($B7,'Indicator chart'!$D$1:$J$36,7,FALSE))</f>
        <v>0.18646736790895352</v>
      </c>
      <c r="H7" s="50">
        <f aca="true" t="shared" si="0" ref="H7:H31">IF(LEFT(F7,1)=" ",4,IF(AND(ABS(N7-E7)&gt;SQRT((E7-G7)^2+(N7-R7)^2),E7&lt;N7),1,IF(AND(ABS(N7-E7)&gt;SQRT((E7-F7)^2+(N7-S7)^2),E7&gt;N7),3,2)))</f>
        <v>3</v>
      </c>
      <c r="I7" s="300" t="s">
        <v>462</v>
      </c>
      <c r="J7" s="300" t="s">
        <v>474</v>
      </c>
      <c r="K7" s="300" t="s">
        <v>494</v>
      </c>
      <c r="L7" s="300" t="s">
        <v>515</v>
      </c>
      <c r="M7" s="300" t="s">
        <v>537</v>
      </c>
      <c r="N7" s="80">
        <f>VLOOKUP('Hide - Control'!B$3,'All practice data'!A:CA,A7+29,FALSE)</f>
        <v>0.1585149550303284</v>
      </c>
      <c r="O7" s="80">
        <f>VLOOKUP('Hide - Control'!C$3,'All practice data'!A:CA,A7+29,FALSE)</f>
        <v>0.16403398204837302</v>
      </c>
      <c r="P7" s="38">
        <f>VLOOKUP('Hide - Control'!$B$4,'All practice data'!B:BC,A7+2,FALSE)</f>
        <v>37893</v>
      </c>
      <c r="Q7" s="38">
        <f>VLOOKUP('Hide - Control'!$B$4,'All practice data'!B:BC,3,FALSE)</f>
        <v>239050</v>
      </c>
      <c r="R7" s="38">
        <f>+((2*P7+1.96^2-1.96*SQRT(1.96^2+4*P7*(1-P7/Q7)))/(2*(Q7+1.96^2)))</f>
        <v>0.1570563466134056</v>
      </c>
      <c r="S7" s="38">
        <f>+((2*P7+1.96^2+1.96*SQRT(1.96^2+4*P7*(1-P7/Q7)))/(2*(Q7+1.96^2)))</f>
        <v>0.15998453879021135</v>
      </c>
      <c r="T7" s="53" t="str">
        <f>IF($C7=1,M7,I7)</f>
        <v>0.334833795</v>
      </c>
      <c r="U7" s="51" t="str">
        <f aca="true" t="shared" si="1" ref="U7:U15">IF($C7=1,I7,M7)</f>
        <v>0.002558048</v>
      </c>
      <c r="V7" s="7">
        <v>1</v>
      </c>
      <c r="W7" s="27">
        <f aca="true" t="shared" si="2" ref="W7:W31">IF((K7-I7)&gt;(M7-K7),I7,(K7-(M7-K7)))</f>
        <v>-0.0029422989999999816</v>
      </c>
      <c r="X7" s="27" t="str">
        <f aca="true" t="shared" si="3" ref="X7:X31">IF(W7=I7,K7+(K7-I7),M7)</f>
        <v>0.334833795</v>
      </c>
      <c r="Y7" s="27">
        <f aca="true" t="shared" si="4" ref="Y7:Y31">IF(C7=1,W7,X7)</f>
        <v>-0.0029422989999999816</v>
      </c>
      <c r="Z7" s="27" t="str">
        <f aca="true" t="shared" si="5" ref="Z7:Z31">IF(C7=1,X7,W7)</f>
        <v>0.334833795</v>
      </c>
      <c r="AA7" s="32">
        <f aca="true" t="shared" si="6" ref="AA7:AA31">IF(ISERROR(IF(C7=1,(I7-$Y7)/($Z7-$Y7),(U7-$Y7)/($Z7-$Y7))),"",IF(C7=1,(I7-$Y7)/($Z7-$Y7),(U7-$Y7)/($Z7-$Y7)))</f>
        <v>0.01628400321308702</v>
      </c>
      <c r="AB7" s="33">
        <f aca="true" t="shared" si="7" ref="AB7:AB31">IF(ISERROR(IF(C7=1,(J7-$Y7)/($Z7-$Y7),(L7-$Y7)/($Z7-$Y7))),"",IF(C7=1,(J7-$Y7)/($Z7-$Y7),(L7-$Y7)/($Z7-$Y7)))</f>
        <v>0.3990211782128074</v>
      </c>
      <c r="AC7" s="33">
        <v>0.5</v>
      </c>
      <c r="AD7" s="33">
        <f aca="true" t="shared" si="8" ref="AD7:AD31">IF(ISERROR(IF(C7=1,(L7-$Y7)/($Z7-$Y7),(J7-$Y7)/($Z7-$Y7))),"",IF(C7=1,(L7-$Y7)/($Z7-$Y7),(J7-$Y7)/($Z7-$Y7)))</f>
        <v>0.5601666736071618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0.53192440257927</v>
      </c>
      <c r="AI7" s="34">
        <f aca="true" t="shared" si="13" ref="AI7:AI31">IF(ISERROR((O7-$Y7)/($Z7-$Y7)),-999,(O7-$Y7)/($Z7-$Y7))</f>
        <v>0.49434013837691254</v>
      </c>
      <c r="AJ7" s="4">
        <v>2.7020512924389086</v>
      </c>
      <c r="AK7" s="32">
        <f aca="true" t="shared" si="14" ref="AK7:AK31">IF(H7=1,(E7-$Y7)/($Z7-$Y7),-999)</f>
        <v>-999</v>
      </c>
      <c r="AL7" s="34">
        <f aca="true" t="shared" si="15" ref="AL7:AL31">IF(H7=3,(E7-$Y7)/($Z7-$Y7),-999)</f>
        <v>0.53192440257927</v>
      </c>
      <c r="AQ7" s="103">
        <v>2</v>
      </c>
      <c r="AR7" s="103">
        <v>0.2422</v>
      </c>
      <c r="AS7" s="103">
        <v>7.2247</v>
      </c>
      <c r="AY7" s="103" t="s">
        <v>360</v>
      </c>
      <c r="AZ7" s="103" t="s">
        <v>559</v>
      </c>
      <c r="BA7" s="103" t="s">
        <v>97</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0.18</v>
      </c>
      <c r="F8" s="38">
        <f>IF(LEFT(VLOOKUP($B8,'Indicator chart'!$D$1:$J$36,6,FALSE),1)=" "," ",VLOOKUP($B8,'Indicator chart'!$D$1:$J$36,6,FALSE))</f>
        <v>0.1705949406302932</v>
      </c>
      <c r="G8" s="38">
        <f>IF(LEFT(VLOOKUP($B8,'Indicator chart'!$D$1:$J$36,7,FALSE),1)=" "," ",VLOOKUP($B8,'Indicator chart'!$D$1:$J$36,7,FALSE))</f>
        <v>0.1898049109450019</v>
      </c>
      <c r="H8" s="50">
        <f t="shared" si="0"/>
        <v>3</v>
      </c>
      <c r="I8" s="300" t="s">
        <v>452</v>
      </c>
      <c r="J8" s="300" t="s">
        <v>450</v>
      </c>
      <c r="K8" s="300" t="s">
        <v>451</v>
      </c>
      <c r="L8" s="300" t="s">
        <v>516</v>
      </c>
      <c r="M8" s="300" t="s">
        <v>454</v>
      </c>
      <c r="N8" s="80">
        <f>VLOOKUP('Hide - Control'!B$3,'All practice data'!A:CA,A8+29,FALSE)</f>
        <v>0.1520437565362895</v>
      </c>
      <c r="O8" s="80">
        <f>VLOOKUP('Hide - Control'!C$3,'All practice data'!A:CA,A8+29,FALSE)</f>
        <v>0.1505521558981159</v>
      </c>
      <c r="P8" s="38">
        <f>VLOOKUP('Hide - Control'!$B$4,'All practice data'!B:BC,A8+2,FALSE)</f>
        <v>36346.060000000005</v>
      </c>
      <c r="Q8" s="38">
        <f>VLOOKUP('Hide - Control'!$B$4,'All practice data'!B:BC,3,FALSE)</f>
        <v>239050</v>
      </c>
      <c r="R8" s="38">
        <f>+((2*P8+1.96^2-1.96*SQRT(1.96^2+4*P8*(1-P8/Q8)))/(2*(Q8+1.96^2)))</f>
        <v>0.15060994487552987</v>
      </c>
      <c r="S8" s="38">
        <f>+((2*P8+1.96^2+1.96*SQRT(1.96^2+4*P8*(1-P8/Q8)))/(2*(Q8+1.96^2)))</f>
        <v>0.1534887515245869</v>
      </c>
      <c r="T8" s="53" t="str">
        <f aca="true" t="shared" si="16" ref="T8:T15">IF($C8=1,M8,I8)</f>
        <v>0.3</v>
      </c>
      <c r="U8" s="51" t="str">
        <f t="shared" si="1"/>
        <v>0.05</v>
      </c>
      <c r="V8" s="7"/>
      <c r="W8" s="27">
        <f t="shared" si="2"/>
        <v>0.020000000000000018</v>
      </c>
      <c r="X8" s="27" t="str">
        <f t="shared" si="3"/>
        <v>0.3</v>
      </c>
      <c r="Y8" s="27">
        <f t="shared" si="4"/>
        <v>0.020000000000000018</v>
      </c>
      <c r="Z8" s="27" t="str">
        <f t="shared" si="5"/>
        <v>0.3</v>
      </c>
      <c r="AA8" s="32">
        <f t="shared" si="6"/>
        <v>0.1071428571428571</v>
      </c>
      <c r="AB8" s="33">
        <f t="shared" si="7"/>
        <v>0.2857142857142857</v>
      </c>
      <c r="AC8" s="33">
        <v>0.5</v>
      </c>
      <c r="AD8" s="33">
        <f t="shared" si="8"/>
        <v>0.7232142857142857</v>
      </c>
      <c r="AE8" s="33">
        <f t="shared" si="9"/>
        <v>1</v>
      </c>
      <c r="AF8" s="33">
        <f t="shared" si="10"/>
        <v>-999</v>
      </c>
      <c r="AG8" s="33">
        <f t="shared" si="11"/>
        <v>-999</v>
      </c>
      <c r="AH8" s="33">
        <f t="shared" si="12"/>
        <v>0.5714285714285714</v>
      </c>
      <c r="AI8" s="34">
        <f t="shared" si="13"/>
        <v>0.46625769963612823</v>
      </c>
      <c r="AJ8" s="4">
        <v>3.778046717820832</v>
      </c>
      <c r="AK8" s="32">
        <f t="shared" si="14"/>
        <v>-999</v>
      </c>
      <c r="AL8" s="34">
        <f t="shared" si="15"/>
        <v>0.5714285714285714</v>
      </c>
      <c r="AQ8" s="103">
        <v>3</v>
      </c>
      <c r="AR8" s="103">
        <v>0.6187</v>
      </c>
      <c r="AS8" s="103">
        <v>8.7673</v>
      </c>
      <c r="AY8" s="103" t="s">
        <v>372</v>
      </c>
      <c r="AZ8" s="103" t="s">
        <v>560</v>
      </c>
      <c r="BA8" s="103" t="s">
        <v>97</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374.2880390561432</v>
      </c>
      <c r="F9" s="38">
        <f>IF(LEFT(VLOOKUP($B9,'Indicator chart'!$D$1:$J$36,6,FALSE),1)=" "," ",VLOOKUP($B9,'Indicator chart'!$D$1:$J$36,6,FALSE))</f>
        <v>237.1886614537037</v>
      </c>
      <c r="G9" s="38">
        <f>IF(LEFT(VLOOKUP($B9,'Indicator chart'!$D$1:$J$36,7,FALSE),1)=" "," ",VLOOKUP($B9,'Indicator chart'!$D$1:$J$36,7,FALSE))</f>
        <v>561.6441834316777</v>
      </c>
      <c r="H9" s="50">
        <f t="shared" si="0"/>
        <v>2</v>
      </c>
      <c r="I9" s="300" t="s">
        <v>463</v>
      </c>
      <c r="J9" s="300" t="s">
        <v>475</v>
      </c>
      <c r="K9" s="300" t="s">
        <v>495</v>
      </c>
      <c r="L9" s="300" t="s">
        <v>517</v>
      </c>
      <c r="M9" s="300" t="s">
        <v>538</v>
      </c>
      <c r="N9" s="80">
        <f>VLOOKUP('Hide - Control'!B$3,'All practice data'!A:CA,A9+29,FALSE)</f>
        <v>428.36226730809454</v>
      </c>
      <c r="O9" s="80">
        <f>VLOOKUP('Hide - Control'!C$3,'All practice data'!A:CA,A9+29,FALSE)</f>
        <v>470.8933116400106</v>
      </c>
      <c r="P9" s="38">
        <f>VLOOKUP('Hide - Control'!$B$4,'All practice data'!B:BC,A9+2,FALSE)</f>
        <v>1024</v>
      </c>
      <c r="Q9" s="38">
        <f>VLOOKUP('Hide - Control'!$B$4,'All practice data'!B:BC,3,FALSE)</f>
        <v>239050</v>
      </c>
      <c r="R9" s="38">
        <f>100000*(P9*(1-1/(9*P9)-1.96/(3*SQRT(P9)))^3)/Q9</f>
        <v>402.5233184910414</v>
      </c>
      <c r="S9" s="38">
        <f>100000*((P9+1)*(1-1/(9*(P9+1))+1.96/(3*SQRT(P9+1)))^3)/Q9</f>
        <v>455.42473189880127</v>
      </c>
      <c r="T9" s="53" t="str">
        <f t="shared" si="16"/>
        <v>709.3963908</v>
      </c>
      <c r="U9" s="51" t="str">
        <f t="shared" si="1"/>
        <v>150.7</v>
      </c>
      <c r="V9" s="7"/>
      <c r="W9" s="27" t="str">
        <f t="shared" si="2"/>
        <v>150.7</v>
      </c>
      <c r="X9" s="27">
        <f t="shared" si="3"/>
        <v>720.2853021999999</v>
      </c>
      <c r="Y9" s="27" t="str">
        <f t="shared" si="4"/>
        <v>150.7</v>
      </c>
      <c r="Z9" s="27">
        <f t="shared" si="5"/>
        <v>720.2853021999999</v>
      </c>
      <c r="AA9" s="32">
        <f t="shared" si="6"/>
        <v>0</v>
      </c>
      <c r="AB9" s="33">
        <f t="shared" si="7"/>
        <v>0.3620367679845655</v>
      </c>
      <c r="AC9" s="33">
        <v>0.5</v>
      </c>
      <c r="AD9" s="33">
        <f t="shared" si="8"/>
        <v>0.6394948870574984</v>
      </c>
      <c r="AE9" s="33">
        <f t="shared" si="9"/>
        <v>0.9808827380939398</v>
      </c>
      <c r="AF9" s="33">
        <f t="shared" si="10"/>
        <v>-999</v>
      </c>
      <c r="AG9" s="33">
        <f t="shared" si="11"/>
        <v>0.39254531005723564</v>
      </c>
      <c r="AH9" s="33">
        <f t="shared" si="12"/>
        <v>-999</v>
      </c>
      <c r="AI9" s="34">
        <f t="shared" si="13"/>
        <v>0.5621516398040418</v>
      </c>
      <c r="AJ9" s="4">
        <v>4.854042143202755</v>
      </c>
      <c r="AK9" s="32">
        <f t="shared" si="14"/>
        <v>-999</v>
      </c>
      <c r="AL9" s="34">
        <f t="shared" si="15"/>
        <v>-999</v>
      </c>
      <c r="AQ9" s="103">
        <v>4</v>
      </c>
      <c r="AR9" s="103">
        <v>1.0899</v>
      </c>
      <c r="AS9" s="103">
        <v>10.2416</v>
      </c>
      <c r="AY9" s="103" t="s">
        <v>306</v>
      </c>
      <c r="AZ9" s="103" t="s">
        <v>561</v>
      </c>
      <c r="BA9" s="103" t="s">
        <v>97</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14</v>
      </c>
      <c r="E10" s="38">
        <f>IF(LEFT(VLOOKUP($B10,'Indicator chart'!$D$1:$J$36,5,FALSE),1)=" "," ",VLOOKUP($B10,'Indicator chart'!$D$1:$J$36,5,FALSE))</f>
        <v>227.82750203417413</v>
      </c>
      <c r="F10" s="38">
        <f>IF(LEFT(VLOOKUP($B10,'Indicator chart'!$D$1:$J$36,6,FALSE),1)=" "," ",VLOOKUP($B10,'Indicator chart'!$D$1:$J$36,6,FALSE))</f>
        <v>124.44980717240361</v>
      </c>
      <c r="G10" s="38">
        <f>IF(LEFT(VLOOKUP($B10,'Indicator chart'!$D$1:$J$36,7,FALSE),1)=" "," ",VLOOKUP($B10,'Indicator chart'!$D$1:$J$36,7,FALSE))</f>
        <v>382.2813000394264</v>
      </c>
      <c r="H10" s="50">
        <f t="shared" si="0"/>
        <v>2</v>
      </c>
      <c r="I10" s="300" t="s">
        <v>447</v>
      </c>
      <c r="J10" s="300" t="s">
        <v>476</v>
      </c>
      <c r="K10" s="300" t="s">
        <v>496</v>
      </c>
      <c r="L10" s="300" t="s">
        <v>518</v>
      </c>
      <c r="M10" s="300" t="s">
        <v>539</v>
      </c>
      <c r="N10" s="80">
        <f>VLOOKUP('Hide - Control'!B$3,'All practice data'!A:CA,A10+29,FALSE)</f>
        <v>226.7308094540891</v>
      </c>
      <c r="O10" s="80">
        <f>VLOOKUP('Hide - Control'!C$3,'All practice data'!A:CA,A10+29,FALSE)</f>
        <v>233.75900261472046</v>
      </c>
      <c r="P10" s="38">
        <f>VLOOKUP('Hide - Control'!$B$4,'All practice data'!B:BC,A10+2,FALSE)</f>
        <v>542</v>
      </c>
      <c r="Q10" s="38">
        <f>VLOOKUP('Hide - Control'!$B$4,'All practice data'!B:BC,3,FALSE)</f>
        <v>239050</v>
      </c>
      <c r="R10" s="38">
        <f>100000*(P10*(1-1/(9*P10)-1.96/(3*SQRT(P10)))^3)/Q10</f>
        <v>208.04149043225044</v>
      </c>
      <c r="S10" s="38">
        <f>100000*((P10+1)*(1-1/(9*(P10+1))+1.96/(3*SQRT(P10+1)))^3)/Q10</f>
        <v>246.64836248266565</v>
      </c>
      <c r="T10" s="53" t="str">
        <f t="shared" si="16"/>
        <v>623.2686981</v>
      </c>
      <c r="U10" s="51" t="str">
        <f t="shared" si="1"/>
        <v>61.6589</v>
      </c>
      <c r="V10" s="7"/>
      <c r="W10" s="27">
        <f t="shared" si="2"/>
        <v>-167.20513470000003</v>
      </c>
      <c r="X10" s="27" t="str">
        <f t="shared" si="3"/>
        <v>623.2686981</v>
      </c>
      <c r="Y10" s="27">
        <f t="shared" si="4"/>
        <v>-167.20513470000003</v>
      </c>
      <c r="Z10" s="27" t="str">
        <f t="shared" si="5"/>
        <v>623.2686981</v>
      </c>
      <c r="AA10" s="32">
        <f t="shared" si="6"/>
        <v>0.289527654431422</v>
      </c>
      <c r="AB10" s="33">
        <f t="shared" si="7"/>
        <v>0.432135441713511</v>
      </c>
      <c r="AC10" s="33">
        <v>0.5</v>
      </c>
      <c r="AD10" s="33">
        <f t="shared" si="8"/>
        <v>0.5598913169994563</v>
      </c>
      <c r="AE10" s="33">
        <f t="shared" si="9"/>
        <v>1</v>
      </c>
      <c r="AF10" s="33">
        <f t="shared" si="10"/>
        <v>-999</v>
      </c>
      <c r="AG10" s="33">
        <f t="shared" si="11"/>
        <v>0.49974157314594175</v>
      </c>
      <c r="AH10" s="33">
        <f t="shared" si="12"/>
        <v>-999</v>
      </c>
      <c r="AI10" s="34">
        <f t="shared" si="13"/>
        <v>0.5072453010802819</v>
      </c>
      <c r="AJ10" s="4">
        <v>5.930037568584676</v>
      </c>
      <c r="AK10" s="32">
        <f t="shared" si="14"/>
        <v>-999</v>
      </c>
      <c r="AL10" s="34">
        <f t="shared" si="15"/>
        <v>-999</v>
      </c>
      <c r="AY10" s="103" t="s">
        <v>371</v>
      </c>
      <c r="AZ10" s="103" t="s">
        <v>562</v>
      </c>
      <c r="BA10" s="103" t="s">
        <v>97</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110</v>
      </c>
      <c r="E11" s="38">
        <f>IF(LEFT(VLOOKUP($B11,'Indicator chart'!$D$1:$J$36,5,FALSE),1)=" "," ",VLOOKUP($B11,'Indicator chart'!$D$1:$J$36,5,FALSE))</f>
        <v>0.0179</v>
      </c>
      <c r="F11" s="38">
        <f>IF(LEFT(VLOOKUP($B11,'Indicator chart'!$D$1:$J$36,6,FALSE),1)=" "," ",VLOOKUP($B11,'Indicator chart'!$D$1:$J$36,6,FALSE))</f>
        <v>0.014874121017533777</v>
      </c>
      <c r="G11" s="38">
        <f>IF(LEFT(VLOOKUP($B11,'Indicator chart'!$D$1:$J$36,7,FALSE),1)=" "," ",VLOOKUP($B11,'Indicator chart'!$D$1:$J$36,7,FALSE))</f>
        <v>0.021529744061703264</v>
      </c>
      <c r="H11" s="50">
        <f t="shared" si="0"/>
        <v>2</v>
      </c>
      <c r="I11" s="300" t="s">
        <v>464</v>
      </c>
      <c r="J11" s="300" t="s">
        <v>456</v>
      </c>
      <c r="K11" s="300" t="s">
        <v>461</v>
      </c>
      <c r="L11" s="300" t="s">
        <v>460</v>
      </c>
      <c r="M11" s="300" t="s">
        <v>540</v>
      </c>
      <c r="N11" s="80">
        <f>VLOOKUP('Hide - Control'!B$3,'All practice data'!A:CA,A11+29,FALSE)</f>
        <v>0.016143066304120476</v>
      </c>
      <c r="O11" s="80">
        <f>VLOOKUP('Hide - Control'!C$3,'All practice data'!A:CA,A11+29,FALSE)</f>
        <v>0.017736238185113332</v>
      </c>
      <c r="P11" s="38">
        <f>VLOOKUP('Hide - Control'!$B$4,'All practice data'!B:BC,A11+2,FALSE)</f>
        <v>3859</v>
      </c>
      <c r="Q11" s="38">
        <f>VLOOKUP('Hide - Control'!$B$4,'All practice data'!B:BC,3,FALSE)</f>
        <v>239050</v>
      </c>
      <c r="R11" s="80">
        <f aca="true" t="shared" si="17" ref="R11:R16">+((2*P11+1.96^2-1.96*SQRT(1.96^2+4*P11*(1-P11/Q11)))/(2*(Q11+1.96^2)))</f>
        <v>0.015645577575157586</v>
      </c>
      <c r="S11" s="80">
        <f aca="true" t="shared" si="18" ref="S11:S16">+((2*P11+1.96^2+1.96*SQRT(1.96^2+4*P11*(1-P11/Q11)))/(2*(Q11+1.96^2)))</f>
        <v>0.01665610621422352</v>
      </c>
      <c r="T11" s="53" t="str">
        <f t="shared" si="16"/>
        <v>0.0346</v>
      </c>
      <c r="U11" s="51" t="str">
        <f t="shared" si="1"/>
        <v>0.0013</v>
      </c>
      <c r="V11" s="7"/>
      <c r="W11" s="27">
        <f t="shared" si="2"/>
        <v>-0.004799999999999999</v>
      </c>
      <c r="X11" s="27" t="str">
        <f t="shared" si="3"/>
        <v>0.0346</v>
      </c>
      <c r="Y11" s="27">
        <f t="shared" si="4"/>
        <v>-0.004799999999999999</v>
      </c>
      <c r="Z11" s="27" t="str">
        <f t="shared" si="5"/>
        <v>0.0346</v>
      </c>
      <c r="AA11" s="32">
        <f t="shared" si="6"/>
        <v>0.15482233502538068</v>
      </c>
      <c r="AB11" s="33">
        <f t="shared" si="7"/>
        <v>0.40038071065989844</v>
      </c>
      <c r="AC11" s="33">
        <v>0.5</v>
      </c>
      <c r="AD11" s="33">
        <f t="shared" si="8"/>
        <v>0.6243654822335026</v>
      </c>
      <c r="AE11" s="33">
        <f t="shared" si="9"/>
        <v>1</v>
      </c>
      <c r="AF11" s="33">
        <f t="shared" si="10"/>
        <v>-999</v>
      </c>
      <c r="AG11" s="33">
        <f t="shared" si="11"/>
        <v>0.5761421319796954</v>
      </c>
      <c r="AH11" s="33">
        <f t="shared" si="12"/>
        <v>-999</v>
      </c>
      <c r="AI11" s="34">
        <f t="shared" si="13"/>
        <v>0.5719857407389171</v>
      </c>
      <c r="AJ11" s="4">
        <v>7.0060329939666</v>
      </c>
      <c r="AK11" s="32">
        <f t="shared" si="14"/>
        <v>-999</v>
      </c>
      <c r="AL11" s="34">
        <f t="shared" si="15"/>
        <v>-999</v>
      </c>
      <c r="AY11" s="103" t="s">
        <v>223</v>
      </c>
      <c r="AZ11" s="103" t="s">
        <v>563</v>
      </c>
      <c r="BA11" s="103" t="s">
        <v>97</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575</v>
      </c>
      <c r="E12" s="38">
        <f>IF(LEFT(VLOOKUP($B12,'Indicator chart'!$D$1:$J$36,5,FALSE),1)=" "," ",VLOOKUP($B12,'Indicator chart'!$D$1:$J$36,5,FALSE))</f>
        <v>0.752618</v>
      </c>
      <c r="F12" s="38">
        <f>IF(LEFT(VLOOKUP($B12,'Indicator chart'!$D$1:$J$36,6,FALSE),1)=" "," ",VLOOKUP($B12,'Indicator chart'!$D$1:$J$36,6,FALSE))</f>
        <v>0.7208072620644723</v>
      </c>
      <c r="G12" s="38">
        <f>IF(LEFT(VLOOKUP($B12,'Indicator chart'!$D$1:$J$36,7,FALSE),1)=" "," ",VLOOKUP($B12,'Indicator chart'!$D$1:$J$36,7,FALSE))</f>
        <v>0.78190058809629</v>
      </c>
      <c r="H12" s="50">
        <f t="shared" si="0"/>
        <v>2</v>
      </c>
      <c r="I12" s="300" t="s">
        <v>455</v>
      </c>
      <c r="J12" s="300" t="s">
        <v>477</v>
      </c>
      <c r="K12" s="300" t="s">
        <v>497</v>
      </c>
      <c r="L12" s="300" t="s">
        <v>519</v>
      </c>
      <c r="M12" s="300" t="s">
        <v>541</v>
      </c>
      <c r="N12" s="80">
        <f>VLOOKUP('Hide - Control'!B$3,'All practice data'!A:CA,A12+29,FALSE)</f>
        <v>0.737735582692172</v>
      </c>
      <c r="O12" s="80">
        <f>VLOOKUP('Hide - Control'!C$3,'All practice data'!A:CA,A12+29,FALSE)</f>
        <v>0.7246856648259642</v>
      </c>
      <c r="P12" s="38">
        <f>VLOOKUP('Hide - Control'!$B$4,'All practice data'!B:BC,A12+2,FALSE)</f>
        <v>20903</v>
      </c>
      <c r="Q12" s="38">
        <f>VLOOKUP('Hide - Control'!$B$4,'All practice data'!B:BJ,57,FALSE)</f>
        <v>28334</v>
      </c>
      <c r="R12" s="38">
        <f t="shared" si="17"/>
        <v>0.7325818051700896</v>
      </c>
      <c r="S12" s="38">
        <f t="shared" si="18"/>
        <v>0.7428249032928442</v>
      </c>
      <c r="T12" s="53" t="str">
        <f t="shared" si="16"/>
        <v>0.817925</v>
      </c>
      <c r="U12" s="51" t="str">
        <f t="shared" si="1"/>
        <v>0.5</v>
      </c>
      <c r="V12" s="7"/>
      <c r="W12" s="27" t="str">
        <f t="shared" si="2"/>
        <v>0.5</v>
      </c>
      <c r="X12" s="27">
        <f t="shared" si="3"/>
        <v>0.9427160000000001</v>
      </c>
      <c r="Y12" s="27" t="str">
        <f t="shared" si="4"/>
        <v>0.5</v>
      </c>
      <c r="Z12" s="27">
        <f t="shared" si="5"/>
        <v>0.9427160000000001</v>
      </c>
      <c r="AA12" s="32">
        <f t="shared" si="6"/>
        <v>0</v>
      </c>
      <c r="AB12" s="33">
        <f t="shared" si="7"/>
        <v>0.4179654677039003</v>
      </c>
      <c r="AC12" s="33">
        <v>0.5</v>
      </c>
      <c r="AD12" s="33">
        <f t="shared" si="8"/>
        <v>0.5699421299433496</v>
      </c>
      <c r="AE12" s="33">
        <f t="shared" si="9"/>
        <v>0.7181240343696634</v>
      </c>
      <c r="AF12" s="33">
        <f t="shared" si="10"/>
        <v>-999</v>
      </c>
      <c r="AG12" s="33">
        <f t="shared" si="11"/>
        <v>0.5706096007372671</v>
      </c>
      <c r="AH12" s="33">
        <f t="shared" si="12"/>
        <v>-999</v>
      </c>
      <c r="AI12" s="34">
        <f t="shared" si="13"/>
        <v>0.5075164774391803</v>
      </c>
      <c r="AJ12" s="4">
        <v>8.082028419348523</v>
      </c>
      <c r="AK12" s="32">
        <f t="shared" si="14"/>
        <v>-999</v>
      </c>
      <c r="AL12" s="34">
        <f t="shared" si="15"/>
        <v>-999</v>
      </c>
      <c r="AY12" s="103" t="s">
        <v>303</v>
      </c>
      <c r="AZ12" s="103" t="s">
        <v>564</v>
      </c>
      <c r="BA12" s="103" t="s">
        <v>97</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562</v>
      </c>
      <c r="E13" s="38">
        <f>IF(LEFT(VLOOKUP($B13,'Indicator chart'!$D$1:$J$36,5,FALSE),1)=" "," ",VLOOKUP($B13,'Indicator chart'!$D$1:$J$36,5,FALSE))</f>
        <v>0.757412</v>
      </c>
      <c r="F13" s="38">
        <f>IF(LEFT(VLOOKUP($B13,'Indicator chart'!$D$1:$J$36,6,FALSE),1)=" "," ",VLOOKUP($B13,'Indicator chart'!$D$1:$J$36,6,FALSE))</f>
        <v>0.7252946641374641</v>
      </c>
      <c r="G13" s="38">
        <f>IF(LEFT(VLOOKUP($B13,'Indicator chart'!$D$1:$J$36,7,FALSE),1)=" "," ",VLOOKUP($B13,'Indicator chart'!$D$1:$J$36,7,FALSE))</f>
        <v>0.7868784299886881</v>
      </c>
      <c r="H13" s="50">
        <f t="shared" si="0"/>
        <v>2</v>
      </c>
      <c r="I13" s="300" t="s">
        <v>218</v>
      </c>
      <c r="J13" s="300" t="s">
        <v>455</v>
      </c>
      <c r="K13" s="300" t="s">
        <v>498</v>
      </c>
      <c r="L13" s="300" t="s">
        <v>520</v>
      </c>
      <c r="M13" s="300" t="s">
        <v>542</v>
      </c>
      <c r="N13" s="80">
        <f>VLOOKUP('Hide - Control'!B$3,'All practice data'!A:CA,A13+29,FALSE)</f>
        <v>0.7680926791820784</v>
      </c>
      <c r="O13" s="80">
        <f>VLOOKUP('Hide - Control'!C$3,'All practice data'!A:CA,A13+29,FALSE)</f>
        <v>0.7425503147315781</v>
      </c>
      <c r="P13" s="38">
        <f>VLOOKUP('Hide - Control'!$B$4,'All practice data'!B:BC,A13+2,FALSE)</f>
        <v>11006</v>
      </c>
      <c r="Q13" s="38">
        <f>VLOOKUP('Hide - Control'!$B$4,'All practice data'!B:BJ,58,FALSE)</f>
        <v>14329</v>
      </c>
      <c r="R13" s="38">
        <f t="shared" si="17"/>
        <v>0.7611108324616945</v>
      </c>
      <c r="S13" s="38">
        <f t="shared" si="18"/>
        <v>0.7749308133205347</v>
      </c>
      <c r="T13" s="53" t="str">
        <f t="shared" si="16"/>
        <v>0.867925</v>
      </c>
      <c r="U13" s="51" t="str">
        <f t="shared" si="1"/>
        <v>0</v>
      </c>
      <c r="V13" s="7"/>
      <c r="W13" s="27" t="str">
        <f t="shared" si="2"/>
        <v>0</v>
      </c>
      <c r="X13" s="27">
        <f t="shared" si="3"/>
        <v>1.351852</v>
      </c>
      <c r="Y13" s="27" t="str">
        <f t="shared" si="4"/>
        <v>0</v>
      </c>
      <c r="Z13" s="27">
        <f t="shared" si="5"/>
        <v>1.351852</v>
      </c>
      <c r="AA13" s="32">
        <f t="shared" si="6"/>
        <v>0</v>
      </c>
      <c r="AB13" s="33">
        <f t="shared" si="7"/>
        <v>0.36986297316570155</v>
      </c>
      <c r="AC13" s="33">
        <v>0.5</v>
      </c>
      <c r="AD13" s="33">
        <f t="shared" si="8"/>
        <v>0.5670977666194228</v>
      </c>
      <c r="AE13" s="33">
        <f t="shared" si="9"/>
        <v>0.642026641969683</v>
      </c>
      <c r="AF13" s="33">
        <f t="shared" si="10"/>
        <v>-999</v>
      </c>
      <c r="AG13" s="33">
        <f t="shared" si="11"/>
        <v>0.5602773084627607</v>
      </c>
      <c r="AH13" s="33">
        <f t="shared" si="12"/>
        <v>-999</v>
      </c>
      <c r="AI13" s="34">
        <f t="shared" si="13"/>
        <v>0.5492837342634979</v>
      </c>
      <c r="AJ13" s="4">
        <v>9.158023844730446</v>
      </c>
      <c r="AK13" s="32">
        <f t="shared" si="14"/>
        <v>-999</v>
      </c>
      <c r="AL13" s="34">
        <f t="shared" si="15"/>
        <v>-999</v>
      </c>
      <c r="AY13" s="103" t="s">
        <v>224</v>
      </c>
      <c r="AZ13" s="103" t="s">
        <v>565</v>
      </c>
      <c r="BA13" s="103" t="s">
        <v>97</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1249</v>
      </c>
      <c r="E14" s="38">
        <f>IF(LEFT(VLOOKUP($B14,'Indicator chart'!$D$1:$J$36,5,FALSE),1)=" "," ",VLOOKUP($B14,'Indicator chart'!$D$1:$J$36,5,FALSE))</f>
        <v>0.802699</v>
      </c>
      <c r="F14" s="38">
        <f>IF(LEFT(VLOOKUP($B14,'Indicator chart'!$D$1:$J$36,6,FALSE),1)=" "," ",VLOOKUP($B14,'Indicator chart'!$D$1:$J$36,6,FALSE))</f>
        <v>0.7821901475186352</v>
      </c>
      <c r="G14" s="38">
        <f>IF(LEFT(VLOOKUP($B14,'Indicator chart'!$D$1:$J$36,7,FALSE),1)=" "," ",VLOOKUP($B14,'Indicator chart'!$D$1:$J$36,7,FALSE))</f>
        <v>0.8217173261633081</v>
      </c>
      <c r="H14" s="50">
        <f t="shared" si="0"/>
        <v>2</v>
      </c>
      <c r="I14" s="300" t="s">
        <v>465</v>
      </c>
      <c r="J14" s="300" t="s">
        <v>478</v>
      </c>
      <c r="K14" s="300" t="s">
        <v>499</v>
      </c>
      <c r="L14" s="300" t="s">
        <v>521</v>
      </c>
      <c r="M14" s="300" t="s">
        <v>543</v>
      </c>
      <c r="N14" s="80">
        <f>VLOOKUP('Hide - Control'!B$3,'All practice data'!A:CA,A14+29,FALSE)</f>
        <v>0.7885558489660139</v>
      </c>
      <c r="O14" s="80">
        <f>VLOOKUP('Hide - Control'!C$3,'All practice data'!A:CA,A14+29,FALSE)</f>
        <v>0.7530641252748632</v>
      </c>
      <c r="P14" s="38">
        <f>VLOOKUP('Hide - Control'!$B$4,'All practice data'!B:BC,A14+2,FALSE)</f>
        <v>45987</v>
      </c>
      <c r="Q14" s="38">
        <f>VLOOKUP('Hide - Control'!$B$4,'All practice data'!B:BJ,59,FALSE)</f>
        <v>58318</v>
      </c>
      <c r="R14" s="38">
        <f t="shared" si="17"/>
        <v>0.7852227721722483</v>
      </c>
      <c r="S14" s="38">
        <f t="shared" si="18"/>
        <v>0.7918509120030469</v>
      </c>
      <c r="T14" s="53" t="str">
        <f t="shared" si="16"/>
        <v>0.859819</v>
      </c>
      <c r="U14" s="51" t="str">
        <f t="shared" si="1"/>
        <v>0.510433</v>
      </c>
      <c r="V14" s="7"/>
      <c r="W14" s="27" t="str">
        <f t="shared" si="2"/>
        <v>0.510433</v>
      </c>
      <c r="X14" s="27">
        <f t="shared" si="3"/>
        <v>1.0751140000000001</v>
      </c>
      <c r="Y14" s="27" t="str">
        <f t="shared" si="4"/>
        <v>0.510433</v>
      </c>
      <c r="Z14" s="27">
        <f t="shared" si="5"/>
        <v>1.0751140000000001</v>
      </c>
      <c r="AA14" s="32">
        <f t="shared" si="6"/>
        <v>0</v>
      </c>
      <c r="AB14" s="33">
        <f t="shared" si="7"/>
        <v>0.4186824065268709</v>
      </c>
      <c r="AC14" s="33">
        <v>0.5</v>
      </c>
      <c r="AD14" s="33">
        <f t="shared" si="8"/>
        <v>0.5700151944195039</v>
      </c>
      <c r="AE14" s="33">
        <f t="shared" si="9"/>
        <v>0.6187316378627932</v>
      </c>
      <c r="AF14" s="33">
        <f t="shared" si="10"/>
        <v>-999</v>
      </c>
      <c r="AG14" s="33">
        <f t="shared" si="11"/>
        <v>0.5175771807445265</v>
      </c>
      <c r="AH14" s="33">
        <f t="shared" si="12"/>
        <v>-999</v>
      </c>
      <c r="AI14" s="34">
        <f t="shared" si="13"/>
        <v>0.4296782170373417</v>
      </c>
      <c r="AJ14" s="4">
        <v>10.234019270112368</v>
      </c>
      <c r="AK14" s="32">
        <f t="shared" si="14"/>
        <v>-999</v>
      </c>
      <c r="AL14" s="34">
        <f t="shared" si="15"/>
        <v>-999</v>
      </c>
      <c r="AY14" s="103" t="s">
        <v>329</v>
      </c>
      <c r="AZ14" s="103" t="s">
        <v>566</v>
      </c>
      <c r="BA14" s="103" t="s">
        <v>97</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426</v>
      </c>
      <c r="E15" s="38">
        <f>IF(LEFT(VLOOKUP($B15,'Indicator chart'!$D$1:$J$36,5,FALSE),1)=" "," ",VLOOKUP($B15,'Indicator chart'!$D$1:$J$36,5,FALSE))</f>
        <v>0.632987</v>
      </c>
      <c r="F15" s="38">
        <f>IF(LEFT(VLOOKUP($B15,'Indicator chart'!$D$1:$J$36,6,FALSE),1)=" "," ",VLOOKUP($B15,'Indicator chart'!$D$1:$J$36,6,FALSE))</f>
        <v>0.5959119314915962</v>
      </c>
      <c r="G15" s="38">
        <f>IF(LEFT(VLOOKUP($B15,'Indicator chart'!$D$1:$J$36,7,FALSE),1)=" "," ",VLOOKUP($B15,'Indicator chart'!$D$1:$J$36,7,FALSE))</f>
        <v>0.6685517184968207</v>
      </c>
      <c r="H15" s="50">
        <f t="shared" si="0"/>
        <v>2</v>
      </c>
      <c r="I15" s="300" t="s">
        <v>466</v>
      </c>
      <c r="J15" s="300" t="s">
        <v>479</v>
      </c>
      <c r="K15" s="300" t="s">
        <v>500</v>
      </c>
      <c r="L15" s="300" t="s">
        <v>522</v>
      </c>
      <c r="M15" s="300" t="s">
        <v>544</v>
      </c>
      <c r="N15" s="80">
        <f>VLOOKUP('Hide - Control'!B$3,'All practice data'!A:CA,A15+29,FALSE)</f>
        <v>0.6176368072499129</v>
      </c>
      <c r="O15" s="80">
        <f>VLOOKUP('Hide - Control'!C$3,'All practice data'!A:CA,A15+29,FALSE)</f>
        <v>0.5744521249276766</v>
      </c>
      <c r="P15" s="38">
        <f>VLOOKUP('Hide - Control'!$B$4,'All practice data'!B:BC,A15+2,FALSE)</f>
        <v>15948</v>
      </c>
      <c r="Q15" s="38">
        <f>VLOOKUP('Hide - Control'!$B$4,'All practice data'!B:BJ,60,FALSE)</f>
        <v>25821</v>
      </c>
      <c r="R15" s="38">
        <f t="shared" si="17"/>
        <v>0.6116921875885317</v>
      </c>
      <c r="S15" s="38">
        <f t="shared" si="18"/>
        <v>0.623546428550744</v>
      </c>
      <c r="T15" s="53" t="str">
        <f t="shared" si="16"/>
        <v>0.698695</v>
      </c>
      <c r="U15" s="51" t="str">
        <f t="shared" si="1"/>
        <v>0.300469</v>
      </c>
      <c r="V15" s="7"/>
      <c r="W15" s="27" t="str">
        <f t="shared" si="2"/>
        <v>0.300469</v>
      </c>
      <c r="X15" s="27">
        <f t="shared" si="3"/>
        <v>0.9025299999999999</v>
      </c>
      <c r="Y15" s="27" t="str">
        <f t="shared" si="4"/>
        <v>0.300469</v>
      </c>
      <c r="Z15" s="27">
        <f t="shared" si="5"/>
        <v>0.9025299999999999</v>
      </c>
      <c r="AA15" s="32">
        <f t="shared" si="6"/>
        <v>0</v>
      </c>
      <c r="AB15" s="33">
        <f t="shared" si="7"/>
        <v>0.33413267094198107</v>
      </c>
      <c r="AC15" s="33">
        <v>0.5</v>
      </c>
      <c r="AD15" s="33">
        <f t="shared" si="8"/>
        <v>0.5800736968513157</v>
      </c>
      <c r="AE15" s="33">
        <f t="shared" si="9"/>
        <v>0.6614379606053207</v>
      </c>
      <c r="AF15" s="33">
        <f t="shared" si="10"/>
        <v>-999</v>
      </c>
      <c r="AG15" s="33">
        <f t="shared" si="11"/>
        <v>0.5522995178229448</v>
      </c>
      <c r="AH15" s="33">
        <f t="shared" si="12"/>
        <v>-999</v>
      </c>
      <c r="AI15" s="34">
        <f t="shared" si="13"/>
        <v>0.45507535769245416</v>
      </c>
      <c r="AJ15" s="4">
        <v>11.310014695494289</v>
      </c>
      <c r="AK15" s="32">
        <f t="shared" si="14"/>
        <v>-999</v>
      </c>
      <c r="AL15" s="34">
        <f t="shared" si="15"/>
        <v>-999</v>
      </c>
      <c r="AY15" s="103" t="s">
        <v>373</v>
      </c>
      <c r="AZ15" s="103" t="s">
        <v>567</v>
      </c>
      <c r="BA15" s="103" t="s">
        <v>97</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206</v>
      </c>
      <c r="E16" s="38">
        <f>IF(LEFT(VLOOKUP($B16,'Indicator chart'!$D$1:$J$36,5,FALSE),1)=" "," ",VLOOKUP($B16,'Indicator chart'!$D$1:$J$36,5,FALSE))</f>
        <v>0.611276</v>
      </c>
      <c r="F16" s="38">
        <f>IF(LEFT(VLOOKUP($B16,'Indicator chart'!$D$1:$J$36,6,FALSE),1)=" "," ",VLOOKUP($B16,'Indicator chart'!$D$1:$J$36,6,FALSE))</f>
        <v>0.5582555402586266</v>
      </c>
      <c r="G16" s="38">
        <f>IF(LEFT(VLOOKUP($B16,'Indicator chart'!$D$1:$J$36,7,FALSE),1)=" "," ",VLOOKUP($B16,'Indicator chart'!$D$1:$J$36,7,FALSE))</f>
        <v>0.6617880224989712</v>
      </c>
      <c r="H16" s="50">
        <f t="shared" si="0"/>
        <v>2</v>
      </c>
      <c r="I16" s="300" t="s">
        <v>467</v>
      </c>
      <c r="J16" s="300" t="s">
        <v>480</v>
      </c>
      <c r="K16" s="300" t="s">
        <v>501</v>
      </c>
      <c r="L16" s="300" t="s">
        <v>523</v>
      </c>
      <c r="M16" s="300" t="s">
        <v>545</v>
      </c>
      <c r="N16" s="80">
        <f>VLOOKUP('Hide - Control'!B$3,'All practice data'!A:CA,A16+29,FALSE)</f>
        <v>0.6063821425764364</v>
      </c>
      <c r="O16" s="80">
        <f>VLOOKUP('Hide - Control'!C$3,'All practice data'!A:CA,A16+29,FALSE)</f>
        <v>0.5565049054289257</v>
      </c>
      <c r="P16" s="38">
        <f>VLOOKUP('Hide - Control'!$B$4,'All practice data'!B:BC,A16+2,FALSE)</f>
        <v>7715</v>
      </c>
      <c r="Q16" s="38">
        <f>VLOOKUP('Hide - Control'!$B$4,'All practice data'!B:BJ,61,FALSE)</f>
        <v>12723</v>
      </c>
      <c r="R16" s="38">
        <f t="shared" si="17"/>
        <v>0.5978619512246807</v>
      </c>
      <c r="S16" s="38">
        <f t="shared" si="18"/>
        <v>0.6148381109808551</v>
      </c>
      <c r="T16" s="53" t="str">
        <f aca="true" t="shared" si="19" ref="T16:T31">IF($C16=1,M16,I16)</f>
        <v>0.697368</v>
      </c>
      <c r="U16" s="51" t="str">
        <f aca="true" t="shared" si="20" ref="U16:U31">IF($C16=1,I16,M16)</f>
        <v>0.252101</v>
      </c>
      <c r="V16" s="7"/>
      <c r="W16" s="27" t="str">
        <f t="shared" si="2"/>
        <v>0.252101</v>
      </c>
      <c r="X16" s="27">
        <f t="shared" si="3"/>
        <v>0.9313839999999999</v>
      </c>
      <c r="Y16" s="27" t="str">
        <f t="shared" si="4"/>
        <v>0.252101</v>
      </c>
      <c r="Z16" s="27">
        <f t="shared" si="5"/>
        <v>0.9313839999999999</v>
      </c>
      <c r="AA16" s="32">
        <f t="shared" si="6"/>
        <v>0</v>
      </c>
      <c r="AB16" s="33">
        <f t="shared" si="7"/>
        <v>0.37868936805425724</v>
      </c>
      <c r="AC16" s="33">
        <v>0.5</v>
      </c>
      <c r="AD16" s="33">
        <f t="shared" si="8"/>
        <v>0.563612294139556</v>
      </c>
      <c r="AE16" s="33">
        <f t="shared" si="9"/>
        <v>0.6554955740096544</v>
      </c>
      <c r="AF16" s="33">
        <f t="shared" si="10"/>
        <v>-999</v>
      </c>
      <c r="AG16" s="33">
        <f t="shared" si="11"/>
        <v>0.5287560560178896</v>
      </c>
      <c r="AH16" s="33">
        <f t="shared" si="12"/>
        <v>-999</v>
      </c>
      <c r="AI16" s="34">
        <f t="shared" si="13"/>
        <v>0.44812531070102707</v>
      </c>
      <c r="AJ16" s="4">
        <v>12.386010120876215</v>
      </c>
      <c r="AK16" s="32">
        <f t="shared" si="14"/>
        <v>-999</v>
      </c>
      <c r="AL16" s="34">
        <f t="shared" si="15"/>
        <v>-999</v>
      </c>
      <c r="AY16" s="103" t="s">
        <v>272</v>
      </c>
      <c r="AZ16" s="103" t="s">
        <v>568</v>
      </c>
      <c r="BA16" s="103" t="s">
        <v>97</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86</v>
      </c>
      <c r="E17" s="38">
        <f>IF(LEFT(VLOOKUP($B17,'Indicator chart'!$D$1:$J$36,5,FALSE),1)=" "," ",VLOOKUP($B17,'Indicator chart'!$D$1:$J$36,5,FALSE))</f>
        <v>1399.5117982099268</v>
      </c>
      <c r="F17" s="38">
        <f>IF(LEFT(VLOOKUP($B17,'Indicator chart'!$D$1:$J$36,6,FALSE),1)=" "," ",VLOOKUP($B17,'Indicator chart'!$D$1:$J$36,6,FALSE))</f>
        <v>1119.3905468586545</v>
      </c>
      <c r="G17" s="38">
        <f>IF(LEFT(VLOOKUP($B17,'Indicator chart'!$D$1:$J$36,7,FALSE),1)=" "," ",VLOOKUP($B17,'Indicator chart'!$D$1:$J$36,7,FALSE))</f>
        <v>1728.411466287142</v>
      </c>
      <c r="H17" s="50">
        <f t="shared" si="0"/>
        <v>2</v>
      </c>
      <c r="I17" s="300" t="s">
        <v>468</v>
      </c>
      <c r="J17" s="300" t="s">
        <v>481</v>
      </c>
      <c r="K17" s="300" t="s">
        <v>502</v>
      </c>
      <c r="L17" s="300" t="s">
        <v>524</v>
      </c>
      <c r="M17" s="300" t="s">
        <v>546</v>
      </c>
      <c r="N17" s="80">
        <f>VLOOKUP('Hide - Control'!B$3,'All practice data'!A:CA,A17+29,FALSE)</f>
        <v>1417.2767203513908</v>
      </c>
      <c r="O17" s="80">
        <f>VLOOKUP('Hide - Control'!C$3,'All practice data'!A:CA,A17+29,FALSE)</f>
        <v>1981.9429445600304</v>
      </c>
      <c r="P17" s="38">
        <f>VLOOKUP('Hide - Control'!$B$4,'All practice data'!B:BC,A17+2,FALSE)</f>
        <v>3388</v>
      </c>
      <c r="Q17" s="38">
        <f>VLOOKUP('Hide - Control'!$B$4,'All practice data'!B:BC,3,FALSE)</f>
        <v>239050</v>
      </c>
      <c r="R17" s="38">
        <f>100000*(P17*(1-1/(9*P17)-1.96/(3*SQRT(P17)))^3)/Q17</f>
        <v>1369.9498281282654</v>
      </c>
      <c r="S17" s="38">
        <f>100000*((P17+1)*(1-1/(9*(P17+1))+1.96/(3*SQRT(P17+1)))^3)/Q17</f>
        <v>1465.8214220852233</v>
      </c>
      <c r="T17" s="53" t="str">
        <f t="shared" si="19"/>
        <v>2949.59552</v>
      </c>
      <c r="U17" s="51" t="str">
        <f t="shared" si="20"/>
        <v>235.988</v>
      </c>
      <c r="V17" s="7"/>
      <c r="W17" s="27">
        <f t="shared" si="2"/>
        <v>-557.4378879999999</v>
      </c>
      <c r="X17" s="27" t="str">
        <f t="shared" si="3"/>
        <v>2949.59552</v>
      </c>
      <c r="Y17" s="27">
        <f t="shared" si="4"/>
        <v>-557.4378879999999</v>
      </c>
      <c r="Z17" s="27" t="str">
        <f t="shared" si="5"/>
        <v>2949.59552</v>
      </c>
      <c r="AA17" s="32">
        <f t="shared" si="6"/>
        <v>0.2262384744297252</v>
      </c>
      <c r="AB17" s="33">
        <f t="shared" si="7"/>
        <v>0.3590388423525391</v>
      </c>
      <c r="AC17" s="33">
        <v>0.5</v>
      </c>
      <c r="AD17" s="33">
        <f t="shared" si="8"/>
        <v>0.6768678181351387</v>
      </c>
      <c r="AE17" s="33">
        <f t="shared" si="9"/>
        <v>1</v>
      </c>
      <c r="AF17" s="33">
        <f t="shared" si="10"/>
        <v>-999</v>
      </c>
      <c r="AG17" s="33">
        <f t="shared" si="11"/>
        <v>0.5580071412339186</v>
      </c>
      <c r="AH17" s="33">
        <f t="shared" si="12"/>
        <v>-999</v>
      </c>
      <c r="AI17" s="34">
        <f t="shared" si="13"/>
        <v>0.7240823046530929</v>
      </c>
      <c r="AJ17" s="4">
        <v>13.462005546258133</v>
      </c>
      <c r="AK17" s="32">
        <f t="shared" si="14"/>
        <v>-999</v>
      </c>
      <c r="AL17" s="34">
        <f t="shared" si="15"/>
        <v>-999</v>
      </c>
      <c r="AY17" s="103" t="s">
        <v>271</v>
      </c>
      <c r="AZ17" s="103" t="s">
        <v>569</v>
      </c>
      <c r="BA17" s="103" t="s">
        <v>97</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86</v>
      </c>
      <c r="E18" s="80">
        <f>IF(LEFT(VLOOKUP($B18,'Indicator chart'!$D$1:$J$36,5,FALSE),1)=" "," ",VLOOKUP($B18,'Indicator chart'!$D$1:$J$36,5,FALSE))</f>
        <v>0.6817</v>
      </c>
      <c r="F18" s="81">
        <f>IF(LEFT(VLOOKUP($B18,'Indicator chart'!$D$1:$J$36,6,FALSE),1)=" "," ",VLOOKUP($B18,'Indicator chart'!$D$1:$J$36,6,FALSE))</f>
        <v>0.5452</v>
      </c>
      <c r="G18" s="38">
        <f>IF(LEFT(VLOOKUP($B18,'Indicator chart'!$D$1:$J$36,7,FALSE),1)=" "," ",VLOOKUP($B18,'Indicator chart'!$D$1:$J$36,7,FALSE))</f>
        <v>0.8419</v>
      </c>
      <c r="H18" s="50">
        <f>IF(LEFT(F18,1)=" ",4,IF(AND(ABS(N18-E18)&gt;SQRT((E18-G18)^2+(N18-R18)^2),E18&lt;N18),1,IF(AND(ABS(N18-E18)&gt;SQRT((E18-F18)^2+(N18-S18)^2),E18&gt;N18),3,2)))</f>
        <v>1</v>
      </c>
      <c r="I18" s="300" t="s">
        <v>469</v>
      </c>
      <c r="J18" s="300"/>
      <c r="K18" s="300" t="s">
        <v>219</v>
      </c>
      <c r="L18" s="300"/>
      <c r="M18" s="300" t="s">
        <v>547</v>
      </c>
      <c r="N18" s="80">
        <v>1</v>
      </c>
      <c r="O18" s="80">
        <f>VLOOKUP('Hide - Control'!C$3,'All practice data'!A:CA,A18+29,FALSE)</f>
        <v>1</v>
      </c>
      <c r="P18" s="38">
        <f>VLOOKUP('Hide - Control'!$B$4,'All practice data'!B:BC,A18+2,FALSE)</f>
        <v>3388</v>
      </c>
      <c r="Q18" s="38">
        <f>VLOOKUP('Hide - Control'!$B$4,'All practice data'!B:BC,14,FALSE)</f>
        <v>3388</v>
      </c>
      <c r="R18" s="81">
        <v>1</v>
      </c>
      <c r="S18" s="38">
        <v>1</v>
      </c>
      <c r="T18" s="53" t="str">
        <f t="shared" si="19"/>
        <v>1.3793</v>
      </c>
      <c r="U18" s="51" t="str">
        <f t="shared" si="20"/>
        <v>0.1466</v>
      </c>
      <c r="V18" s="7"/>
      <c r="W18" s="27" t="str">
        <f>IF((K18-I18)&gt;(M18-K18),I18,(K18-(M18-K18)))</f>
        <v>0.1466</v>
      </c>
      <c r="X18" s="27">
        <f t="shared" si="3"/>
        <v>1.8534</v>
      </c>
      <c r="Y18" s="27" t="str">
        <f t="shared" si="4"/>
        <v>0.1466</v>
      </c>
      <c r="Z18" s="27">
        <f t="shared" si="5"/>
        <v>1.8534</v>
      </c>
      <c r="AA18" s="32" t="s">
        <v>97</v>
      </c>
      <c r="AB18" s="33" t="s">
        <v>97</v>
      </c>
      <c r="AC18" s="33">
        <v>0.5</v>
      </c>
      <c r="AD18" s="33" t="s">
        <v>97</v>
      </c>
      <c r="AE18" s="33" t="s">
        <v>97</v>
      </c>
      <c r="AF18" s="33">
        <f t="shared" si="10"/>
        <v>-999</v>
      </c>
      <c r="AG18" s="33">
        <f t="shared" si="11"/>
        <v>-999</v>
      </c>
      <c r="AH18" s="33">
        <f t="shared" si="12"/>
        <v>0.31351066322943516</v>
      </c>
      <c r="AI18" s="34">
        <v>0.5</v>
      </c>
      <c r="AJ18" s="4">
        <v>14.538000971640056</v>
      </c>
      <c r="AK18" s="32">
        <f t="shared" si="14"/>
        <v>0.31351066322943516</v>
      </c>
      <c r="AL18" s="34">
        <f t="shared" si="15"/>
        <v>-999</v>
      </c>
      <c r="AY18" s="103" t="s">
        <v>277</v>
      </c>
      <c r="AZ18" s="103" t="s">
        <v>570</v>
      </c>
      <c r="BA18" s="103" t="s">
        <v>97</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0.06976744186046512</v>
      </c>
      <c r="F19" s="38">
        <f>IF(LEFT(VLOOKUP($B19,'Indicator chart'!$D$1:$J$36,6,FALSE),1)=" "," ",VLOOKUP($B19,'Indicator chart'!$D$1:$J$36,6,FALSE))</f>
        <v>0.03236497351786072</v>
      </c>
      <c r="G19" s="38">
        <f>IF(LEFT(VLOOKUP($B19,'Indicator chart'!$D$1:$J$36,7,FALSE),1)=" "," ",VLOOKUP($B19,'Indicator chart'!$D$1:$J$36,7,FALSE))</f>
        <v>0.14396314174277577</v>
      </c>
      <c r="H19" s="50">
        <f t="shared" si="0"/>
        <v>2</v>
      </c>
      <c r="I19" s="300" t="s">
        <v>448</v>
      </c>
      <c r="J19" s="300" t="s">
        <v>482</v>
      </c>
      <c r="K19" s="300" t="s">
        <v>503</v>
      </c>
      <c r="L19" s="300" t="s">
        <v>525</v>
      </c>
      <c r="M19" s="300" t="s">
        <v>219</v>
      </c>
      <c r="N19" s="80">
        <f>VLOOKUP('Hide - Control'!B$3,'All practice data'!A:CA,A19+29,FALSE)</f>
        <v>0.13252656434474616</v>
      </c>
      <c r="O19" s="80">
        <f>VLOOKUP('Hide - Control'!C$3,'All practice data'!A:CA,A19+29,FALSE)</f>
        <v>0.10567469035419712</v>
      </c>
      <c r="P19" s="38">
        <f>VLOOKUP('Hide - Control'!$B$4,'All practice data'!B:BC,A19+2,FALSE)</f>
        <v>449</v>
      </c>
      <c r="Q19" s="38">
        <f>VLOOKUP('Hide - Control'!$B$4,'All practice data'!B:BC,15,FALSE)</f>
        <v>3388</v>
      </c>
      <c r="R19" s="38">
        <f>+((2*P19+1.96^2-1.96*SQRT(1.96^2+4*P19*(1-P19/Q19)))/(2*(Q19+1.96^2)))</f>
        <v>0.12152433082687615</v>
      </c>
      <c r="S19" s="38">
        <f>+((2*P19+1.96^2+1.96*SQRT(1.96^2+4*P19*(1-P19/Q19)))/(2*(Q19+1.96^2)))</f>
        <v>0.14436119873323064</v>
      </c>
      <c r="T19" s="53" t="str">
        <f t="shared" si="19"/>
        <v>1</v>
      </c>
      <c r="U19" s="51" t="str">
        <f t="shared" si="20"/>
        <v>0.0302492</v>
      </c>
      <c r="V19" s="7"/>
      <c r="W19" s="27">
        <f t="shared" si="2"/>
        <v>-0.707820938</v>
      </c>
      <c r="X19" s="27" t="str">
        <f t="shared" si="3"/>
        <v>1</v>
      </c>
      <c r="Y19" s="27">
        <f t="shared" si="4"/>
        <v>-0.707820938</v>
      </c>
      <c r="Z19" s="27" t="str">
        <f t="shared" si="5"/>
        <v>1</v>
      </c>
      <c r="AA19" s="32">
        <f t="shared" si="6"/>
        <v>0.432170681116219</v>
      </c>
      <c r="AB19" s="33">
        <f t="shared" si="7"/>
        <v>0.473332566086621</v>
      </c>
      <c r="AC19" s="33">
        <v>0.5</v>
      </c>
      <c r="AD19" s="33">
        <f t="shared" si="8"/>
        <v>0.5273843767571844</v>
      </c>
      <c r="AE19" s="33">
        <f t="shared" si="9"/>
        <v>1</v>
      </c>
      <c r="AF19" s="33">
        <f t="shared" si="10"/>
        <v>-999</v>
      </c>
      <c r="AG19" s="33">
        <f t="shared" si="11"/>
        <v>0.4553102509511832</v>
      </c>
      <c r="AH19" s="33">
        <f t="shared" si="12"/>
        <v>-999</v>
      </c>
      <c r="AI19" s="34">
        <f t="shared" si="13"/>
        <v>0.4763354343850989</v>
      </c>
      <c r="AJ19" s="4">
        <v>15.61399639702198</v>
      </c>
      <c r="AK19" s="32">
        <f t="shared" si="14"/>
        <v>-999</v>
      </c>
      <c r="AL19" s="34">
        <f t="shared" si="15"/>
        <v>-999</v>
      </c>
      <c r="AY19" s="103" t="s">
        <v>278</v>
      </c>
      <c r="AZ19" s="103" t="s">
        <v>571</v>
      </c>
      <c r="BA19" s="103" t="s">
        <v>97</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0.2608695652173913</v>
      </c>
      <c r="F20" s="38">
        <f>IF(LEFT(VLOOKUP($B20,'Indicator chart'!$D$1:$J$36,6,FALSE),1)=" "," ",VLOOKUP($B20,'Indicator chart'!$D$1:$J$36,6,FALSE))</f>
        <v>0.12548445889248963</v>
      </c>
      <c r="G20" s="38">
        <f>IF(LEFT(VLOOKUP($B20,'Indicator chart'!$D$1:$J$36,7,FALSE),1)=" "," ",VLOOKUP($B20,'Indicator chart'!$D$1:$J$36,7,FALSE))</f>
        <v>0.4647039054375056</v>
      </c>
      <c r="H20" s="50">
        <f t="shared" si="0"/>
        <v>1</v>
      </c>
      <c r="I20" s="300" t="s">
        <v>449</v>
      </c>
      <c r="J20" s="300" t="s">
        <v>483</v>
      </c>
      <c r="K20" s="300" t="s">
        <v>504</v>
      </c>
      <c r="L20" s="300" t="s">
        <v>457</v>
      </c>
      <c r="M20" s="300" t="s">
        <v>459</v>
      </c>
      <c r="N20" s="80">
        <f>VLOOKUP('Hide - Control'!B$3,'All practice data'!A:CA,A20+29,FALSE)</f>
        <v>0.49178532311062434</v>
      </c>
      <c r="O20" s="80">
        <f>VLOOKUP('Hide - Control'!C$3,'All practice data'!A:CA,A20+29,FALSE)</f>
        <v>0.46478295325177904</v>
      </c>
      <c r="P20" s="38">
        <f>VLOOKUP('Hide - Control'!$B$4,'All practice data'!B:BC,A20+1,FALSE)</f>
        <v>449</v>
      </c>
      <c r="Q20" s="38">
        <f>VLOOKUP('Hide - Control'!$B$4,'All practice data'!B:BC,A20+2,FALSE)</f>
        <v>913</v>
      </c>
      <c r="R20" s="38">
        <f>+((2*P20+1.96^2-1.96*SQRT(1.96^2+4*P20*(1-P20/Q20)))/(2*(Q20+1.96^2)))</f>
        <v>0.4594588463625972</v>
      </c>
      <c r="S20" s="38">
        <f>+((2*P20+1.96^2+1.96*SQRT(1.96^2+4*P20*(1-P20/Q20)))/(2*(Q20+1.96^2)))</f>
        <v>0.5241806394548002</v>
      </c>
      <c r="T20" s="53" t="str">
        <f t="shared" si="19"/>
        <v>0.875</v>
      </c>
      <c r="U20" s="51" t="str">
        <f t="shared" si="20"/>
        <v>0.148231</v>
      </c>
      <c r="V20" s="7"/>
      <c r="W20" s="27">
        <f t="shared" si="2"/>
        <v>0.06547619000000005</v>
      </c>
      <c r="X20" s="27" t="str">
        <f t="shared" si="3"/>
        <v>0.875</v>
      </c>
      <c r="Y20" s="27">
        <f t="shared" si="4"/>
        <v>0.06547619000000005</v>
      </c>
      <c r="Z20" s="27" t="str">
        <f t="shared" si="5"/>
        <v>0.875</v>
      </c>
      <c r="AA20" s="32">
        <f t="shared" si="6"/>
        <v>0.1022265299398667</v>
      </c>
      <c r="AB20" s="33">
        <f t="shared" si="7"/>
        <v>0.26617647107871967</v>
      </c>
      <c r="AC20" s="33">
        <v>0.5</v>
      </c>
      <c r="AD20" s="33">
        <f t="shared" si="8"/>
        <v>0.6249999996911765</v>
      </c>
      <c r="AE20" s="33">
        <f t="shared" si="9"/>
        <v>1</v>
      </c>
      <c r="AF20" s="33">
        <f t="shared" si="10"/>
        <v>-999</v>
      </c>
      <c r="AG20" s="33">
        <f t="shared" si="11"/>
        <v>-999</v>
      </c>
      <c r="AH20" s="33">
        <f t="shared" si="12"/>
        <v>0.2413682868912667</v>
      </c>
      <c r="AI20" s="34">
        <f t="shared" si="13"/>
        <v>0.4932612954914557</v>
      </c>
      <c r="AJ20" s="4">
        <v>16.689991822403904</v>
      </c>
      <c r="AK20" s="32">
        <f t="shared" si="14"/>
        <v>0.2413682868912667</v>
      </c>
      <c r="AL20" s="34">
        <f t="shared" si="15"/>
        <v>-999</v>
      </c>
      <c r="AY20" s="103" t="s">
        <v>280</v>
      </c>
      <c r="AZ20" s="103" t="s">
        <v>572</v>
      </c>
      <c r="BA20" s="103" t="s">
        <v>97</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10</v>
      </c>
      <c r="E21" s="38">
        <f>IF(LEFT(VLOOKUP($B21,'Indicator chart'!$D$1:$J$36,5,FALSE),1)=" "," ",VLOOKUP($B21,'Indicator chart'!$D$1:$J$36,5,FALSE))</f>
        <v>162.73393002441009</v>
      </c>
      <c r="F21" s="38">
        <f>IF(LEFT(VLOOKUP($B21,'Indicator chart'!$D$1:$J$36,6,FALSE),1)=" "," ",VLOOKUP($B21,'Indicator chart'!$D$1:$J$36,6,FALSE))</f>
        <v>77.90691969948904</v>
      </c>
      <c r="G21" s="38">
        <f>IF(LEFT(VLOOKUP($B21,'Indicator chart'!$D$1:$J$36,7,FALSE),1)=" "," ",VLOOKUP($B21,'Indicator chart'!$D$1:$J$36,7,FALSE))</f>
        <v>299.29417207567974</v>
      </c>
      <c r="H21" s="50">
        <f t="shared" si="0"/>
        <v>2</v>
      </c>
      <c r="I21" s="300" t="s">
        <v>470</v>
      </c>
      <c r="J21" s="300" t="s">
        <v>484</v>
      </c>
      <c r="K21" s="300" t="s">
        <v>505</v>
      </c>
      <c r="L21" s="300" t="s">
        <v>526</v>
      </c>
      <c r="M21" s="300" t="s">
        <v>548</v>
      </c>
      <c r="N21" s="80">
        <f>VLOOKUP('Hide - Control'!B$3,'All practice data'!A:CA,A21+29,FALSE)</f>
        <v>239.698807780799</v>
      </c>
      <c r="O21" s="80">
        <f>VLOOKUP('Hide - Control'!C$3,'All practice data'!A:CA,A21+29,FALSE)</f>
        <v>371.7205735004512</v>
      </c>
      <c r="P21" s="38">
        <f>VLOOKUP('Hide - Control'!$B$4,'All practice data'!B:BC,A21+2,FALSE)</f>
        <v>573</v>
      </c>
      <c r="Q21" s="38">
        <f>VLOOKUP('Hide - Control'!$B$4,'All practice data'!B:BC,3,FALSE)</f>
        <v>239050</v>
      </c>
      <c r="R21" s="38">
        <f aca="true" t="shared" si="21" ref="R21:R27">100000*(P21*(1-1/(9*P21)-1.96/(3*SQRT(P21)))^3)/Q21</f>
        <v>220.47112321386194</v>
      </c>
      <c r="S21" s="38">
        <f aca="true" t="shared" si="22" ref="S21:S27">100000*((P21+1)*(1-1/(9*(P21+1))+1.96/(3*SQRT(P21+1)))^3)/Q21</f>
        <v>260.1542526098597</v>
      </c>
      <c r="T21" s="53" t="str">
        <f t="shared" si="19"/>
        <v>714.192962</v>
      </c>
      <c r="U21" s="51" t="str">
        <f t="shared" si="20"/>
        <v>72.9471</v>
      </c>
      <c r="V21" s="7"/>
      <c r="W21" s="27">
        <f t="shared" si="2"/>
        <v>-340.70254420000003</v>
      </c>
      <c r="X21" s="27" t="str">
        <f t="shared" si="3"/>
        <v>714.192962</v>
      </c>
      <c r="Y21" s="27">
        <f t="shared" si="4"/>
        <v>-340.70254420000003</v>
      </c>
      <c r="Z21" s="27" t="str">
        <f t="shared" si="5"/>
        <v>714.192962</v>
      </c>
      <c r="AA21" s="32">
        <f t="shared" si="6"/>
        <v>0.3921238092008473</v>
      </c>
      <c r="AB21" s="33">
        <f t="shared" si="7"/>
        <v>0.3975129060133634</v>
      </c>
      <c r="AC21" s="33">
        <v>0.5</v>
      </c>
      <c r="AD21" s="33">
        <f t="shared" si="8"/>
        <v>0.6292619606383532</v>
      </c>
      <c r="AE21" s="33">
        <f t="shared" si="9"/>
        <v>1</v>
      </c>
      <c r="AF21" s="33">
        <f t="shared" si="10"/>
        <v>-999</v>
      </c>
      <c r="AG21" s="33">
        <f t="shared" si="11"/>
        <v>0.47723823948963007</v>
      </c>
      <c r="AH21" s="33">
        <f t="shared" si="12"/>
        <v>-999</v>
      </c>
      <c r="AI21" s="34">
        <f t="shared" si="13"/>
        <v>0.6753494668555176</v>
      </c>
      <c r="AJ21" s="4">
        <v>17.765987247785823</v>
      </c>
      <c r="AK21" s="32">
        <f t="shared" si="14"/>
        <v>-999</v>
      </c>
      <c r="AL21" s="34">
        <f t="shared" si="15"/>
        <v>-999</v>
      </c>
      <c r="AY21" s="103" t="s">
        <v>273</v>
      </c>
      <c r="AZ21" s="103" t="s">
        <v>573</v>
      </c>
      <c r="BA21" s="103" t="s">
        <v>97</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20</v>
      </c>
      <c r="E22" s="38">
        <f>IF(LEFT(VLOOKUP($B22,'Indicator chart'!$D$1:$J$36,5,FALSE),1)=" "," ",VLOOKUP($B22,'Indicator chart'!$D$1:$J$36,5,FALSE))</f>
        <v>325.46786004882017</v>
      </c>
      <c r="F22" s="38">
        <f>IF(LEFT(VLOOKUP($B22,'Indicator chart'!$D$1:$J$36,6,FALSE),1)=" "," ",VLOOKUP($B22,'Indicator chart'!$D$1:$J$36,6,FALSE))</f>
        <v>198.71949413141655</v>
      </c>
      <c r="G22" s="38">
        <f>IF(LEFT(VLOOKUP($B22,'Indicator chart'!$D$1:$J$36,7,FALSE),1)=" "," ",VLOOKUP($B22,'Indicator chart'!$D$1:$J$36,7,FALSE))</f>
        <v>502.6866368799494</v>
      </c>
      <c r="H22" s="50">
        <f t="shared" si="0"/>
        <v>2</v>
      </c>
      <c r="I22" s="300" t="s">
        <v>440</v>
      </c>
      <c r="J22" s="300" t="s">
        <v>485</v>
      </c>
      <c r="K22" s="300" t="s">
        <v>506</v>
      </c>
      <c r="L22" s="300" t="s">
        <v>527</v>
      </c>
      <c r="M22" s="300" t="s">
        <v>549</v>
      </c>
      <c r="N22" s="80">
        <f>VLOOKUP('Hide - Control'!B$3,'All practice data'!A:CA,A22+29,FALSE)</f>
        <v>235.93390504078644</v>
      </c>
      <c r="O22" s="80">
        <f>VLOOKUP('Hide - Control'!C$3,'All practice data'!A:CA,A22+29,FALSE)</f>
        <v>335.00369307827617</v>
      </c>
      <c r="P22" s="38">
        <f>VLOOKUP('Hide - Control'!$B$4,'All practice data'!B:BC,A22+2,FALSE)</f>
        <v>564</v>
      </c>
      <c r="Q22" s="38">
        <f>VLOOKUP('Hide - Control'!$B$4,'All practice data'!B:BC,3,FALSE)</f>
        <v>239050</v>
      </c>
      <c r="R22" s="38">
        <f t="shared" si="21"/>
        <v>216.8609864817637</v>
      </c>
      <c r="S22" s="38">
        <f t="shared" si="22"/>
        <v>256.2347173959527</v>
      </c>
      <c r="T22" s="53" t="str">
        <f t="shared" si="19"/>
        <v>597.3864343</v>
      </c>
      <c r="U22" s="51" t="str">
        <f t="shared" si="20"/>
        <v>46.7199</v>
      </c>
      <c r="V22" s="7"/>
      <c r="W22" s="27">
        <f t="shared" si="2"/>
        <v>-241.6912573</v>
      </c>
      <c r="X22" s="27" t="str">
        <f t="shared" si="3"/>
        <v>597.3864343</v>
      </c>
      <c r="Y22" s="27">
        <f t="shared" si="4"/>
        <v>-241.6912573</v>
      </c>
      <c r="Z22" s="27" t="str">
        <f t="shared" si="5"/>
        <v>597.3864343</v>
      </c>
      <c r="AA22" s="32">
        <f t="shared" si="6"/>
        <v>0.34372402006069497</v>
      </c>
      <c r="AB22" s="33">
        <f t="shared" si="7"/>
        <v>0.39211461915119755</v>
      </c>
      <c r="AC22" s="33">
        <v>0.5</v>
      </c>
      <c r="AD22" s="33">
        <f t="shared" si="8"/>
        <v>0.6865991995347193</v>
      </c>
      <c r="AE22" s="33">
        <f t="shared" si="9"/>
        <v>1</v>
      </c>
      <c r="AF22" s="33">
        <f t="shared" si="10"/>
        <v>-999</v>
      </c>
      <c r="AG22" s="33">
        <f t="shared" si="11"/>
        <v>0.675931588965653</v>
      </c>
      <c r="AH22" s="33">
        <f t="shared" si="12"/>
        <v>-999</v>
      </c>
      <c r="AI22" s="34">
        <f t="shared" si="13"/>
        <v>0.6872962493837754</v>
      </c>
      <c r="AJ22" s="4">
        <v>18.841982673167745</v>
      </c>
      <c r="AK22" s="32">
        <f t="shared" si="14"/>
        <v>-999</v>
      </c>
      <c r="AL22" s="34">
        <f t="shared" si="15"/>
        <v>-999</v>
      </c>
      <c r="AY22" s="103" t="s">
        <v>282</v>
      </c>
      <c r="AZ22" s="103" t="s">
        <v>574</v>
      </c>
      <c r="BA22" s="103" t="s">
        <v>97</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441</v>
      </c>
      <c r="J23" s="300" t="s">
        <v>486</v>
      </c>
      <c r="K23" s="300" t="s">
        <v>507</v>
      </c>
      <c r="L23" s="300" t="s">
        <v>528</v>
      </c>
      <c r="M23" s="300" t="s">
        <v>550</v>
      </c>
      <c r="N23" s="80">
        <f>VLOOKUP('Hide - Control'!B$3,'All practice data'!A:CA,A23+29,FALSE)</f>
        <v>76.55302238025517</v>
      </c>
      <c r="O23" s="80">
        <f>VLOOKUP('Hide - Control'!C$3,'All practice data'!A:CA,A23+29,FALSE)</f>
        <v>77.58854188249504</v>
      </c>
      <c r="P23" s="38">
        <f>VLOOKUP('Hide - Control'!$B$4,'All practice data'!B:BC,A23+2,FALSE)</f>
        <v>183</v>
      </c>
      <c r="Q23" s="38">
        <f>VLOOKUP('Hide - Control'!$B$4,'All practice data'!B:BC,3,FALSE)</f>
        <v>239050</v>
      </c>
      <c r="R23" s="38">
        <f t="shared" si="21"/>
        <v>65.86229196205814</v>
      </c>
      <c r="S23" s="38">
        <f t="shared" si="22"/>
        <v>88.48434232201306</v>
      </c>
      <c r="T23" s="53" t="str">
        <f t="shared" si="19"/>
        <v>193.5171746</v>
      </c>
      <c r="U23" s="51" t="str">
        <f t="shared" si="20"/>
        <v>4.27442</v>
      </c>
      <c r="V23" s="7"/>
      <c r="W23" s="27">
        <f t="shared" si="2"/>
        <v>-58.12753090000001</v>
      </c>
      <c r="X23" s="27" t="str">
        <f t="shared" si="3"/>
        <v>193.5171746</v>
      </c>
      <c r="Y23" s="27">
        <f t="shared" si="4"/>
        <v>-58.12753090000001</v>
      </c>
      <c r="Z23" s="27" t="str">
        <f t="shared" si="5"/>
        <v>193.5171746</v>
      </c>
      <c r="AA23" s="32">
        <f t="shared" si="6"/>
        <v>0.2479764109322777</v>
      </c>
      <c r="AB23" s="33">
        <f t="shared" si="7"/>
        <v>0.4051463089097259</v>
      </c>
      <c r="AC23" s="33">
        <v>0.5</v>
      </c>
      <c r="AD23" s="33">
        <f t="shared" si="8"/>
        <v>0.652855323832752</v>
      </c>
      <c r="AE23" s="33">
        <f t="shared" si="9"/>
        <v>1</v>
      </c>
      <c r="AF23" s="33">
        <f t="shared" si="10"/>
        <v>-999</v>
      </c>
      <c r="AG23" s="33">
        <f t="shared" si="11"/>
        <v>-999</v>
      </c>
      <c r="AH23" s="33">
        <f t="shared" si="12"/>
        <v>-999</v>
      </c>
      <c r="AI23" s="34">
        <f t="shared" si="13"/>
        <v>0.5393162256795228</v>
      </c>
      <c r="AJ23" s="4">
        <v>19.917978098549675</v>
      </c>
      <c r="AK23" s="32">
        <f t="shared" si="14"/>
        <v>-999</v>
      </c>
      <c r="AL23" s="34">
        <f t="shared" si="15"/>
        <v>-999</v>
      </c>
      <c r="AY23" s="103" t="s">
        <v>270</v>
      </c>
      <c r="AZ23" s="103" t="s">
        <v>575</v>
      </c>
      <c r="BA23" s="103" t="s">
        <v>97</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15</v>
      </c>
      <c r="E24" s="38">
        <f>IF(LEFT(VLOOKUP($B24,'Indicator chart'!$D$1:$J$36,5,FALSE),1)=" "," ",VLOOKUP($B24,'Indicator chart'!$D$1:$J$36,5,FALSE))</f>
        <v>244.10089503661513</v>
      </c>
      <c r="F24" s="38">
        <f>IF(LEFT(VLOOKUP($B24,'Indicator chart'!$D$1:$J$36,6,FALSE),1)=" "," ",VLOOKUP($B24,'Indicator chart'!$D$1:$J$36,6,FALSE))</f>
        <v>136.52024941776128</v>
      </c>
      <c r="G24" s="38">
        <f>IF(LEFT(VLOOKUP($B24,'Indicator chart'!$D$1:$J$36,7,FALSE),1)=" "," ",VLOOKUP($B24,'Indicator chart'!$D$1:$J$36,7,FALSE))</f>
        <v>402.6334253427403</v>
      </c>
      <c r="H24" s="50">
        <f t="shared" si="0"/>
        <v>2</v>
      </c>
      <c r="I24" s="300" t="s">
        <v>442</v>
      </c>
      <c r="J24" s="300" t="s">
        <v>487</v>
      </c>
      <c r="K24" s="300" t="s">
        <v>508</v>
      </c>
      <c r="L24" s="300" t="s">
        <v>529</v>
      </c>
      <c r="M24" s="300" t="s">
        <v>551</v>
      </c>
      <c r="N24" s="80">
        <f>VLOOKUP('Hide - Control'!B$3,'All practice data'!A:CA,A24+29,FALSE)</f>
        <v>274.00125496758</v>
      </c>
      <c r="O24" s="80">
        <f>VLOOKUP('Hide - Control'!C$3,'All practice data'!A:CA,A24+29,FALSE)</f>
        <v>348.7732030109763</v>
      </c>
      <c r="P24" s="38">
        <f>VLOOKUP('Hide - Control'!$B$4,'All practice data'!B:BC,A24+2,FALSE)</f>
        <v>655</v>
      </c>
      <c r="Q24" s="38">
        <f>VLOOKUP('Hide - Control'!$B$4,'All practice data'!B:BC,3,FALSE)</f>
        <v>239050</v>
      </c>
      <c r="R24" s="38">
        <f t="shared" si="21"/>
        <v>253.415997976392</v>
      </c>
      <c r="S24" s="38">
        <f t="shared" si="22"/>
        <v>295.81318450040334</v>
      </c>
      <c r="T24" s="53" t="str">
        <f t="shared" si="19"/>
        <v>628.9308176</v>
      </c>
      <c r="U24" s="51" t="str">
        <f t="shared" si="20"/>
        <v>51.2058</v>
      </c>
      <c r="V24" s="7"/>
      <c r="W24" s="27">
        <f t="shared" si="2"/>
        <v>-223.51195239999993</v>
      </c>
      <c r="X24" s="27" t="str">
        <f t="shared" si="3"/>
        <v>628.9308176</v>
      </c>
      <c r="Y24" s="27">
        <f t="shared" si="4"/>
        <v>-223.51195239999993</v>
      </c>
      <c r="Z24" s="27" t="str">
        <f t="shared" si="5"/>
        <v>628.9308176</v>
      </c>
      <c r="AA24" s="32">
        <f t="shared" si="6"/>
        <v>0.32227119763124973</v>
      </c>
      <c r="AB24" s="33">
        <f t="shared" si="7"/>
        <v>0.36771394804603713</v>
      </c>
      <c r="AC24" s="33">
        <v>0.5</v>
      </c>
      <c r="AD24" s="33">
        <f t="shared" si="8"/>
        <v>0.7250870950550733</v>
      </c>
      <c r="AE24" s="33">
        <f t="shared" si="9"/>
        <v>1</v>
      </c>
      <c r="AF24" s="33">
        <f t="shared" si="10"/>
        <v>-999</v>
      </c>
      <c r="AG24" s="33">
        <f t="shared" si="11"/>
        <v>0.5485562947957376</v>
      </c>
      <c r="AH24" s="33">
        <f t="shared" si="12"/>
        <v>-999</v>
      </c>
      <c r="AI24" s="34">
        <f t="shared" si="13"/>
        <v>0.6713473039497728</v>
      </c>
      <c r="AJ24" s="4">
        <v>20.99397352393159</v>
      </c>
      <c r="AK24" s="32">
        <f t="shared" si="14"/>
        <v>-999</v>
      </c>
      <c r="AL24" s="34">
        <f t="shared" si="15"/>
        <v>-999</v>
      </c>
      <c r="AY24" s="103" t="s">
        <v>258</v>
      </c>
      <c r="AZ24" s="103" t="s">
        <v>576</v>
      </c>
      <c r="BA24" s="103" t="s">
        <v>97</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28</v>
      </c>
      <c r="E25" s="38">
        <f>IF(LEFT(VLOOKUP($B25,'Indicator chart'!$D$1:$J$36,5,FALSE),1)=" "," ",VLOOKUP($B25,'Indicator chart'!$D$1:$J$36,5,FALSE))</f>
        <v>455.65500406834826</v>
      </c>
      <c r="F25" s="38">
        <f>IF(LEFT(VLOOKUP($B25,'Indicator chart'!$D$1:$J$36,6,FALSE),1)=" "," ",VLOOKUP($B25,'Indicator chart'!$D$1:$J$36,6,FALSE))</f>
        <v>302.71019572924286</v>
      </c>
      <c r="G25" s="38">
        <f>IF(LEFT(VLOOKUP($B25,'Indicator chart'!$D$1:$J$36,7,FALSE),1)=" "," ",VLOOKUP($B25,'Indicator chart'!$D$1:$J$36,7,FALSE))</f>
        <v>658.5769203420032</v>
      </c>
      <c r="H25" s="50">
        <f t="shared" si="0"/>
        <v>2</v>
      </c>
      <c r="I25" s="300" t="s">
        <v>471</v>
      </c>
      <c r="J25" s="300" t="s">
        <v>488</v>
      </c>
      <c r="K25" s="300" t="s">
        <v>509</v>
      </c>
      <c r="L25" s="300" t="s">
        <v>530</v>
      </c>
      <c r="M25" s="300" t="s">
        <v>552</v>
      </c>
      <c r="N25" s="80">
        <f>VLOOKUP('Hide - Control'!B$3,'All practice data'!A:CA,A25+29,FALSE)</f>
        <v>471.0311650282368</v>
      </c>
      <c r="O25" s="80">
        <f>VLOOKUP('Hide - Control'!C$3,'All practice data'!A:CA,A25+29,FALSE)</f>
        <v>623.2878522577265</v>
      </c>
      <c r="P25" s="38">
        <f>VLOOKUP('Hide - Control'!$B$4,'All practice data'!B:BC,A25+2,FALSE)</f>
        <v>1126</v>
      </c>
      <c r="Q25" s="38">
        <f>VLOOKUP('Hide - Control'!$B$4,'All practice data'!B:BC,3,FALSE)</f>
        <v>239050</v>
      </c>
      <c r="R25" s="38">
        <f t="shared" si="21"/>
        <v>443.91640461103407</v>
      </c>
      <c r="S25" s="38">
        <f t="shared" si="22"/>
        <v>499.3688552564968</v>
      </c>
      <c r="T25" s="53" t="str">
        <f t="shared" si="19"/>
        <v>934.9030471</v>
      </c>
      <c r="U25" s="51" t="str">
        <f t="shared" si="20"/>
        <v>177.096</v>
      </c>
      <c r="V25" s="7"/>
      <c r="W25" s="27">
        <f t="shared" si="2"/>
        <v>-29.281839900000023</v>
      </c>
      <c r="X25" s="27" t="str">
        <f t="shared" si="3"/>
        <v>934.9030471</v>
      </c>
      <c r="Y25" s="27">
        <f t="shared" si="4"/>
        <v>-29.281839900000023</v>
      </c>
      <c r="Z25" s="27" t="str">
        <f t="shared" si="5"/>
        <v>934.9030471</v>
      </c>
      <c r="AA25" s="32">
        <f t="shared" si="6"/>
        <v>0.2140438443731799</v>
      </c>
      <c r="AB25" s="33">
        <f t="shared" si="7"/>
        <v>0.3792368919385479</v>
      </c>
      <c r="AC25" s="33">
        <v>0.5</v>
      </c>
      <c r="AD25" s="33">
        <f t="shared" si="8"/>
        <v>0.6075911619220391</v>
      </c>
      <c r="AE25" s="33">
        <f t="shared" si="9"/>
        <v>1</v>
      </c>
      <c r="AF25" s="33">
        <f t="shared" si="10"/>
        <v>-999</v>
      </c>
      <c r="AG25" s="33">
        <f t="shared" si="11"/>
        <v>0.5029500570966202</v>
      </c>
      <c r="AH25" s="33">
        <f t="shared" si="12"/>
        <v>-999</v>
      </c>
      <c r="AI25" s="34">
        <f t="shared" si="13"/>
        <v>0.6768097083414735</v>
      </c>
      <c r="AJ25" s="4">
        <v>22.06996894931352</v>
      </c>
      <c r="AK25" s="32">
        <f t="shared" si="14"/>
        <v>-999</v>
      </c>
      <c r="AL25" s="34">
        <f t="shared" si="15"/>
        <v>-999</v>
      </c>
      <c r="AY25" s="103" t="s">
        <v>283</v>
      </c>
      <c r="AZ25" s="103" t="s">
        <v>577</v>
      </c>
      <c r="BA25" s="103" t="s">
        <v>97</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40</v>
      </c>
      <c r="E26" s="38">
        <f>IF(LEFT(VLOOKUP($B26,'Indicator chart'!$D$1:$J$36,5,FALSE),1)=" "," ",VLOOKUP($B26,'Indicator chart'!$D$1:$J$36,5,FALSE))</f>
        <v>650.9357200976403</v>
      </c>
      <c r="F26" s="38">
        <f>IF(LEFT(VLOOKUP($B26,'Indicator chart'!$D$1:$J$36,6,FALSE),1)=" "," ",VLOOKUP($B26,'Indicator chart'!$D$1:$J$36,6,FALSE))</f>
        <v>464.98157602558064</v>
      </c>
      <c r="G26" s="38">
        <f>IF(LEFT(VLOOKUP($B26,'Indicator chart'!$D$1:$J$36,7,FALSE),1)=" "," ",VLOOKUP($B26,'Indicator chart'!$D$1:$J$36,7,FALSE))</f>
        <v>886.4178684508727</v>
      </c>
      <c r="H26" s="50">
        <f t="shared" si="0"/>
        <v>3</v>
      </c>
      <c r="I26" s="300" t="s">
        <v>472</v>
      </c>
      <c r="J26" s="300" t="s">
        <v>489</v>
      </c>
      <c r="K26" s="300" t="s">
        <v>510</v>
      </c>
      <c r="L26" s="300" t="s">
        <v>531</v>
      </c>
      <c r="M26" s="300" t="s">
        <v>553</v>
      </c>
      <c r="N26" s="80">
        <f>VLOOKUP('Hide - Control'!B$3,'All practice data'!A:CA,A26+29,FALSE)</f>
        <v>399.0796904413303</v>
      </c>
      <c r="O26" s="80">
        <f>VLOOKUP('Hide - Control'!C$3,'All practice data'!A:CA,A26+29,FALSE)</f>
        <v>432.5467854266958</v>
      </c>
      <c r="P26" s="38">
        <f>VLOOKUP('Hide - Control'!$B$4,'All practice data'!B:BC,A26+2,FALSE)</f>
        <v>954</v>
      </c>
      <c r="Q26" s="38">
        <f>VLOOKUP('Hide - Control'!$B$4,'All practice data'!B:BC,3,FALSE)</f>
        <v>239050</v>
      </c>
      <c r="R26" s="38">
        <f t="shared" si="21"/>
        <v>374.1534643196702</v>
      </c>
      <c r="S26" s="38">
        <f t="shared" si="22"/>
        <v>425.2298874857309</v>
      </c>
      <c r="T26" s="53" t="str">
        <f t="shared" si="19"/>
        <v>745.2871548</v>
      </c>
      <c r="U26" s="51" t="str">
        <f t="shared" si="20"/>
        <v>88.5478</v>
      </c>
      <c r="V26" s="7"/>
      <c r="W26" s="27">
        <f t="shared" si="2"/>
        <v>55.05101279999997</v>
      </c>
      <c r="X26" s="27" t="str">
        <f t="shared" si="3"/>
        <v>745.2871548</v>
      </c>
      <c r="Y26" s="27">
        <f t="shared" si="4"/>
        <v>55.05101279999997</v>
      </c>
      <c r="Z26" s="27" t="str">
        <f t="shared" si="5"/>
        <v>745.2871548</v>
      </c>
      <c r="AA26" s="32">
        <f t="shared" si="6"/>
        <v>0.04852945993662561</v>
      </c>
      <c r="AB26" s="33">
        <f t="shared" si="7"/>
        <v>0.30724193040010356</v>
      </c>
      <c r="AC26" s="33">
        <v>0.5</v>
      </c>
      <c r="AD26" s="33">
        <f t="shared" si="8"/>
        <v>0.6341512707979873</v>
      </c>
      <c r="AE26" s="33">
        <f t="shared" si="9"/>
        <v>1</v>
      </c>
      <c r="AF26" s="33">
        <f t="shared" si="10"/>
        <v>-999</v>
      </c>
      <c r="AG26" s="33">
        <f t="shared" si="11"/>
        <v>-999</v>
      </c>
      <c r="AH26" s="33">
        <f t="shared" si="12"/>
        <v>0.8633055718743287</v>
      </c>
      <c r="AI26" s="34">
        <f t="shared" si="13"/>
        <v>0.5469081516549966</v>
      </c>
      <c r="AJ26" s="4">
        <v>23.145964374695435</v>
      </c>
      <c r="AK26" s="32">
        <f t="shared" si="14"/>
        <v>-999</v>
      </c>
      <c r="AL26" s="34">
        <f t="shared" si="15"/>
        <v>0.8633055718743287</v>
      </c>
      <c r="AY26" s="103" t="s">
        <v>275</v>
      </c>
      <c r="AZ26" s="103" t="s">
        <v>578</v>
      </c>
      <c r="BA26" s="103" t="s">
        <v>97</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73</v>
      </c>
      <c r="E27" s="38">
        <f>IF(LEFT(VLOOKUP($B27,'Indicator chart'!$D$1:$J$36,5,FALSE),1)=" "," ",VLOOKUP($B27,'Indicator chart'!$D$1:$J$36,5,FALSE))</f>
        <v>1187.9576891781937</v>
      </c>
      <c r="F27" s="38">
        <f>IF(LEFT(VLOOKUP($B27,'Indicator chart'!$D$1:$J$36,6,FALSE),1)=" "," ",VLOOKUP($B27,'Indicator chart'!$D$1:$J$36,6,FALSE))</f>
        <v>931.1279147084313</v>
      </c>
      <c r="G27" s="38">
        <f>IF(LEFT(VLOOKUP($B27,'Indicator chart'!$D$1:$J$36,7,FALSE),1)=" "," ",VLOOKUP($B27,'Indicator chart'!$D$1:$J$36,7,FALSE))</f>
        <v>1493.7047833216338</v>
      </c>
      <c r="H27" s="50">
        <f t="shared" si="0"/>
        <v>2</v>
      </c>
      <c r="I27" s="300" t="s">
        <v>473</v>
      </c>
      <c r="J27" s="300" t="s">
        <v>490</v>
      </c>
      <c r="K27" s="300" t="s">
        <v>511</v>
      </c>
      <c r="L27" s="300" t="s">
        <v>532</v>
      </c>
      <c r="M27" s="300" t="s">
        <v>554</v>
      </c>
      <c r="N27" s="80">
        <f>VLOOKUP('Hide - Control'!B$3,'All practice data'!A:CA,A27+29,FALSE)</f>
        <v>995.6076134699854</v>
      </c>
      <c r="O27" s="80">
        <f>VLOOKUP('Hide - Control'!C$3,'All practice data'!A:CA,A27+29,FALSE)</f>
        <v>1003.4847591501348</v>
      </c>
      <c r="P27" s="38">
        <f>VLOOKUP('Hide - Control'!$B$4,'All practice data'!B:BC,A27+2,FALSE)</f>
        <v>2380</v>
      </c>
      <c r="Q27" s="38">
        <f>VLOOKUP('Hide - Control'!$B$4,'All practice data'!B:BC,3,FALSE)</f>
        <v>239050</v>
      </c>
      <c r="R27" s="38">
        <f t="shared" si="21"/>
        <v>956.005559373544</v>
      </c>
      <c r="S27" s="38">
        <f t="shared" si="22"/>
        <v>1036.4288259783193</v>
      </c>
      <c r="T27" s="53" t="str">
        <f t="shared" si="19"/>
        <v>1312.994787</v>
      </c>
      <c r="U27" s="51" t="str">
        <f t="shared" si="20"/>
        <v>196.772924</v>
      </c>
      <c r="V27" s="7"/>
      <c r="W27" s="27" t="str">
        <f t="shared" si="2"/>
        <v>196.772924</v>
      </c>
      <c r="X27" s="27">
        <f t="shared" si="3"/>
        <v>1851.6314700000003</v>
      </c>
      <c r="Y27" s="27" t="str">
        <f t="shared" si="4"/>
        <v>196.772924</v>
      </c>
      <c r="Z27" s="27">
        <f t="shared" si="5"/>
        <v>1851.6314700000003</v>
      </c>
      <c r="AA27" s="32">
        <f t="shared" si="6"/>
        <v>0</v>
      </c>
      <c r="AB27" s="33">
        <f t="shared" si="7"/>
        <v>0.3961935297036559</v>
      </c>
      <c r="AC27" s="33">
        <v>0.5</v>
      </c>
      <c r="AD27" s="33">
        <f t="shared" si="8"/>
        <v>0.5913031312345168</v>
      </c>
      <c r="AE27" s="33">
        <f t="shared" si="9"/>
        <v>0.6745119488901621</v>
      </c>
      <c r="AF27" s="33">
        <f t="shared" si="10"/>
        <v>-999</v>
      </c>
      <c r="AG27" s="33">
        <f t="shared" si="11"/>
        <v>0.5989543744231258</v>
      </c>
      <c r="AH27" s="33">
        <f t="shared" si="12"/>
        <v>-999</v>
      </c>
      <c r="AI27" s="34">
        <f t="shared" si="13"/>
        <v>0.48748084064348457</v>
      </c>
      <c r="AJ27" s="4">
        <v>24.221959800077364</v>
      </c>
      <c r="AK27" s="32">
        <f t="shared" si="14"/>
        <v>-999</v>
      </c>
      <c r="AL27" s="34">
        <f t="shared" si="15"/>
        <v>-999</v>
      </c>
      <c r="AY27" s="103" t="s">
        <v>261</v>
      </c>
      <c r="AZ27" s="103" t="s">
        <v>579</v>
      </c>
      <c r="BA27" s="103" t="s">
        <v>97</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36</v>
      </c>
      <c r="E28" s="38">
        <f>IF(LEFT(VLOOKUP($B28,'Indicator chart'!$D$1:$J$36,5,FALSE),1)=" "," ",VLOOKUP($B28,'Indicator chart'!$D$1:$J$36,5,FALSE))</f>
        <v>585.8421480878764</v>
      </c>
      <c r="F28" s="38">
        <f>IF(LEFT(VLOOKUP($B28,'Indicator chart'!$D$1:$J$36,6,FALSE),1)=" "," ",VLOOKUP($B28,'Indicator chart'!$D$1:$J$36,6,FALSE))</f>
        <v>410.2567523916953</v>
      </c>
      <c r="G28" s="38">
        <f>IF(LEFT(VLOOKUP($B28,'Indicator chart'!$D$1:$J$36,7,FALSE),1)=" "," ",VLOOKUP($B28,'Indicator chart'!$D$1:$J$36,7,FALSE))</f>
        <v>811.0808455853332</v>
      </c>
      <c r="H28" s="50">
        <f t="shared" si="0"/>
        <v>2</v>
      </c>
      <c r="I28" s="300" t="s">
        <v>453</v>
      </c>
      <c r="J28" s="300" t="s">
        <v>491</v>
      </c>
      <c r="K28" s="300" t="s">
        <v>512</v>
      </c>
      <c r="L28" s="300" t="s">
        <v>533</v>
      </c>
      <c r="M28" s="300" t="s">
        <v>555</v>
      </c>
      <c r="N28" s="80">
        <f>VLOOKUP('Hide - Control'!B$3,'All practice data'!A:CA,A28+29,FALSE)</f>
        <v>583.1416021752772</v>
      </c>
      <c r="O28" s="80">
        <f>VLOOKUP('Hide - Control'!C$3,'All practice data'!A:CA,A28+29,FALSE)</f>
        <v>586.9262672471904</v>
      </c>
      <c r="P28" s="38">
        <f>VLOOKUP('Hide - Control'!$B$4,'All practice data'!B:BC,A28+2,FALSE)</f>
        <v>1394</v>
      </c>
      <c r="Q28" s="38">
        <f>VLOOKUP('Hide - Control'!$B$4,'All practice data'!B:BC,3,FALSE)</f>
        <v>239050</v>
      </c>
      <c r="R28" s="38">
        <f>100000*(P28*(1-1/(9*P28)-1.96/(3*SQRT(P28)))^3)/Q28</f>
        <v>552.9270672061887</v>
      </c>
      <c r="S28" s="38">
        <f>100000*((P28+1)*(1-1/(9*(P28+1))+1.96/(3*SQRT(P28+1)))^3)/Q28</f>
        <v>614.5778454741253</v>
      </c>
      <c r="T28" s="53" t="str">
        <f t="shared" si="19"/>
        <v>1315.789474</v>
      </c>
      <c r="U28" s="51" t="str">
        <f t="shared" si="20"/>
        <v>193.926</v>
      </c>
      <c r="V28" s="7"/>
      <c r="W28" s="27">
        <f t="shared" si="2"/>
        <v>-138.96451239999988</v>
      </c>
      <c r="X28" s="27" t="str">
        <f t="shared" si="3"/>
        <v>1315.789474</v>
      </c>
      <c r="Y28" s="27">
        <f t="shared" si="4"/>
        <v>-138.96451239999988</v>
      </c>
      <c r="Z28" s="27" t="str">
        <f t="shared" si="5"/>
        <v>1315.789474</v>
      </c>
      <c r="AA28" s="32">
        <f t="shared" si="6"/>
        <v>0.22882942099631967</v>
      </c>
      <c r="AB28" s="33">
        <f t="shared" si="7"/>
        <v>0.3989125463997423</v>
      </c>
      <c r="AC28" s="33">
        <v>0.5</v>
      </c>
      <c r="AD28" s="33">
        <f t="shared" si="8"/>
        <v>0.561924431926066</v>
      </c>
      <c r="AE28" s="33">
        <f t="shared" si="9"/>
        <v>1</v>
      </c>
      <c r="AF28" s="33">
        <f t="shared" si="10"/>
        <v>-999</v>
      </c>
      <c r="AG28" s="33">
        <f t="shared" si="11"/>
        <v>0.4982331495660759</v>
      </c>
      <c r="AH28" s="33">
        <f t="shared" si="12"/>
        <v>-999</v>
      </c>
      <c r="AI28" s="34">
        <f t="shared" si="13"/>
        <v>0.4989783746484259</v>
      </c>
      <c r="AJ28" s="4">
        <v>25.297955225459287</v>
      </c>
      <c r="AK28" s="32">
        <f t="shared" si="14"/>
        <v>-999</v>
      </c>
      <c r="AL28" s="34">
        <f t="shared" si="15"/>
        <v>-999</v>
      </c>
      <c r="AY28" s="103" t="s">
        <v>284</v>
      </c>
      <c r="AZ28" s="103" t="s">
        <v>580</v>
      </c>
      <c r="BA28" s="103" t="s">
        <v>97</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0.20689655172413793</v>
      </c>
      <c r="F29" s="38">
        <f>IF(LEFT(VLOOKUP($B29,'Indicator chart'!$D$1:$J$36,6,FALSE),1)=" "," ",VLOOKUP($B29,'Indicator chart'!$D$1:$J$36,6,FALSE))</f>
        <v>0.09845936515585209</v>
      </c>
      <c r="G29" s="38">
        <f>IF(LEFT(VLOOKUP($B29,'Indicator chart'!$D$1:$J$36,7,FALSE),1)=" "," ",VLOOKUP($B29,'Indicator chart'!$D$1:$J$36,7,FALSE))</f>
        <v>0.3839044660825772</v>
      </c>
      <c r="H29" s="50">
        <f t="shared" si="0"/>
        <v>2</v>
      </c>
      <c r="I29" s="300" t="s">
        <v>443</v>
      </c>
      <c r="J29" s="300" t="s">
        <v>492</v>
      </c>
      <c r="K29" s="300" t="s">
        <v>513</v>
      </c>
      <c r="L29" s="300" t="s">
        <v>534</v>
      </c>
      <c r="M29" s="300" t="s">
        <v>219</v>
      </c>
      <c r="N29" s="80">
        <f>VLOOKUP('Hide - Control'!B$3,'All practice data'!A:CA,A29+29,FALSE)</f>
        <v>0.2513812154696133</v>
      </c>
      <c r="O29" s="80">
        <f>VLOOKUP('Hide - Control'!C$3,'All practice data'!A:CA,A29+29,FALSE)</f>
        <v>0.2372068295675289</v>
      </c>
      <c r="P29" s="38">
        <f>VLOOKUP('Hide - Control'!$B$4,'All practice data'!B:BC,A29+2,FALSE)</f>
        <v>273</v>
      </c>
      <c r="Q29" s="38">
        <f>VLOOKUP('Hide - Control'!$B$4,'All practice data'!B:BC,26,FALSE)+VLOOKUP('Hide - Control'!$B$4,'All practice data'!B:BC,27,FALSE)+VLOOKUP('Hide - Control'!$B$4,'All practice data'!B:BC,28,FALSE)</f>
        <v>1086</v>
      </c>
      <c r="R29" s="38">
        <f>+((2*P29+1.96^2-1.96*SQRT(1.96^2+4*P29*(1-P29/Q29)))/(2*(Q29+1.96^2)))</f>
        <v>0.2264871013787611</v>
      </c>
      <c r="S29" s="38">
        <f>+((2*P29+1.96^2+1.96*SQRT(1.96^2+4*P29*(1-P29/Q29)))/(2*(Q29+1.96^2)))</f>
        <v>0.2780280501808784</v>
      </c>
      <c r="T29" s="53" t="str">
        <f t="shared" si="19"/>
        <v>1</v>
      </c>
      <c r="U29" s="51" t="str">
        <f t="shared" si="20"/>
        <v>0.0350981</v>
      </c>
      <c r="V29" s="7"/>
      <c r="W29" s="27">
        <f t="shared" si="2"/>
        <v>-0.5173201380000001</v>
      </c>
      <c r="X29" s="27" t="str">
        <f t="shared" si="3"/>
        <v>1</v>
      </c>
      <c r="Y29" s="27">
        <f t="shared" si="4"/>
        <v>-0.5173201380000001</v>
      </c>
      <c r="Z29" s="27" t="str">
        <f t="shared" si="5"/>
        <v>1</v>
      </c>
      <c r="AA29" s="32">
        <f t="shared" si="6"/>
        <v>0.36407493986611816</v>
      </c>
      <c r="AB29" s="33">
        <f t="shared" si="7"/>
        <v>0.4716916470530625</v>
      </c>
      <c r="AC29" s="33">
        <v>0.5</v>
      </c>
      <c r="AD29" s="33">
        <f t="shared" si="8"/>
        <v>0.5465816660768528</v>
      </c>
      <c r="AE29" s="33">
        <f t="shared" si="9"/>
        <v>1</v>
      </c>
      <c r="AF29" s="33">
        <f t="shared" si="10"/>
        <v>-999</v>
      </c>
      <c r="AG29" s="33">
        <f t="shared" si="11"/>
        <v>0.4772998601855622</v>
      </c>
      <c r="AH29" s="33">
        <f t="shared" si="12"/>
        <v>-999</v>
      </c>
      <c r="AI29" s="34">
        <f t="shared" si="13"/>
        <v>0.4972760518173054</v>
      </c>
      <c r="AJ29" s="4">
        <v>26.373950650841206</v>
      </c>
      <c r="AK29" s="32">
        <f t="shared" si="14"/>
        <v>-999</v>
      </c>
      <c r="AL29" s="34">
        <f t="shared" si="15"/>
        <v>-999</v>
      </c>
      <c r="AY29" s="103" t="s">
        <v>225</v>
      </c>
      <c r="AZ29" s="103" t="s">
        <v>581</v>
      </c>
      <c r="BA29" s="103" t="s">
        <v>97</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15</v>
      </c>
      <c r="E30" s="38">
        <f>IF(LEFT(VLOOKUP($B30,'Indicator chart'!$D$1:$J$36,5,FALSE),1)=" "," ",VLOOKUP($B30,'Indicator chart'!$D$1:$J$36,5,FALSE))</f>
        <v>0.5172413793103449</v>
      </c>
      <c r="F30" s="38">
        <f>IF(LEFT(VLOOKUP($B30,'Indicator chart'!$D$1:$J$36,6,FALSE),1)=" "," ",VLOOKUP($B30,'Indicator chart'!$D$1:$J$36,6,FALSE))</f>
        <v>0.3443073797056916</v>
      </c>
      <c r="G30" s="38">
        <f>IF(LEFT(VLOOKUP($B30,'Indicator chart'!$D$1:$J$36,7,FALSE),1)=" "," ",VLOOKUP($B30,'Indicator chart'!$D$1:$J$36,7,FALSE))</f>
        <v>0.6861418066920479</v>
      </c>
      <c r="H30" s="50">
        <f t="shared" si="0"/>
        <v>2</v>
      </c>
      <c r="I30" s="300" t="s">
        <v>444</v>
      </c>
      <c r="J30" s="300" t="s">
        <v>493</v>
      </c>
      <c r="K30" s="300" t="s">
        <v>455</v>
      </c>
      <c r="L30" s="300" t="s">
        <v>535</v>
      </c>
      <c r="M30" s="300" t="s">
        <v>556</v>
      </c>
      <c r="N30" s="80">
        <f>VLOOKUP('Hide - Control'!B$3,'All practice data'!A:CA,A30+29,FALSE)</f>
        <v>0.48987108655616945</v>
      </c>
      <c r="O30" s="80">
        <f>VLOOKUP('Hide - Control'!C$3,'All practice data'!A:CA,A30+29,FALSE)</f>
        <v>0.4919047132195072</v>
      </c>
      <c r="P30" s="38">
        <f>VLOOKUP('Hide - Control'!$B$4,'All practice data'!B:BC,A30+2,FALSE)</f>
        <v>532</v>
      </c>
      <c r="Q30" s="38">
        <f>VLOOKUP('Hide - Control'!$B$4,'All practice data'!B:BC,26,FALSE)+VLOOKUP('Hide - Control'!$B$4,'All practice data'!B:BC,27,FALSE)+VLOOKUP('Hide - Control'!$B$4,'All practice data'!B:BC,28,FALSE)</f>
        <v>1086</v>
      </c>
      <c r="R30" s="38">
        <f>+((2*P30+1.96^2-1.96*SQRT(1.96^2+4*P30*(1-P30/Q30)))/(2*(Q30+1.96^2)))</f>
        <v>0.4602273592843109</v>
      </c>
      <c r="S30" s="38">
        <f>+((2*P30+1.96^2+1.96*SQRT(1.96^2+4*P30*(1-P30/Q30)))/(2*(Q30+1.96^2)))</f>
        <v>0.5195862209644151</v>
      </c>
      <c r="T30" s="53" t="str">
        <f t="shared" si="19"/>
        <v>0.628571</v>
      </c>
      <c r="U30" s="51" t="str">
        <f t="shared" si="20"/>
        <v>0.178051</v>
      </c>
      <c r="V30" s="7"/>
      <c r="W30" s="27" t="str">
        <f t="shared" si="2"/>
        <v>0.178051</v>
      </c>
      <c r="X30" s="27">
        <f t="shared" si="3"/>
        <v>0.821949</v>
      </c>
      <c r="Y30" s="27" t="str">
        <f t="shared" si="4"/>
        <v>0.178051</v>
      </c>
      <c r="Z30" s="27">
        <f t="shared" si="5"/>
        <v>0.821949</v>
      </c>
      <c r="AA30" s="32">
        <f t="shared" si="6"/>
        <v>0</v>
      </c>
      <c r="AB30" s="33">
        <f t="shared" si="7"/>
        <v>0.3396860900328934</v>
      </c>
      <c r="AC30" s="33">
        <v>0.5</v>
      </c>
      <c r="AD30" s="33">
        <f t="shared" si="8"/>
        <v>0.6012852827621766</v>
      </c>
      <c r="AE30" s="33">
        <f t="shared" si="9"/>
        <v>0.6996760356453973</v>
      </c>
      <c r="AF30" s="33">
        <f t="shared" si="10"/>
        <v>-999</v>
      </c>
      <c r="AG30" s="33">
        <f t="shared" si="11"/>
        <v>0.5267765691310501</v>
      </c>
      <c r="AH30" s="33">
        <f t="shared" si="12"/>
        <v>-999</v>
      </c>
      <c r="AI30" s="34">
        <f t="shared" si="13"/>
        <v>0.48742768764541455</v>
      </c>
      <c r="AJ30" s="4">
        <v>27.44994607622313</v>
      </c>
      <c r="AK30" s="32">
        <f t="shared" si="14"/>
        <v>-999</v>
      </c>
      <c r="AL30" s="34">
        <f t="shared" si="15"/>
        <v>-999</v>
      </c>
      <c r="AY30" s="103" t="s">
        <v>265</v>
      </c>
      <c r="AZ30" s="103" t="s">
        <v>582</v>
      </c>
      <c r="BA30" s="103" t="s">
        <v>97</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8</v>
      </c>
      <c r="E31" s="38">
        <f>IF(LEFT(VLOOKUP($B31,'Indicator chart'!$D$1:$J$39,5,FALSE),1)=" "," ",VLOOKUP($B31,'Indicator chart'!$D$1:$J$39,5,FALSE))</f>
        <v>0.27586206896551724</v>
      </c>
      <c r="F31" s="38">
        <f>IF(LEFT(VLOOKUP($B31,'Indicator chart'!$D$1:$J$39,6,FALSE),1)=" "," ",VLOOKUP($B31,'Indicator chart'!$D$1:$J$39,6,FALSE))</f>
        <v>0.14698581338502748</v>
      </c>
      <c r="G31" s="38">
        <f>IF(LEFT(VLOOKUP($B31,'Indicator chart'!$D$1:$J$39,7,FALSE),1)=" "," ",VLOOKUP($B31,'Indicator chart'!$D$1:$J$39,7,FALSE))</f>
        <v>0.45717476344435964</v>
      </c>
      <c r="H31" s="50">
        <f t="shared" si="0"/>
        <v>2</v>
      </c>
      <c r="I31" s="300" t="s">
        <v>445</v>
      </c>
      <c r="J31" s="300" t="s">
        <v>446</v>
      </c>
      <c r="K31" s="300" t="s">
        <v>514</v>
      </c>
      <c r="L31" s="300" t="s">
        <v>536</v>
      </c>
      <c r="M31" s="300" t="s">
        <v>458</v>
      </c>
      <c r="N31" s="80">
        <f>VLOOKUP('Hide - Control'!B$3,'All practice data'!A:CA,A31+29,FALSE)</f>
        <v>0.2587476979742173</v>
      </c>
      <c r="O31" s="80">
        <f>VLOOKUP('Hide - Control'!C$3,'All practice data'!A:CA,A31+29,FALSE)</f>
        <v>0.2708884572129639</v>
      </c>
      <c r="P31" s="38">
        <f>VLOOKUP('Hide - Control'!$B$4,'All practice data'!B:BC,A31+2,FALSE)</f>
        <v>281</v>
      </c>
      <c r="Q31" s="38">
        <f>VLOOKUP('Hide - Control'!$B$4,'All practice data'!B:BC,26,FALSE)+VLOOKUP('Hide - Control'!$B$4,'All practice data'!B:BC,27,FALSE)+VLOOKUP('Hide - Control'!$B$4,'All practice data'!B:BC,28,FALSE)</f>
        <v>1086</v>
      </c>
      <c r="R31" s="38">
        <f>+((2*P31+1.96^2-1.96*SQRT(1.96^2+4*P31*(1-P31/Q31)))/(2*(Q31+1.96^2)))</f>
        <v>0.23358285383484528</v>
      </c>
      <c r="S31" s="38">
        <f>+((2*P31+1.96^2+1.96*SQRT(1.96^2+4*P31*(1-P31/Q31)))/(2*(Q31+1.96^2)))</f>
        <v>0.28561333027117525</v>
      </c>
      <c r="T31" s="53" t="str">
        <f t="shared" si="19"/>
        <v>0.419355</v>
      </c>
      <c r="U31" s="51" t="str">
        <f t="shared" si="20"/>
        <v>0.0521808</v>
      </c>
      <c r="V31" s="7"/>
      <c r="W31" s="27" t="str">
        <f t="shared" si="2"/>
        <v>0.0521808</v>
      </c>
      <c r="X31" s="27">
        <f t="shared" si="3"/>
        <v>0.44271716000000005</v>
      </c>
      <c r="Y31" s="27" t="str">
        <f t="shared" si="4"/>
        <v>0.0521808</v>
      </c>
      <c r="Z31" s="27">
        <f t="shared" si="5"/>
        <v>0.44271716000000005</v>
      </c>
      <c r="AA31" s="32">
        <f t="shared" si="6"/>
        <v>0</v>
      </c>
      <c r="AB31" s="33">
        <f t="shared" si="7"/>
        <v>0.37850304130452794</v>
      </c>
      <c r="AC31" s="33">
        <v>0.5</v>
      </c>
      <c r="AD31" s="33">
        <f t="shared" si="8"/>
        <v>0.7027324600454614</v>
      </c>
      <c r="AE31" s="33">
        <f t="shared" si="9"/>
        <v>0.9401792959815573</v>
      </c>
      <c r="AF31" s="33">
        <f>IF(E31=" ",-999,IF(H31=4,(E31-$Y31)/($Z31-$Y31),-999))</f>
        <v>-999</v>
      </c>
      <c r="AG31" s="33">
        <f t="shared" si="11"/>
        <v>0.57275401697685</v>
      </c>
      <c r="AH31" s="33">
        <f t="shared" si="12"/>
        <v>-999</v>
      </c>
      <c r="AI31" s="34">
        <f t="shared" si="13"/>
        <v>0.560018681008252</v>
      </c>
      <c r="AJ31" s="4">
        <v>28.525941501605054</v>
      </c>
      <c r="AK31" s="32">
        <f t="shared" si="14"/>
        <v>-999</v>
      </c>
      <c r="AL31" s="34">
        <f t="shared" si="15"/>
        <v>-999</v>
      </c>
      <c r="AY31" s="103" t="s">
        <v>269</v>
      </c>
      <c r="AZ31" s="103" t="s">
        <v>583</v>
      </c>
      <c r="BA31" s="103" t="s">
        <v>97</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279</v>
      </c>
      <c r="AZ32" s="103" t="s">
        <v>584</v>
      </c>
      <c r="BA32" s="103" t="s">
        <v>97</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281</v>
      </c>
      <c r="AZ33" s="103" t="s">
        <v>585</v>
      </c>
      <c r="BA33" s="103" t="s">
        <v>97</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257</v>
      </c>
      <c r="AZ34" s="103" t="s">
        <v>586</v>
      </c>
      <c r="BA34" s="103" t="s">
        <v>97</v>
      </c>
      <c r="BB34" s="298">
        <v>174182</v>
      </c>
      <c r="BE34" s="77"/>
      <c r="BF34" s="250"/>
    </row>
    <row r="35" spans="2:58" ht="12.75">
      <c r="B35" s="17" t="s">
        <v>41</v>
      </c>
      <c r="C35" s="18"/>
      <c r="H35" s="287" t="s">
        <v>220</v>
      </c>
      <c r="I35" s="288"/>
      <c r="Y35" s="43"/>
      <c r="Z35" s="44"/>
      <c r="AA35" s="44"/>
      <c r="AB35" s="43"/>
      <c r="AC35" s="43"/>
      <c r="AY35" s="103" t="s">
        <v>266</v>
      </c>
      <c r="AZ35" s="103" t="s">
        <v>587</v>
      </c>
      <c r="BA35" s="103" t="s">
        <v>97</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267</v>
      </c>
      <c r="AZ36" s="103" t="s">
        <v>588</v>
      </c>
      <c r="BA36" s="103" t="s">
        <v>97</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285</v>
      </c>
      <c r="AZ37" s="103" t="s">
        <v>589</v>
      </c>
      <c r="BA37" s="103" t="s">
        <v>97</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264</v>
      </c>
      <c r="AZ38" s="103" t="s">
        <v>590</v>
      </c>
      <c r="BA38" s="103" t="s">
        <v>97</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286</v>
      </c>
      <c r="AZ39" s="103" t="s">
        <v>591</v>
      </c>
      <c r="BA39" s="103" t="s">
        <v>97</v>
      </c>
      <c r="BB39" s="298">
        <v>240654</v>
      </c>
      <c r="BE39" s="70"/>
      <c r="BF39" s="238"/>
    </row>
    <row r="40" spans="1:58" ht="12.75">
      <c r="A40" s="3"/>
      <c r="B40" s="71"/>
      <c r="C40" s="3"/>
      <c r="T40" s="13"/>
      <c r="U40" s="2"/>
      <c r="W40" s="2"/>
      <c r="X40" s="10"/>
      <c r="Y40" s="44"/>
      <c r="Z40" s="44"/>
      <c r="AA40" s="44"/>
      <c r="AB40" s="44"/>
      <c r="AC40" s="44"/>
      <c r="AD40" s="2"/>
      <c r="AE40" s="2"/>
      <c r="AY40" s="103" t="s">
        <v>287</v>
      </c>
      <c r="AZ40" s="103" t="s">
        <v>592</v>
      </c>
      <c r="BA40" s="103" t="s">
        <v>97</v>
      </c>
      <c r="BB40" s="298">
        <v>231440</v>
      </c>
      <c r="BF40" s="249"/>
    </row>
    <row r="41" spans="1:58" ht="12.75">
      <c r="A41" s="3"/>
      <c r="B41" s="71"/>
      <c r="C41" s="3"/>
      <c r="T41" s="13"/>
      <c r="U41" s="2"/>
      <c r="W41" s="2"/>
      <c r="X41" s="10"/>
      <c r="Y41" s="44"/>
      <c r="Z41" s="44"/>
      <c r="AA41" s="44"/>
      <c r="AB41" s="44"/>
      <c r="AC41" s="44"/>
      <c r="AD41" s="2"/>
      <c r="AE41" s="2"/>
      <c r="AY41" s="103" t="s">
        <v>262</v>
      </c>
      <c r="AZ41" s="103" t="s">
        <v>593</v>
      </c>
      <c r="BA41" s="103" t="s">
        <v>97</v>
      </c>
      <c r="BB41" s="298">
        <v>102110</v>
      </c>
      <c r="BE41" s="70"/>
      <c r="BF41" s="238"/>
    </row>
    <row r="42" spans="1:58" ht="12.75">
      <c r="A42" s="3"/>
      <c r="B42" s="45"/>
      <c r="C42" s="3"/>
      <c r="T42" s="13"/>
      <c r="U42" s="2"/>
      <c r="W42" s="2"/>
      <c r="X42" s="10"/>
      <c r="Y42" s="44"/>
      <c r="Z42" s="44"/>
      <c r="AA42" s="44"/>
      <c r="AB42" s="44"/>
      <c r="AC42" s="44"/>
      <c r="AD42" s="2"/>
      <c r="AE42" s="2"/>
      <c r="AY42" s="103" t="s">
        <v>260</v>
      </c>
      <c r="AZ42" s="103" t="s">
        <v>594</v>
      </c>
      <c r="BA42" s="103" t="s">
        <v>97</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259</v>
      </c>
      <c r="AZ43" s="103" t="s">
        <v>595</v>
      </c>
      <c r="BA43" s="103" t="s">
        <v>97</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274</v>
      </c>
      <c r="AZ44" s="103" t="s">
        <v>596</v>
      </c>
      <c r="BA44" s="103" t="s">
        <v>97</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288</v>
      </c>
      <c r="AZ45" s="103" t="s">
        <v>597</v>
      </c>
      <c r="BA45" s="103" t="s">
        <v>97</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276</v>
      </c>
      <c r="AZ46" s="103" t="s">
        <v>598</v>
      </c>
      <c r="BA46" s="103" t="s">
        <v>97</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377</v>
      </c>
      <c r="AZ47" s="103" t="s">
        <v>599</v>
      </c>
      <c r="BA47" s="103" t="s">
        <v>97</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323</v>
      </c>
      <c r="AZ48" s="103" t="s">
        <v>600</v>
      </c>
      <c r="BA48" s="103" t="s">
        <v>97</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396</v>
      </c>
      <c r="AZ49" s="103" t="s">
        <v>601</v>
      </c>
      <c r="BA49" s="103" t="s">
        <v>97</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334</v>
      </c>
      <c r="AZ50" s="103" t="s">
        <v>602</v>
      </c>
      <c r="BA50" s="103" t="s">
        <v>97</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356</v>
      </c>
      <c r="AZ51" s="103" t="s">
        <v>603</v>
      </c>
      <c r="BA51" s="103" t="s">
        <v>97</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347</v>
      </c>
      <c r="AZ52" s="103" t="s">
        <v>604</v>
      </c>
      <c r="BA52" s="103" t="s">
        <v>97</v>
      </c>
      <c r="BB52" s="298">
        <v>201657</v>
      </c>
      <c r="BF52" s="249"/>
    </row>
    <row r="53" spans="1:58" ht="12.75">
      <c r="A53" s="3"/>
      <c r="B53" s="12"/>
      <c r="C53" s="3"/>
      <c r="I53" s="11"/>
      <c r="J53" s="11"/>
      <c r="K53" s="11"/>
      <c r="L53" s="11"/>
      <c r="S53" s="11"/>
      <c r="U53" s="2"/>
      <c r="X53" s="2"/>
      <c r="Y53" s="2"/>
      <c r="Z53" s="2"/>
      <c r="AA53" s="2"/>
      <c r="AB53" s="2"/>
      <c r="AY53" s="103" t="s">
        <v>379</v>
      </c>
      <c r="AZ53" s="103" t="s">
        <v>605</v>
      </c>
      <c r="BA53" s="103" t="s">
        <v>97</v>
      </c>
      <c r="BB53" s="298">
        <v>118636</v>
      </c>
      <c r="BF53" s="249"/>
    </row>
    <row r="54" spans="1:58" ht="12.75">
      <c r="A54" s="3"/>
      <c r="B54" s="12"/>
      <c r="C54" s="3"/>
      <c r="I54" s="11"/>
      <c r="J54" s="11"/>
      <c r="K54" s="11"/>
      <c r="L54" s="11"/>
      <c r="S54" s="11"/>
      <c r="U54" s="2"/>
      <c r="X54" s="2"/>
      <c r="Y54" s="2"/>
      <c r="Z54" s="2"/>
      <c r="AA54" s="2"/>
      <c r="AB54" s="2"/>
      <c r="AY54" s="103" t="s">
        <v>400</v>
      </c>
      <c r="AZ54" s="103" t="s">
        <v>606</v>
      </c>
      <c r="BA54" s="103" t="s">
        <v>97</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359</v>
      </c>
      <c r="AZ55" s="103" t="s">
        <v>607</v>
      </c>
      <c r="BA55" s="103" t="s">
        <v>97</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380</v>
      </c>
      <c r="AZ56" s="103" t="s">
        <v>608</v>
      </c>
      <c r="BA56" s="103" t="s">
        <v>97</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387</v>
      </c>
      <c r="AZ57" s="103" t="s">
        <v>609</v>
      </c>
      <c r="BA57" s="103" t="s">
        <v>97</v>
      </c>
      <c r="BB57" s="298">
        <v>359415</v>
      </c>
      <c r="BF57" s="249"/>
    </row>
    <row r="58" spans="1:58" ht="12.75">
      <c r="A58" s="3"/>
      <c r="B58" s="12"/>
      <c r="C58" s="3"/>
      <c r="E58" s="2"/>
      <c r="F58" s="2"/>
      <c r="G58" s="2"/>
      <c r="I58" s="11"/>
      <c r="J58" s="11"/>
      <c r="K58" s="11"/>
      <c r="L58" s="11"/>
      <c r="S58" s="11"/>
      <c r="T58" s="2"/>
      <c r="U58" s="2"/>
      <c r="X58" s="2"/>
      <c r="Y58" s="2"/>
      <c r="Z58" s="2"/>
      <c r="AA58" s="2"/>
      <c r="AB58" s="2"/>
      <c r="AY58" s="103" t="s">
        <v>378</v>
      </c>
      <c r="AZ58" s="103" t="s">
        <v>610</v>
      </c>
      <c r="BA58" s="103" t="s">
        <v>97</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376</v>
      </c>
      <c r="AZ59" s="103" t="s">
        <v>611</v>
      </c>
      <c r="BA59" s="103" t="s">
        <v>97</v>
      </c>
      <c r="BB59" s="298">
        <v>159597</v>
      </c>
      <c r="BE59" s="70"/>
      <c r="BF59" s="236"/>
    </row>
    <row r="60" spans="1:58" ht="12.75">
      <c r="A60" s="3"/>
      <c r="B60" s="12"/>
      <c r="C60" s="3"/>
      <c r="G60" s="2"/>
      <c r="I60" s="11"/>
      <c r="J60" s="11"/>
      <c r="K60" s="11"/>
      <c r="L60" s="11"/>
      <c r="S60" s="11"/>
      <c r="T60" s="2"/>
      <c r="U60" s="2"/>
      <c r="X60" s="2"/>
      <c r="Y60" s="2"/>
      <c r="Z60" s="2"/>
      <c r="AA60" s="2"/>
      <c r="AB60" s="2"/>
      <c r="AY60" s="103" t="s">
        <v>330</v>
      </c>
      <c r="AZ60" s="103" t="s">
        <v>612</v>
      </c>
      <c r="BA60" s="103" t="s">
        <v>97</v>
      </c>
      <c r="BB60" s="298">
        <v>290050</v>
      </c>
      <c r="BE60" s="70"/>
      <c r="BF60" s="236"/>
    </row>
    <row r="61" spans="1:58" ht="12.75">
      <c r="A61" s="3"/>
      <c r="B61" s="12"/>
      <c r="C61" s="3"/>
      <c r="G61" s="2"/>
      <c r="I61" s="11"/>
      <c r="J61" s="2"/>
      <c r="K61" s="2"/>
      <c r="L61" s="2"/>
      <c r="S61" s="2"/>
      <c r="T61" s="2"/>
      <c r="U61" s="2"/>
      <c r="X61" s="2"/>
      <c r="Y61" s="2"/>
      <c r="Z61" s="2"/>
      <c r="AA61" s="2"/>
      <c r="AB61" s="2"/>
      <c r="AY61" s="103" t="s">
        <v>290</v>
      </c>
      <c r="AZ61" s="103" t="s">
        <v>613</v>
      </c>
      <c r="BA61" s="103" t="s">
        <v>97</v>
      </c>
      <c r="BB61" s="298">
        <v>258661</v>
      </c>
      <c r="BE61" s="70"/>
      <c r="BF61" s="236"/>
    </row>
    <row r="62" spans="1:58" ht="12.75">
      <c r="A62" s="3"/>
      <c r="B62" s="12"/>
      <c r="C62" s="3"/>
      <c r="G62" s="2"/>
      <c r="I62" s="11"/>
      <c r="J62" s="2"/>
      <c r="K62" s="2"/>
      <c r="L62" s="2"/>
      <c r="S62" s="2"/>
      <c r="T62" s="2"/>
      <c r="U62" s="2"/>
      <c r="X62" s="2"/>
      <c r="Y62" s="2"/>
      <c r="Z62" s="2"/>
      <c r="AA62" s="2"/>
      <c r="AB62" s="2"/>
      <c r="AY62" s="103" t="s">
        <v>363</v>
      </c>
      <c r="AZ62" s="103" t="s">
        <v>614</v>
      </c>
      <c r="BA62" s="103" t="s">
        <v>97</v>
      </c>
      <c r="BB62" s="298">
        <v>166624</v>
      </c>
      <c r="BE62" s="70"/>
      <c r="BF62" s="236"/>
    </row>
    <row r="63" spans="1:58" ht="12.75">
      <c r="A63" s="3"/>
      <c r="B63" s="12"/>
      <c r="C63" s="3"/>
      <c r="G63" s="2"/>
      <c r="I63" s="11"/>
      <c r="J63" s="2"/>
      <c r="K63" s="2"/>
      <c r="L63" s="2"/>
      <c r="S63" s="2"/>
      <c r="T63" s="2"/>
      <c r="U63" s="2"/>
      <c r="V63" s="13"/>
      <c r="X63" s="2"/>
      <c r="Y63" s="2"/>
      <c r="Z63" s="2"/>
      <c r="AA63" s="2"/>
      <c r="AB63" s="2"/>
      <c r="AY63" s="103" t="s">
        <v>345</v>
      </c>
      <c r="AZ63" s="103" t="s">
        <v>615</v>
      </c>
      <c r="BA63" s="103" t="s">
        <v>97</v>
      </c>
      <c r="BB63" s="298">
        <v>185008</v>
      </c>
      <c r="BE63" s="70"/>
      <c r="BF63" s="236"/>
    </row>
    <row r="64" spans="1:58" ht="12.75">
      <c r="A64" s="3"/>
      <c r="B64" s="12"/>
      <c r="C64" s="3"/>
      <c r="I64" s="11"/>
      <c r="V64" s="3"/>
      <c r="AY64" s="103" t="s">
        <v>374</v>
      </c>
      <c r="AZ64" s="103" t="s">
        <v>616</v>
      </c>
      <c r="BA64" s="103" t="s">
        <v>97</v>
      </c>
      <c r="BB64" s="298">
        <v>166721</v>
      </c>
      <c r="BE64" s="70"/>
      <c r="BF64" s="238"/>
    </row>
    <row r="65" spans="1:58" ht="12.75">
      <c r="A65" s="3"/>
      <c r="B65" s="12"/>
      <c r="C65" s="3"/>
      <c r="AY65" s="103" t="s">
        <v>358</v>
      </c>
      <c r="AZ65" s="103" t="s">
        <v>617</v>
      </c>
      <c r="BA65" s="103" t="s">
        <v>97</v>
      </c>
      <c r="BB65" s="298">
        <v>254708</v>
      </c>
      <c r="BE65" s="70"/>
      <c r="BF65" s="238"/>
    </row>
    <row r="66" spans="1:58" ht="12.75">
      <c r="A66" s="3"/>
      <c r="B66" s="12"/>
      <c r="C66" s="3"/>
      <c r="E66" s="2"/>
      <c r="F66" s="2"/>
      <c r="G66" s="2"/>
      <c r="V66" s="2"/>
      <c r="AY66" s="103" t="s">
        <v>361</v>
      </c>
      <c r="AZ66" s="103" t="s">
        <v>618</v>
      </c>
      <c r="BA66" s="103" t="s">
        <v>97</v>
      </c>
      <c r="BB66" s="298">
        <v>118017</v>
      </c>
      <c r="BE66" s="70"/>
      <c r="BF66" s="236"/>
    </row>
    <row r="67" spans="1:58" ht="12.75">
      <c r="A67" s="3"/>
      <c r="B67" s="12"/>
      <c r="C67" s="3"/>
      <c r="AY67" s="103" t="s">
        <v>355</v>
      </c>
      <c r="AZ67" s="103" t="s">
        <v>619</v>
      </c>
      <c r="BA67" s="103" t="s">
        <v>97</v>
      </c>
      <c r="BB67" s="298">
        <v>565185</v>
      </c>
      <c r="BE67" s="70"/>
      <c r="BF67" s="236"/>
    </row>
    <row r="68" spans="1:58" ht="12.75">
      <c r="A68" s="3"/>
      <c r="B68" s="12"/>
      <c r="C68" s="3"/>
      <c r="AY68" s="103" t="s">
        <v>375</v>
      </c>
      <c r="AZ68" s="103" t="s">
        <v>620</v>
      </c>
      <c r="BA68" s="103" t="s">
        <v>97</v>
      </c>
      <c r="BB68" s="298">
        <v>339389</v>
      </c>
      <c r="BF68" s="249"/>
    </row>
    <row r="69" spans="1:58" ht="12.75">
      <c r="A69" s="3"/>
      <c r="B69" s="12"/>
      <c r="C69" s="3"/>
      <c r="AY69" s="103" t="s">
        <v>388</v>
      </c>
      <c r="AZ69" s="103" t="s">
        <v>621</v>
      </c>
      <c r="BA69" s="103" t="s">
        <v>97</v>
      </c>
      <c r="BB69" s="298">
        <v>352792</v>
      </c>
      <c r="BE69" s="70"/>
      <c r="BF69" s="238"/>
    </row>
    <row r="70" spans="1:58" ht="12.75">
      <c r="A70" s="3"/>
      <c r="B70" s="12"/>
      <c r="C70" s="3"/>
      <c r="AY70" s="103" t="s">
        <v>395</v>
      </c>
      <c r="AZ70" s="103" t="s">
        <v>622</v>
      </c>
      <c r="BA70" s="103" t="s">
        <v>97</v>
      </c>
      <c r="BB70" s="298">
        <v>241613</v>
      </c>
      <c r="BE70" s="70"/>
      <c r="BF70" s="236"/>
    </row>
    <row r="71" spans="1:58" ht="12.75">
      <c r="A71" s="3"/>
      <c r="B71" s="12"/>
      <c r="C71" s="3"/>
      <c r="AY71" s="103" t="s">
        <v>438</v>
      </c>
      <c r="AZ71" s="103" t="s">
        <v>623</v>
      </c>
      <c r="BA71" s="103" t="s">
        <v>97</v>
      </c>
      <c r="BB71" s="298">
        <v>67686</v>
      </c>
      <c r="BE71" s="70"/>
      <c r="BF71" s="236"/>
    </row>
    <row r="72" spans="1:58" ht="12.75">
      <c r="A72" s="3"/>
      <c r="B72" s="12"/>
      <c r="C72" s="3"/>
      <c r="AY72" s="103" t="s">
        <v>391</v>
      </c>
      <c r="AZ72" s="103" t="s">
        <v>624</v>
      </c>
      <c r="BA72" s="103" t="s">
        <v>97</v>
      </c>
      <c r="BB72" s="298">
        <v>314664</v>
      </c>
      <c r="BE72" s="247"/>
      <c r="BF72" s="236"/>
    </row>
    <row r="73" spans="1:58" ht="12.75">
      <c r="A73" s="3"/>
      <c r="B73" s="12"/>
      <c r="C73" s="3"/>
      <c r="AY73" s="103" t="s">
        <v>357</v>
      </c>
      <c r="AZ73" s="103" t="s">
        <v>625</v>
      </c>
      <c r="BA73" s="103" t="s">
        <v>97</v>
      </c>
      <c r="BB73" s="298">
        <v>97292</v>
      </c>
      <c r="BE73" s="70"/>
      <c r="BF73" s="236"/>
    </row>
    <row r="74" spans="1:58" ht="12.75">
      <c r="A74" s="3"/>
      <c r="B74" s="12"/>
      <c r="C74" s="3"/>
      <c r="AY74" s="103" t="s">
        <v>390</v>
      </c>
      <c r="AZ74" s="103" t="s">
        <v>626</v>
      </c>
      <c r="BA74" s="103" t="s">
        <v>97</v>
      </c>
      <c r="BB74" s="298">
        <v>102317</v>
      </c>
      <c r="BE74" s="70"/>
      <c r="BF74" s="238"/>
    </row>
    <row r="75" spans="1:58" ht="12.75">
      <c r="A75" s="3"/>
      <c r="B75" s="12"/>
      <c r="C75" s="3"/>
      <c r="AY75" s="103" t="s">
        <v>302</v>
      </c>
      <c r="AZ75" s="103" t="s">
        <v>627</v>
      </c>
      <c r="BA75" s="103" t="s">
        <v>97</v>
      </c>
      <c r="BB75" s="298">
        <v>371595</v>
      </c>
      <c r="BE75" s="70"/>
      <c r="BF75" s="238"/>
    </row>
    <row r="76" spans="1:58" ht="12.75">
      <c r="A76" s="3"/>
      <c r="B76" s="12"/>
      <c r="C76" s="3"/>
      <c r="AY76" s="103" t="s">
        <v>393</v>
      </c>
      <c r="AZ76" s="103" t="s">
        <v>628</v>
      </c>
      <c r="BA76" s="103" t="s">
        <v>97</v>
      </c>
      <c r="BB76" s="298">
        <v>226047</v>
      </c>
      <c r="BE76" s="70"/>
      <c r="BF76" s="238"/>
    </row>
    <row r="77" spans="1:58" ht="12.75">
      <c r="A77" s="3"/>
      <c r="B77" s="12"/>
      <c r="C77" s="3"/>
      <c r="AY77" s="103" t="s">
        <v>349</v>
      </c>
      <c r="AZ77" s="103" t="s">
        <v>629</v>
      </c>
      <c r="BA77" s="103" t="s">
        <v>97</v>
      </c>
      <c r="BB77" s="298">
        <v>183762</v>
      </c>
      <c r="BE77" s="70"/>
      <c r="BF77" s="246"/>
    </row>
    <row r="78" spans="1:58" ht="12.75">
      <c r="A78" s="3"/>
      <c r="B78" s="12"/>
      <c r="C78" s="3"/>
      <c r="AY78" s="103" t="s">
        <v>367</v>
      </c>
      <c r="AZ78" s="103" t="s">
        <v>630</v>
      </c>
      <c r="BA78" s="103" t="s">
        <v>97</v>
      </c>
      <c r="BB78" s="298">
        <v>265437</v>
      </c>
      <c r="BE78" s="70"/>
      <c r="BF78" s="236"/>
    </row>
    <row r="79" spans="1:58" ht="12.75">
      <c r="A79" s="3"/>
      <c r="B79" s="12"/>
      <c r="C79" s="3"/>
      <c r="AY79" s="103" t="s">
        <v>292</v>
      </c>
      <c r="AZ79" s="103" t="s">
        <v>631</v>
      </c>
      <c r="BA79" s="103" t="s">
        <v>97</v>
      </c>
      <c r="BB79" s="298">
        <v>628635</v>
      </c>
      <c r="BF79" s="236"/>
    </row>
    <row r="80" spans="1:58" ht="12.75">
      <c r="A80" s="3"/>
      <c r="B80" s="12"/>
      <c r="C80" s="3"/>
      <c r="AY80" s="103" t="s">
        <v>399</v>
      </c>
      <c r="AZ80" s="103" t="s">
        <v>632</v>
      </c>
      <c r="BA80" s="103" t="s">
        <v>97</v>
      </c>
      <c r="BB80" s="298">
        <v>128014</v>
      </c>
      <c r="BF80" s="249"/>
    </row>
    <row r="81" spans="1:58" ht="12.75">
      <c r="A81" s="3"/>
      <c r="B81" s="12"/>
      <c r="C81" s="3"/>
      <c r="AY81" s="103" t="s">
        <v>389</v>
      </c>
      <c r="AZ81" s="103" t="s">
        <v>633</v>
      </c>
      <c r="BA81" s="103" t="s">
        <v>97</v>
      </c>
      <c r="BB81" s="298">
        <v>262238</v>
      </c>
      <c r="BF81" s="249"/>
    </row>
    <row r="82" spans="1:58" ht="12.75">
      <c r="A82" s="3"/>
      <c r="B82" s="12"/>
      <c r="C82" s="3"/>
      <c r="AY82" s="103" t="s">
        <v>398</v>
      </c>
      <c r="AZ82" s="103" t="s">
        <v>634</v>
      </c>
      <c r="BA82" s="103" t="s">
        <v>97</v>
      </c>
      <c r="BB82" s="298">
        <v>342743</v>
      </c>
      <c r="BF82" s="249"/>
    </row>
    <row r="83" spans="1:58" ht="12.75">
      <c r="A83" s="3"/>
      <c r="B83" s="12"/>
      <c r="C83" s="3"/>
      <c r="AY83" s="103" t="s">
        <v>291</v>
      </c>
      <c r="AZ83" s="103" t="s">
        <v>635</v>
      </c>
      <c r="BA83" s="103" t="s">
        <v>97</v>
      </c>
      <c r="BB83" s="298">
        <v>144732</v>
      </c>
      <c r="BE83" s="70"/>
      <c r="BF83" s="238"/>
    </row>
    <row r="84" spans="1:58" ht="12.75">
      <c r="A84" s="3"/>
      <c r="B84" s="12"/>
      <c r="C84" s="3"/>
      <c r="AY84" s="103" t="s">
        <v>397</v>
      </c>
      <c r="AZ84" s="103" t="s">
        <v>636</v>
      </c>
      <c r="BA84" s="103" t="s">
        <v>97</v>
      </c>
      <c r="BB84" s="298">
        <v>93461</v>
      </c>
      <c r="BE84" s="70"/>
      <c r="BF84" s="238"/>
    </row>
    <row r="85" spans="1:58" ht="12.75">
      <c r="A85" s="3"/>
      <c r="B85" s="12"/>
      <c r="C85" s="3"/>
      <c r="AY85" s="103" t="s">
        <v>392</v>
      </c>
      <c r="AZ85" s="103" t="s">
        <v>637</v>
      </c>
      <c r="BA85" s="103" t="s">
        <v>97</v>
      </c>
      <c r="BB85" s="298">
        <v>121763</v>
      </c>
      <c r="BE85" s="70"/>
      <c r="BF85" s="238"/>
    </row>
    <row r="86" spans="1:58" ht="12.75">
      <c r="A86" s="3"/>
      <c r="B86" s="12"/>
      <c r="C86" s="3"/>
      <c r="AY86" s="103" t="s">
        <v>341</v>
      </c>
      <c r="AZ86" s="103" t="s">
        <v>638</v>
      </c>
      <c r="BA86" s="103" t="s">
        <v>97</v>
      </c>
      <c r="BB86" s="298">
        <v>129209</v>
      </c>
      <c r="BE86" s="70"/>
      <c r="BF86" s="246"/>
    </row>
    <row r="87" spans="1:58" ht="12.75">
      <c r="A87" s="3"/>
      <c r="B87" s="12"/>
      <c r="C87" s="3"/>
      <c r="AY87" s="103" t="s">
        <v>344</v>
      </c>
      <c r="AZ87" s="103" t="s">
        <v>639</v>
      </c>
      <c r="BA87" s="103" t="s">
        <v>97</v>
      </c>
      <c r="BB87" s="298">
        <v>522776</v>
      </c>
      <c r="BE87" s="70"/>
      <c r="BF87" s="246"/>
    </row>
    <row r="88" spans="1:58" ht="12.75">
      <c r="A88" s="3"/>
      <c r="B88" s="12"/>
      <c r="C88" s="3"/>
      <c r="AY88" s="103" t="s">
        <v>313</v>
      </c>
      <c r="AZ88" s="103" t="s">
        <v>640</v>
      </c>
      <c r="BA88" s="103" t="s">
        <v>97</v>
      </c>
      <c r="BB88" s="298">
        <v>368905</v>
      </c>
      <c r="BE88" s="70"/>
      <c r="BF88" s="238"/>
    </row>
    <row r="89" spans="1:58" ht="12.75">
      <c r="A89" s="3"/>
      <c r="B89" s="12"/>
      <c r="C89" s="3"/>
      <c r="AY89" s="103" t="s">
        <v>239</v>
      </c>
      <c r="AZ89" s="103" t="s">
        <v>641</v>
      </c>
      <c r="BA89" s="103" t="s">
        <v>97</v>
      </c>
      <c r="BB89" s="298">
        <v>239319</v>
      </c>
      <c r="BE89" s="70"/>
      <c r="BF89" s="238"/>
    </row>
    <row r="90" spans="1:58" ht="12.75">
      <c r="A90" s="3"/>
      <c r="B90" s="12"/>
      <c r="C90" s="3"/>
      <c r="AY90" s="103" t="s">
        <v>242</v>
      </c>
      <c r="AZ90" s="103" t="s">
        <v>642</v>
      </c>
      <c r="BA90" s="103" t="s">
        <v>97</v>
      </c>
      <c r="BB90" s="298">
        <v>131791</v>
      </c>
      <c r="BE90" s="70"/>
      <c r="BF90" s="238"/>
    </row>
    <row r="91" spans="1:58" ht="12.75">
      <c r="A91" s="3"/>
      <c r="B91" s="12"/>
      <c r="C91" s="3"/>
      <c r="AY91" s="103" t="s">
        <v>250</v>
      </c>
      <c r="AZ91" s="103" t="s">
        <v>643</v>
      </c>
      <c r="BA91" s="103" t="s">
        <v>97</v>
      </c>
      <c r="BB91" s="298">
        <v>461070</v>
      </c>
      <c r="BE91" s="244"/>
      <c r="BF91" s="246"/>
    </row>
    <row r="92" spans="1:58" ht="12.75">
      <c r="A92" s="3"/>
      <c r="B92" s="12"/>
      <c r="C92" s="3"/>
      <c r="AY92" s="103" t="s">
        <v>254</v>
      </c>
      <c r="AZ92" s="103" t="s">
        <v>644</v>
      </c>
      <c r="BA92" s="103" t="s">
        <v>97</v>
      </c>
      <c r="BB92" s="298">
        <v>312763</v>
      </c>
      <c r="BE92" s="244"/>
      <c r="BF92" s="246"/>
    </row>
    <row r="93" spans="1:58" ht="12.75">
      <c r="A93" s="3"/>
      <c r="B93" s="12"/>
      <c r="C93" s="3"/>
      <c r="AY93" s="103" t="s">
        <v>247</v>
      </c>
      <c r="AZ93" s="103" t="s">
        <v>645</v>
      </c>
      <c r="BA93" s="103" t="s">
        <v>97</v>
      </c>
      <c r="BB93" s="298">
        <v>133795</v>
      </c>
      <c r="BF93" s="249"/>
    </row>
    <row r="94" spans="1:58" ht="12.75">
      <c r="A94" s="3"/>
      <c r="B94" s="12"/>
      <c r="C94" s="3"/>
      <c r="AY94" s="103" t="s">
        <v>236</v>
      </c>
      <c r="AZ94" s="103" t="s">
        <v>646</v>
      </c>
      <c r="BA94" s="103" t="s">
        <v>97</v>
      </c>
      <c r="BB94" s="298">
        <v>181868</v>
      </c>
      <c r="BE94" s="70"/>
      <c r="BF94" s="238"/>
    </row>
    <row r="95" spans="1:58" ht="12.75">
      <c r="A95" s="3"/>
      <c r="B95" s="12"/>
      <c r="C95" s="3"/>
      <c r="AY95" s="103" t="s">
        <v>244</v>
      </c>
      <c r="AZ95" s="103" t="s">
        <v>647</v>
      </c>
      <c r="BA95" s="103" t="s">
        <v>97</v>
      </c>
      <c r="BB95" s="298">
        <v>204306</v>
      </c>
      <c r="BE95" s="244"/>
      <c r="BF95" s="246"/>
    </row>
    <row r="96" spans="1:58" ht="12.75">
      <c r="A96" s="3"/>
      <c r="B96" s="12"/>
      <c r="C96" s="3"/>
      <c r="AY96" s="103" t="s">
        <v>248</v>
      </c>
      <c r="AZ96" s="103" t="s">
        <v>648</v>
      </c>
      <c r="BA96" s="103" t="s">
        <v>97</v>
      </c>
      <c r="BB96" s="298">
        <v>183653</v>
      </c>
      <c r="BE96" s="240"/>
      <c r="BF96" s="235"/>
    </row>
    <row r="97" spans="1:58" ht="12.75">
      <c r="A97" s="3"/>
      <c r="B97" s="12"/>
      <c r="C97" s="3"/>
      <c r="AY97" s="103" t="s">
        <v>235</v>
      </c>
      <c r="AZ97" s="103" t="s">
        <v>649</v>
      </c>
      <c r="BA97" s="103" t="s">
        <v>97</v>
      </c>
      <c r="BB97" s="298">
        <v>171390</v>
      </c>
      <c r="BE97" s="240"/>
      <c r="BF97" s="235"/>
    </row>
    <row r="98" spans="1:58" ht="12.75">
      <c r="A98" s="3"/>
      <c r="B98" s="12"/>
      <c r="C98" s="3"/>
      <c r="AY98" s="103" t="s">
        <v>252</v>
      </c>
      <c r="AZ98" s="103" t="s">
        <v>650</v>
      </c>
      <c r="BA98" s="103" t="s">
        <v>97</v>
      </c>
      <c r="BB98" s="298">
        <v>530073</v>
      </c>
      <c r="BE98" s="245"/>
      <c r="BF98" s="238"/>
    </row>
    <row r="99" spans="1:58" ht="12.75">
      <c r="A99" s="3"/>
      <c r="B99" s="12"/>
      <c r="C99" s="3"/>
      <c r="AY99" s="103" t="s">
        <v>241</v>
      </c>
      <c r="AZ99" s="103" t="s">
        <v>651</v>
      </c>
      <c r="BA99" s="103" t="s">
        <v>97</v>
      </c>
      <c r="BB99" s="298">
        <v>296370</v>
      </c>
      <c r="BE99" s="70"/>
      <c r="BF99" s="246"/>
    </row>
    <row r="100" spans="1:58" ht="12.75">
      <c r="A100" s="3"/>
      <c r="B100" s="12"/>
      <c r="C100" s="3"/>
      <c r="AY100" s="103" t="s">
        <v>253</v>
      </c>
      <c r="AZ100" s="103" t="s">
        <v>652</v>
      </c>
      <c r="BA100" s="103" t="s">
        <v>97</v>
      </c>
      <c r="BB100" s="298">
        <v>235280</v>
      </c>
      <c r="BE100" s="70"/>
      <c r="BF100" s="246"/>
    </row>
    <row r="101" spans="51:58" ht="12.75">
      <c r="AY101" s="103" t="s">
        <v>245</v>
      </c>
      <c r="AZ101" s="103" t="s">
        <v>653</v>
      </c>
      <c r="BA101" s="103" t="s">
        <v>97</v>
      </c>
      <c r="BB101" s="298">
        <v>208299</v>
      </c>
      <c r="BE101" s="234"/>
      <c r="BF101" s="235"/>
    </row>
    <row r="102" spans="51:58" ht="12.75">
      <c r="AY102" s="103" t="s">
        <v>249</v>
      </c>
      <c r="AZ102" s="103" t="s">
        <v>654</v>
      </c>
      <c r="BA102" s="103" t="s">
        <v>97</v>
      </c>
      <c r="BB102" s="298">
        <v>271512</v>
      </c>
      <c r="BE102" s="234"/>
      <c r="BF102" s="235"/>
    </row>
    <row r="103" spans="51:58" ht="12.75">
      <c r="AY103" s="103" t="s">
        <v>237</v>
      </c>
      <c r="AZ103" s="103" t="s">
        <v>655</v>
      </c>
      <c r="BA103" s="103" t="s">
        <v>97</v>
      </c>
      <c r="BB103" s="298">
        <v>292433</v>
      </c>
      <c r="BE103" s="70"/>
      <c r="BF103" s="236"/>
    </row>
    <row r="104" spans="51:58" ht="12.75">
      <c r="AY104" s="103" t="s">
        <v>246</v>
      </c>
      <c r="AZ104" s="103" t="s">
        <v>656</v>
      </c>
      <c r="BA104" s="103" t="s">
        <v>97</v>
      </c>
      <c r="BB104" s="298">
        <v>144593</v>
      </c>
      <c r="BF104" s="249"/>
    </row>
    <row r="105" spans="51:58" ht="12.75">
      <c r="AY105" s="103" t="s">
        <v>243</v>
      </c>
      <c r="AZ105" s="103" t="s">
        <v>657</v>
      </c>
      <c r="BA105" s="103" t="s">
        <v>97</v>
      </c>
      <c r="BB105" s="298">
        <v>278090</v>
      </c>
      <c r="BE105" s="234"/>
      <c r="BF105" s="235"/>
    </row>
    <row r="106" spans="51:58" ht="12.75">
      <c r="AY106" s="103" t="s">
        <v>240</v>
      </c>
      <c r="AZ106" s="103" t="s">
        <v>658</v>
      </c>
      <c r="BA106" s="103" t="s">
        <v>97</v>
      </c>
      <c r="BB106" s="298">
        <v>172024</v>
      </c>
      <c r="BF106" s="249"/>
    </row>
    <row r="107" spans="51:58" ht="12.75">
      <c r="AY107" s="103" t="s">
        <v>255</v>
      </c>
      <c r="AZ107" s="103" t="s">
        <v>659</v>
      </c>
      <c r="BA107" s="103" t="s">
        <v>97</v>
      </c>
      <c r="BB107" s="298">
        <v>268758</v>
      </c>
      <c r="BF107" s="249"/>
    </row>
    <row r="108" spans="51:58" ht="12.75">
      <c r="AY108" s="103" t="s">
        <v>256</v>
      </c>
      <c r="AZ108" s="103" t="s">
        <v>660</v>
      </c>
      <c r="BA108" s="103" t="s">
        <v>97</v>
      </c>
      <c r="BB108" s="298">
        <v>260354</v>
      </c>
      <c r="BE108" s="70"/>
      <c r="BF108" s="236"/>
    </row>
    <row r="109" spans="51:58" ht="12.75">
      <c r="AY109" s="103" t="s">
        <v>238</v>
      </c>
      <c r="AZ109" s="103" t="s">
        <v>661</v>
      </c>
      <c r="BA109" s="103" t="s">
        <v>97</v>
      </c>
      <c r="BB109" s="298">
        <v>112154</v>
      </c>
      <c r="BE109" s="234"/>
      <c r="BF109" s="235"/>
    </row>
    <row r="110" spans="51:58" ht="12.75">
      <c r="AY110" s="103" t="s">
        <v>314</v>
      </c>
      <c r="AZ110" s="103" t="s">
        <v>662</v>
      </c>
      <c r="BA110" s="103" t="s">
        <v>97</v>
      </c>
      <c r="BB110" s="298">
        <v>430680</v>
      </c>
      <c r="BE110" s="70"/>
      <c r="BF110" s="246"/>
    </row>
    <row r="111" spans="51:58" ht="12.75">
      <c r="AY111" s="103" t="s">
        <v>307</v>
      </c>
      <c r="AZ111" s="103" t="s">
        <v>663</v>
      </c>
      <c r="BA111" s="103" t="s">
        <v>97</v>
      </c>
      <c r="BB111" s="298">
        <v>861759</v>
      </c>
      <c r="BE111" s="70"/>
      <c r="BF111" s="236"/>
    </row>
    <row r="112" spans="51:58" ht="12.75">
      <c r="AY112" s="103" t="s">
        <v>401</v>
      </c>
      <c r="AZ112" s="103" t="s">
        <v>664</v>
      </c>
      <c r="BA112" s="103" t="s">
        <v>97</v>
      </c>
      <c r="BB112" s="298">
        <v>563052</v>
      </c>
      <c r="BE112" s="247"/>
      <c r="BF112" s="246"/>
    </row>
    <row r="113" spans="51:58" ht="12.75">
      <c r="AY113" s="103" t="s">
        <v>343</v>
      </c>
      <c r="AZ113" s="103" t="s">
        <v>665</v>
      </c>
      <c r="BA113" s="103" t="s">
        <v>97</v>
      </c>
      <c r="BB113" s="298">
        <v>387143</v>
      </c>
      <c r="BE113" s="70"/>
      <c r="BF113" s="238"/>
    </row>
    <row r="114" spans="51:58" ht="12.75">
      <c r="AY114" s="103" t="s">
        <v>304</v>
      </c>
      <c r="AZ114" s="103" t="s">
        <v>666</v>
      </c>
      <c r="BA114" s="103" t="s">
        <v>97</v>
      </c>
      <c r="BB114" s="298">
        <v>230830</v>
      </c>
      <c r="BF114" s="238"/>
    </row>
    <row r="115" spans="51:58" ht="12.75">
      <c r="AY115" s="103" t="s">
        <v>336</v>
      </c>
      <c r="AZ115" s="103" t="s">
        <v>667</v>
      </c>
      <c r="BA115" s="103" t="s">
        <v>97</v>
      </c>
      <c r="BB115" s="298">
        <v>597224</v>
      </c>
      <c r="BE115" s="245"/>
      <c r="BF115" s="238"/>
    </row>
    <row r="116" spans="51:58" ht="12.75">
      <c r="AY116" s="103" t="s">
        <v>351</v>
      </c>
      <c r="AZ116" s="103" t="s">
        <v>668</v>
      </c>
      <c r="BA116" s="103" t="s">
        <v>97</v>
      </c>
      <c r="BB116" s="298">
        <v>213020</v>
      </c>
      <c r="BE116" s="70"/>
      <c r="BF116" s="236"/>
    </row>
    <row r="117" spans="51:58" ht="12.75">
      <c r="AY117" s="103" t="s">
        <v>317</v>
      </c>
      <c r="AZ117" s="103" t="s">
        <v>669</v>
      </c>
      <c r="BA117" s="103" t="s">
        <v>97</v>
      </c>
      <c r="BB117" s="298">
        <v>379032</v>
      </c>
      <c r="BE117" s="234"/>
      <c r="BF117" s="235"/>
    </row>
    <row r="118" spans="51:58" ht="12.75">
      <c r="AY118" s="103" t="s">
        <v>326</v>
      </c>
      <c r="AZ118" s="103" t="s">
        <v>670</v>
      </c>
      <c r="BA118" s="103" t="s">
        <v>97</v>
      </c>
      <c r="BB118" s="298">
        <v>327531</v>
      </c>
      <c r="BE118" s="70"/>
      <c r="BF118" s="236"/>
    </row>
    <row r="119" spans="51:58" ht="12.75">
      <c r="AY119" s="103" t="s">
        <v>402</v>
      </c>
      <c r="AZ119" s="103" t="s">
        <v>671</v>
      </c>
      <c r="BA119" s="103" t="s">
        <v>97</v>
      </c>
      <c r="BB119" s="298">
        <v>167483</v>
      </c>
      <c r="BE119" s="70"/>
      <c r="BF119" s="236"/>
    </row>
    <row r="120" spans="51:58" ht="12.75">
      <c r="AY120" s="103" t="s">
        <v>404</v>
      </c>
      <c r="AZ120" s="103" t="s">
        <v>672</v>
      </c>
      <c r="BA120" s="103" t="s">
        <v>97</v>
      </c>
      <c r="BB120" s="298">
        <v>204270</v>
      </c>
      <c r="BE120" s="70"/>
      <c r="BF120" s="236"/>
    </row>
    <row r="121" spans="51:58" ht="12.75">
      <c r="AY121" s="103" t="s">
        <v>403</v>
      </c>
      <c r="AZ121" s="103" t="s">
        <v>673</v>
      </c>
      <c r="BA121" s="103" t="s">
        <v>97</v>
      </c>
      <c r="BB121" s="298">
        <v>220178</v>
      </c>
      <c r="BE121" s="234"/>
      <c r="BF121" s="235"/>
    </row>
    <row r="122" spans="51:58" ht="12.75">
      <c r="AY122" s="103" t="s">
        <v>293</v>
      </c>
      <c r="AZ122" s="103" t="s">
        <v>674</v>
      </c>
      <c r="BA122" s="103" t="s">
        <v>97</v>
      </c>
      <c r="BB122" s="298">
        <v>151526</v>
      </c>
      <c r="BE122" s="70"/>
      <c r="BF122" s="246"/>
    </row>
    <row r="123" spans="51:58" ht="12.75">
      <c r="AY123" s="103" t="s">
        <v>316</v>
      </c>
      <c r="AZ123" s="103" t="s">
        <v>675</v>
      </c>
      <c r="BA123" s="103" t="s">
        <v>97</v>
      </c>
      <c r="BB123" s="298">
        <v>291230</v>
      </c>
      <c r="BF123" s="249"/>
    </row>
    <row r="124" spans="51:58" ht="12.75">
      <c r="AY124" s="103" t="s">
        <v>318</v>
      </c>
      <c r="AZ124" s="103" t="s">
        <v>676</v>
      </c>
      <c r="BA124" s="103" t="s">
        <v>97</v>
      </c>
      <c r="BB124" s="298">
        <v>164506</v>
      </c>
      <c r="BF124" s="249"/>
    </row>
    <row r="125" spans="51:58" ht="12.75">
      <c r="AY125" s="103" t="s">
        <v>327</v>
      </c>
      <c r="AZ125" s="103" t="s">
        <v>677</v>
      </c>
      <c r="BA125" s="103" t="s">
        <v>97</v>
      </c>
      <c r="BB125" s="298">
        <v>235721</v>
      </c>
      <c r="BE125" s="70"/>
      <c r="BF125" s="246"/>
    </row>
    <row r="126" spans="51:58" ht="12.75">
      <c r="AY126" s="103" t="s">
        <v>339</v>
      </c>
      <c r="AZ126" s="103" t="s">
        <v>678</v>
      </c>
      <c r="BA126" s="103" t="s">
        <v>97</v>
      </c>
      <c r="BB126" s="298">
        <v>201601</v>
      </c>
      <c r="BE126" s="70"/>
      <c r="BF126" s="236"/>
    </row>
    <row r="127" spans="51:58" ht="12.75">
      <c r="AY127" s="103" t="s">
        <v>301</v>
      </c>
      <c r="AZ127" s="103" t="s">
        <v>679</v>
      </c>
      <c r="BA127" s="103" t="s">
        <v>97</v>
      </c>
      <c r="BB127" s="298">
        <v>376153</v>
      </c>
      <c r="BF127" s="249"/>
    </row>
    <row r="128" spans="51:58" ht="12.75">
      <c r="AY128" s="103" t="s">
        <v>414</v>
      </c>
      <c r="AZ128" s="103" t="s">
        <v>680</v>
      </c>
      <c r="BA128" s="103" t="s">
        <v>97</v>
      </c>
      <c r="BB128" s="298">
        <v>228448</v>
      </c>
      <c r="BE128" s="247"/>
      <c r="BF128" s="246"/>
    </row>
    <row r="129" spans="51:58" ht="12.75">
      <c r="AY129" s="103" t="s">
        <v>310</v>
      </c>
      <c r="AZ129" s="103" t="s">
        <v>681</v>
      </c>
      <c r="BA129" s="103" t="s">
        <v>97</v>
      </c>
      <c r="BB129" s="298">
        <v>328780</v>
      </c>
      <c r="BE129" s="70"/>
      <c r="BF129" s="246"/>
    </row>
    <row r="130" spans="51:58" ht="12.75">
      <c r="AY130" s="103" t="s">
        <v>415</v>
      </c>
      <c r="AZ130" s="103" t="s">
        <v>682</v>
      </c>
      <c r="BA130" s="103" t="s">
        <v>97</v>
      </c>
      <c r="BB130" s="298">
        <v>314214</v>
      </c>
      <c r="BE130" s="70"/>
      <c r="BF130" s="246"/>
    </row>
    <row r="131" spans="51:58" ht="12.75">
      <c r="AY131" s="103" t="s">
        <v>406</v>
      </c>
      <c r="AZ131" s="103" t="s">
        <v>683</v>
      </c>
      <c r="BA131" s="103" t="s">
        <v>97</v>
      </c>
      <c r="BB131" s="298">
        <v>253416</v>
      </c>
      <c r="BE131" s="244"/>
      <c r="BF131" s="246"/>
    </row>
    <row r="132" spans="51:58" ht="12.75">
      <c r="AY132" s="103" t="s">
        <v>322</v>
      </c>
      <c r="AZ132" s="103" t="s">
        <v>684</v>
      </c>
      <c r="BA132" s="103" t="s">
        <v>97</v>
      </c>
      <c r="BB132" s="298">
        <v>285838</v>
      </c>
      <c r="BE132" s="244"/>
      <c r="BF132" s="246"/>
    </row>
    <row r="133" spans="51:58" ht="12.75">
      <c r="AY133" s="103" t="s">
        <v>424</v>
      </c>
      <c r="AZ133" s="103" t="s">
        <v>685</v>
      </c>
      <c r="BA133" s="103" t="s">
        <v>97</v>
      </c>
      <c r="BB133" s="298">
        <v>379319</v>
      </c>
      <c r="BE133" s="244"/>
      <c r="BF133" s="248"/>
    </row>
    <row r="134" spans="51:58" ht="12.75">
      <c r="AY134" s="103" t="s">
        <v>338</v>
      </c>
      <c r="AZ134" s="103" t="s">
        <v>686</v>
      </c>
      <c r="BA134" s="103" t="s">
        <v>97</v>
      </c>
      <c r="BB134" s="298">
        <v>386580</v>
      </c>
      <c r="BE134" s="240"/>
      <c r="BF134" s="235"/>
    </row>
    <row r="135" spans="51:58" ht="12.75">
      <c r="AY135" s="103" t="s">
        <v>294</v>
      </c>
      <c r="AZ135" s="103" t="s">
        <v>687</v>
      </c>
      <c r="BA135" t="s">
        <v>97</v>
      </c>
      <c r="BB135" s="298">
        <v>287939</v>
      </c>
      <c r="BE135" s="247"/>
      <c r="BF135" s="246"/>
    </row>
    <row r="136" spans="51:58" ht="12.75">
      <c r="AY136" s="103" t="s">
        <v>362</v>
      </c>
      <c r="AZ136" s="103" t="s">
        <v>688</v>
      </c>
      <c r="BA136" s="103" t="s">
        <v>97</v>
      </c>
      <c r="BB136" s="298">
        <v>278666</v>
      </c>
      <c r="BE136" s="234"/>
      <c r="BF136" s="235"/>
    </row>
    <row r="137" spans="51:58" ht="12.75">
      <c r="AY137" s="103" t="s">
        <v>350</v>
      </c>
      <c r="AZ137" s="103" t="s">
        <v>689</v>
      </c>
      <c r="BA137" s="103" t="s">
        <v>97</v>
      </c>
      <c r="BB137" s="298">
        <v>274754</v>
      </c>
      <c r="BF137" s="249"/>
    </row>
    <row r="138" spans="51:58" ht="12.75">
      <c r="AY138" s="103" t="s">
        <v>368</v>
      </c>
      <c r="AZ138" s="103" t="s">
        <v>690</v>
      </c>
      <c r="BA138" s="103" t="s">
        <v>97</v>
      </c>
      <c r="BB138" s="298">
        <v>194613</v>
      </c>
      <c r="BE138" s="70"/>
      <c r="BF138" s="236"/>
    </row>
    <row r="139" spans="51:58" ht="12.75">
      <c r="AY139" s="103" t="s">
        <v>342</v>
      </c>
      <c r="AZ139" s="103" t="s">
        <v>691</v>
      </c>
      <c r="BA139" s="103" t="s">
        <v>97</v>
      </c>
      <c r="BB139" s="298">
        <v>260695</v>
      </c>
      <c r="BE139" s="234"/>
      <c r="BF139" s="235"/>
    </row>
    <row r="140" spans="51:58" ht="12.75">
      <c r="AY140" s="103" t="s">
        <v>405</v>
      </c>
      <c r="AZ140" s="103" t="s">
        <v>692</v>
      </c>
      <c r="BA140" s="103" t="s">
        <v>97</v>
      </c>
      <c r="BB140" s="298">
        <v>224682</v>
      </c>
      <c r="BE140" s="70"/>
      <c r="BF140" s="236"/>
    </row>
    <row r="141" spans="51:58" ht="12.75">
      <c r="AY141" s="103" t="s">
        <v>305</v>
      </c>
      <c r="AZ141" s="103" t="s">
        <v>693</v>
      </c>
      <c r="BA141" s="103" t="s">
        <v>97</v>
      </c>
      <c r="BB141" s="298">
        <v>256079</v>
      </c>
      <c r="BE141" s="70"/>
      <c r="BF141" s="236"/>
    </row>
    <row r="142" spans="51:58" ht="12.75">
      <c r="AY142" s="103" t="s">
        <v>321</v>
      </c>
      <c r="AZ142" s="103" t="s">
        <v>694</v>
      </c>
      <c r="BA142" s="103" t="s">
        <v>97</v>
      </c>
      <c r="BB142" s="298">
        <v>280503</v>
      </c>
      <c r="BE142" s="70"/>
      <c r="BF142" s="238"/>
    </row>
    <row r="143" spans="51:58" ht="12.75">
      <c r="AY143" s="103" t="s">
        <v>333</v>
      </c>
      <c r="AZ143" s="103" t="s">
        <v>695</v>
      </c>
      <c r="BA143" s="103" t="s">
        <v>97</v>
      </c>
      <c r="BB143" s="298">
        <v>219251</v>
      </c>
      <c r="BE143" s="70"/>
      <c r="BF143" s="246"/>
    </row>
    <row r="144" spans="51:58" ht="12.75">
      <c r="AY144" s="103" t="s">
        <v>352</v>
      </c>
      <c r="AZ144" s="103" t="s">
        <v>696</v>
      </c>
      <c r="BA144" s="103" t="s">
        <v>97</v>
      </c>
      <c r="BB144" s="298">
        <v>187383</v>
      </c>
      <c r="BE144" s="70"/>
      <c r="BF144" s="238"/>
    </row>
    <row r="145" spans="51:58" ht="12.75">
      <c r="AY145" s="103" t="s">
        <v>289</v>
      </c>
      <c r="AZ145" s="103" t="s">
        <v>697</v>
      </c>
      <c r="BA145" s="103" t="s">
        <v>97</v>
      </c>
      <c r="BB145" s="298">
        <v>374678</v>
      </c>
      <c r="BE145" s="245"/>
      <c r="BF145" s="246"/>
    </row>
    <row r="146" spans="51:58" ht="12.75">
      <c r="AY146" s="103" t="s">
        <v>416</v>
      </c>
      <c r="AZ146" s="103" t="s">
        <v>698</v>
      </c>
      <c r="BA146" s="103" t="s">
        <v>97</v>
      </c>
      <c r="BB146" s="298">
        <v>299563</v>
      </c>
      <c r="BF146" s="249"/>
    </row>
    <row r="147" spans="51:58" ht="12.75">
      <c r="AY147" s="103" t="s">
        <v>312</v>
      </c>
      <c r="AZ147" s="103" t="s">
        <v>699</v>
      </c>
      <c r="BA147" s="103" t="s">
        <v>97</v>
      </c>
      <c r="BB147" s="298">
        <v>368016</v>
      </c>
      <c r="BF147" s="249"/>
    </row>
    <row r="148" spans="51:58" ht="12.75">
      <c r="AY148" s="103" t="s">
        <v>299</v>
      </c>
      <c r="AZ148" s="103" t="s">
        <v>700</v>
      </c>
      <c r="BA148" s="103" t="s">
        <v>97</v>
      </c>
      <c r="BB148" s="298">
        <v>287529</v>
      </c>
      <c r="BF148" s="249"/>
    </row>
    <row r="149" spans="51:58" ht="12.75">
      <c r="AY149" s="103" t="s">
        <v>337</v>
      </c>
      <c r="AZ149" s="103" t="s">
        <v>701</v>
      </c>
      <c r="BA149" s="103" t="s">
        <v>97</v>
      </c>
      <c r="BB149" s="298">
        <v>197994</v>
      </c>
      <c r="BE149" s="245"/>
      <c r="BF149" s="246"/>
    </row>
    <row r="150" spans="51:58" ht="12.75">
      <c r="AY150" s="103" t="s">
        <v>325</v>
      </c>
      <c r="AZ150" s="103" t="s">
        <v>702</v>
      </c>
      <c r="BA150" s="103" t="s">
        <v>97</v>
      </c>
      <c r="BB150" s="298">
        <v>327517</v>
      </c>
      <c r="BF150" s="249"/>
    </row>
    <row r="151" spans="51:58" ht="12.75">
      <c r="AY151" s="103" t="s">
        <v>425</v>
      </c>
      <c r="AZ151" s="103" t="s">
        <v>703</v>
      </c>
      <c r="BA151" s="103" t="s">
        <v>97</v>
      </c>
      <c r="BB151" s="298">
        <v>209261</v>
      </c>
      <c r="BF151" s="249"/>
    </row>
    <row r="152" spans="51:58" ht="12.75">
      <c r="AY152" s="103" t="s">
        <v>426</v>
      </c>
      <c r="AZ152" s="103" t="s">
        <v>704</v>
      </c>
      <c r="BA152" s="103" t="s">
        <v>97</v>
      </c>
      <c r="BB152" s="298">
        <v>184345</v>
      </c>
      <c r="BE152" s="247"/>
      <c r="BF152" s="236"/>
    </row>
    <row r="153" spans="51:58" ht="12.75">
      <c r="AY153" s="103" t="s">
        <v>311</v>
      </c>
      <c r="AZ153" s="103" t="s">
        <v>705</v>
      </c>
      <c r="BA153" s="103" t="s">
        <v>97</v>
      </c>
      <c r="BB153" s="298">
        <v>278239</v>
      </c>
      <c r="BF153" s="249"/>
    </row>
    <row r="154" spans="51:58" ht="12.75">
      <c r="AY154" s="103" t="s">
        <v>300</v>
      </c>
      <c r="AZ154" s="103" t="s">
        <v>706</v>
      </c>
      <c r="BA154" s="103" t="s">
        <v>97</v>
      </c>
      <c r="BB154" s="298">
        <v>293890</v>
      </c>
      <c r="BE154" s="234"/>
      <c r="BF154" s="235"/>
    </row>
    <row r="155" spans="51:58" ht="12.75">
      <c r="AY155" s="103" t="s">
        <v>335</v>
      </c>
      <c r="AZ155" s="103" t="s">
        <v>707</v>
      </c>
      <c r="BA155" s="103" t="s">
        <v>97</v>
      </c>
      <c r="BB155" s="298">
        <v>350283</v>
      </c>
      <c r="BE155" s="70"/>
      <c r="BF155" s="236"/>
    </row>
    <row r="156" spans="51:58" ht="12.75">
      <c r="AY156" s="103" t="s">
        <v>309</v>
      </c>
      <c r="AZ156" s="103" t="s">
        <v>708</v>
      </c>
      <c r="BA156" s="103" t="s">
        <v>97</v>
      </c>
      <c r="BB156" s="298">
        <v>219681</v>
      </c>
      <c r="BF156" s="249"/>
    </row>
    <row r="157" spans="51:58" ht="12.75">
      <c r="AY157" s="103" t="s">
        <v>328</v>
      </c>
      <c r="AZ157" s="103" t="s">
        <v>709</v>
      </c>
      <c r="BA157" s="103" t="s">
        <v>97</v>
      </c>
      <c r="BB157" s="298">
        <v>191568</v>
      </c>
      <c r="BF157" s="249"/>
    </row>
    <row r="158" spans="51:58" ht="12.75">
      <c r="AY158" s="103" t="s">
        <v>413</v>
      </c>
      <c r="AZ158" s="103" t="s">
        <v>710</v>
      </c>
      <c r="BA158" s="103" t="s">
        <v>97</v>
      </c>
      <c r="BB158" s="298">
        <v>123049</v>
      </c>
      <c r="BF158" s="249"/>
    </row>
    <row r="159" spans="51:58" ht="12.75">
      <c r="AY159" s="103" t="s">
        <v>297</v>
      </c>
      <c r="AZ159" s="103" t="s">
        <v>711</v>
      </c>
      <c r="BA159" s="103" t="s">
        <v>97</v>
      </c>
      <c r="BB159" s="298">
        <v>300515</v>
      </c>
      <c r="BF159" s="249"/>
    </row>
    <row r="160" spans="51:58" ht="12.75">
      <c r="AY160" s="103" t="s">
        <v>410</v>
      </c>
      <c r="AZ160" s="103" t="s">
        <v>712</v>
      </c>
      <c r="BA160" s="103" t="s">
        <v>97</v>
      </c>
      <c r="BB160" s="298">
        <v>212778</v>
      </c>
      <c r="BE160" s="70"/>
      <c r="BF160" s="236"/>
    </row>
    <row r="161" spans="51:58" ht="12.75">
      <c r="AY161" s="103" t="s">
        <v>298</v>
      </c>
      <c r="AZ161" s="103" t="s">
        <v>713</v>
      </c>
      <c r="BA161" s="103" t="s">
        <v>97</v>
      </c>
      <c r="BB161" s="298">
        <v>185366</v>
      </c>
      <c r="BE161" s="70"/>
      <c r="BF161" s="238"/>
    </row>
    <row r="162" spans="51:58" ht="12.75">
      <c r="AY162" s="103" t="s">
        <v>422</v>
      </c>
      <c r="AZ162" s="103" t="s">
        <v>714</v>
      </c>
      <c r="BA162" s="103" t="s">
        <v>97</v>
      </c>
      <c r="BB162" s="298">
        <v>486131</v>
      </c>
      <c r="BE162" s="234"/>
      <c r="BF162" s="235"/>
    </row>
    <row r="163" spans="51:58" ht="12.75">
      <c r="AY163" s="103" t="s">
        <v>320</v>
      </c>
      <c r="AZ163" s="103" t="s">
        <v>715</v>
      </c>
      <c r="BA163" s="103" t="s">
        <v>97</v>
      </c>
      <c r="BB163" s="298">
        <v>123717</v>
      </c>
      <c r="BE163" s="70"/>
      <c r="BF163" s="236"/>
    </row>
    <row r="164" spans="51:58" ht="12.75">
      <c r="AY164" s="103" t="s">
        <v>366</v>
      </c>
      <c r="AZ164" s="103" t="s">
        <v>716</v>
      </c>
      <c r="BA164" s="103" t="s">
        <v>97</v>
      </c>
      <c r="BB164" s="298">
        <v>246419</v>
      </c>
      <c r="BE164" s="245"/>
      <c r="BF164" s="238"/>
    </row>
    <row r="165" spans="51:58" ht="12.75">
      <c r="AY165" s="103" t="s">
        <v>417</v>
      </c>
      <c r="AZ165" s="103" t="s">
        <v>717</v>
      </c>
      <c r="BA165" s="103" t="s">
        <v>97</v>
      </c>
      <c r="BB165" s="298">
        <v>168051</v>
      </c>
      <c r="BF165" s="249"/>
    </row>
    <row r="166" spans="51:58" ht="12.75">
      <c r="AY166" s="103" t="s">
        <v>418</v>
      </c>
      <c r="AZ166" s="103" t="s">
        <v>718</v>
      </c>
      <c r="BA166" s="103" t="s">
        <v>97</v>
      </c>
      <c r="BB166" s="298">
        <v>212679</v>
      </c>
      <c r="BE166" s="70"/>
      <c r="BF166" s="246"/>
    </row>
    <row r="167" spans="51:58" ht="12.75">
      <c r="AY167" s="103" t="s">
        <v>408</v>
      </c>
      <c r="AZ167" s="103" t="s">
        <v>719</v>
      </c>
      <c r="BA167" s="103" t="s">
        <v>97</v>
      </c>
      <c r="BB167" s="298">
        <v>182204</v>
      </c>
      <c r="BF167" s="249"/>
    </row>
    <row r="168" spans="51:58" ht="12.75">
      <c r="AY168" s="103" t="s">
        <v>308</v>
      </c>
      <c r="AZ168" s="103" t="s">
        <v>720</v>
      </c>
      <c r="BA168" s="103" t="s">
        <v>97</v>
      </c>
      <c r="BB168" s="298">
        <v>275970</v>
      </c>
      <c r="BE168" s="234"/>
      <c r="BF168" s="235"/>
    </row>
    <row r="169" spans="51:58" ht="12.75">
      <c r="AY169" s="103" t="s">
        <v>423</v>
      </c>
      <c r="AZ169" s="103" t="s">
        <v>721</v>
      </c>
      <c r="BA169" s="103" t="s">
        <v>97</v>
      </c>
      <c r="BB169" s="298">
        <v>224363</v>
      </c>
      <c r="BE169" s="234"/>
      <c r="BF169" s="235"/>
    </row>
    <row r="170" spans="51:58" ht="12.75">
      <c r="AY170" s="103" t="s">
        <v>364</v>
      </c>
      <c r="AZ170" s="103" t="s">
        <v>722</v>
      </c>
      <c r="BA170" s="103" t="s">
        <v>97</v>
      </c>
      <c r="BB170" s="298">
        <v>349206</v>
      </c>
      <c r="BE170" s="70"/>
      <c r="BF170" s="238"/>
    </row>
    <row r="171" spans="51:58" ht="12.75">
      <c r="AY171" s="103" t="s">
        <v>409</v>
      </c>
      <c r="AZ171" s="103" t="s">
        <v>723</v>
      </c>
      <c r="BA171" s="103" t="s">
        <v>97</v>
      </c>
      <c r="BB171" s="298">
        <v>199887</v>
      </c>
      <c r="BE171" s="70"/>
      <c r="BF171" s="236"/>
    </row>
    <row r="172" spans="51:58" ht="12.75">
      <c r="AY172" s="103" t="s">
        <v>420</v>
      </c>
      <c r="AZ172" s="103" t="s">
        <v>724</v>
      </c>
      <c r="BA172" s="103" t="s">
        <v>97</v>
      </c>
      <c r="BB172" s="298">
        <v>90403</v>
      </c>
      <c r="BE172" s="70"/>
      <c r="BF172" s="238"/>
    </row>
    <row r="173" spans="51:58" ht="12.75">
      <c r="AY173" s="103" t="s">
        <v>332</v>
      </c>
      <c r="AZ173" s="103" t="s">
        <v>725</v>
      </c>
      <c r="BA173" s="103" t="s">
        <v>97</v>
      </c>
      <c r="BB173" s="298">
        <v>108078</v>
      </c>
      <c r="BE173" s="70"/>
      <c r="BF173" s="236"/>
    </row>
    <row r="174" spans="51:58" ht="12.75">
      <c r="AY174" s="103" t="s">
        <v>412</v>
      </c>
      <c r="AZ174" s="103" t="s">
        <v>726</v>
      </c>
      <c r="BA174" s="103" t="s">
        <v>97</v>
      </c>
      <c r="BB174" s="298">
        <v>136220</v>
      </c>
      <c r="BF174" s="249"/>
    </row>
    <row r="175" spans="51:58" ht="12.75">
      <c r="AY175" s="103" t="s">
        <v>435</v>
      </c>
      <c r="AZ175" s="103" t="s">
        <v>727</v>
      </c>
      <c r="BA175" s="103" t="s">
        <v>97</v>
      </c>
      <c r="BB175" s="298">
        <v>136117</v>
      </c>
      <c r="BF175" s="249"/>
    </row>
    <row r="176" spans="51:58" ht="12.75">
      <c r="AY176" s="103" t="s">
        <v>296</v>
      </c>
      <c r="AZ176" s="103" t="s">
        <v>728</v>
      </c>
      <c r="BA176" s="103" t="s">
        <v>97</v>
      </c>
      <c r="BB176" s="298">
        <v>298584</v>
      </c>
      <c r="BE176" s="234"/>
      <c r="BF176" s="235"/>
    </row>
    <row r="177" spans="51:58" ht="12.75">
      <c r="AY177" s="103" t="s">
        <v>432</v>
      </c>
      <c r="AZ177" s="103" t="s">
        <v>729</v>
      </c>
      <c r="BA177" s="103" t="s">
        <v>97</v>
      </c>
      <c r="BB177" s="298">
        <v>213947</v>
      </c>
      <c r="BE177" s="234"/>
      <c r="BF177" s="235"/>
    </row>
    <row r="178" spans="51:58" ht="12.75">
      <c r="AY178" s="103" t="s">
        <v>430</v>
      </c>
      <c r="AZ178" s="103" t="s">
        <v>730</v>
      </c>
      <c r="BA178" s="103" t="s">
        <v>97</v>
      </c>
      <c r="BB178" s="298">
        <v>199679</v>
      </c>
      <c r="BE178" s="70"/>
      <c r="BF178" s="238"/>
    </row>
    <row r="179" spans="51:58" ht="12.75">
      <c r="AY179" s="103" t="s">
        <v>434</v>
      </c>
      <c r="AZ179" s="103" t="s">
        <v>731</v>
      </c>
      <c r="BA179" s="103" t="s">
        <v>190</v>
      </c>
      <c r="BB179" s="298">
        <v>140954</v>
      </c>
      <c r="BF179" s="249"/>
    </row>
    <row r="180" spans="51:58" ht="12.75">
      <c r="AY180" s="103" t="s">
        <v>433</v>
      </c>
      <c r="AZ180" s="103" t="s">
        <v>732</v>
      </c>
      <c r="BA180" s="103" t="s">
        <v>97</v>
      </c>
      <c r="BB180" s="298">
        <v>113978</v>
      </c>
      <c r="BE180" s="244"/>
      <c r="BF180" s="246"/>
    </row>
    <row r="181" spans="51:58" ht="12.75">
      <c r="AY181" s="103" t="s">
        <v>437</v>
      </c>
      <c r="AZ181" s="103" t="s">
        <v>733</v>
      </c>
      <c r="BA181" s="103" t="s">
        <v>97</v>
      </c>
      <c r="BB181" s="298">
        <v>107019</v>
      </c>
      <c r="BF181" s="249"/>
    </row>
    <row r="182" spans="51:58" ht="12.75">
      <c r="AY182" s="103" t="s">
        <v>439</v>
      </c>
      <c r="AZ182" s="103" t="s">
        <v>734</v>
      </c>
      <c r="BA182" s="103" t="s">
        <v>190</v>
      </c>
      <c r="BB182" s="298">
        <v>681439</v>
      </c>
      <c r="BF182" s="249"/>
    </row>
    <row r="183" spans="51:58" ht="12.75">
      <c r="AY183" s="103" t="s">
        <v>354</v>
      </c>
      <c r="AZ183" s="103" t="s">
        <v>735</v>
      </c>
      <c r="BA183" s="103" t="s">
        <v>97</v>
      </c>
      <c r="BB183" s="298">
        <v>216450</v>
      </c>
      <c r="BE183" s="70"/>
      <c r="BF183" s="238"/>
    </row>
    <row r="184" spans="51:58" ht="12.75">
      <c r="AY184" s="103" t="s">
        <v>315</v>
      </c>
      <c r="AZ184" s="103" t="s">
        <v>736</v>
      </c>
      <c r="BA184" s="103" t="s">
        <v>97</v>
      </c>
      <c r="BB184" s="298">
        <v>143386</v>
      </c>
      <c r="BE184" s="70"/>
      <c r="BF184" s="238"/>
    </row>
    <row r="185" spans="51:58" ht="12.75">
      <c r="AY185" s="103" t="s">
        <v>340</v>
      </c>
      <c r="AZ185" s="103" t="s">
        <v>737</v>
      </c>
      <c r="BA185" s="103" t="s">
        <v>97</v>
      </c>
      <c r="BB185" s="298">
        <v>203460</v>
      </c>
      <c r="BF185" s="249"/>
    </row>
    <row r="186" spans="51:58" ht="12.75">
      <c r="AY186" s="103" t="s">
        <v>353</v>
      </c>
      <c r="AZ186" s="103" t="s">
        <v>738</v>
      </c>
      <c r="BA186" s="103" t="s">
        <v>97</v>
      </c>
      <c r="BB186" s="298">
        <v>121932</v>
      </c>
      <c r="BF186" s="249"/>
    </row>
    <row r="187" spans="51:58" ht="12.75">
      <c r="AY187" s="103" t="s">
        <v>429</v>
      </c>
      <c r="AZ187" s="103" t="s">
        <v>739</v>
      </c>
      <c r="BA187" s="103" t="s">
        <v>97</v>
      </c>
      <c r="BB187" s="298">
        <v>265148</v>
      </c>
      <c r="BE187" s="234"/>
      <c r="BF187" s="235"/>
    </row>
    <row r="188" spans="51:58" ht="12.75">
      <c r="AY188" s="103" t="s">
        <v>346</v>
      </c>
      <c r="AZ188" s="103" t="s">
        <v>740</v>
      </c>
      <c r="BA188" s="103" t="s">
        <v>97</v>
      </c>
      <c r="BB188" s="298">
        <v>198019</v>
      </c>
      <c r="BF188" s="238"/>
    </row>
    <row r="189" spans="51:58" ht="12.75">
      <c r="AY189" s="103" t="s">
        <v>431</v>
      </c>
      <c r="AZ189" s="103" t="s">
        <v>741</v>
      </c>
      <c r="BA189" s="103" t="s">
        <v>97</v>
      </c>
      <c r="BB189" s="298">
        <v>539951</v>
      </c>
      <c r="BF189" s="238"/>
    </row>
    <row r="190" spans="51:58" ht="12.75">
      <c r="AY190" s="103" t="s">
        <v>324</v>
      </c>
      <c r="AZ190" s="103" t="s">
        <v>742</v>
      </c>
      <c r="BA190" s="103" t="s">
        <v>97</v>
      </c>
      <c r="BB190" s="298">
        <v>150550</v>
      </c>
      <c r="BE190" s="234"/>
      <c r="BF190" s="235"/>
    </row>
    <row r="191" spans="51:58" ht="12.75">
      <c r="AY191" s="103" t="s">
        <v>436</v>
      </c>
      <c r="AZ191" s="103" t="s">
        <v>743</v>
      </c>
      <c r="BA191" s="103" t="s">
        <v>97</v>
      </c>
      <c r="BB191" s="298">
        <v>154220</v>
      </c>
      <c r="BE191" s="70"/>
      <c r="BF191" s="236"/>
    </row>
    <row r="192" spans="51:58" ht="12.75">
      <c r="AY192" s="103" t="s">
        <v>226</v>
      </c>
      <c r="AZ192" s="103" t="s">
        <v>744</v>
      </c>
      <c r="BA192" s="103" t="s">
        <v>97</v>
      </c>
      <c r="BB192" s="298">
        <v>197124</v>
      </c>
      <c r="BE192" s="70"/>
      <c r="BF192" s="236"/>
    </row>
    <row r="193" spans="51:58" ht="12.75">
      <c r="AY193" s="103" t="s">
        <v>227</v>
      </c>
      <c r="AZ193" s="103" t="s">
        <v>745</v>
      </c>
      <c r="BA193" s="103" t="s">
        <v>97</v>
      </c>
      <c r="BB193" s="298">
        <v>475661</v>
      </c>
      <c r="BE193" s="70"/>
      <c r="BF193" s="236"/>
    </row>
    <row r="194" spans="51:58" ht="12.75">
      <c r="AY194" s="103" t="s">
        <v>427</v>
      </c>
      <c r="AZ194" s="103" t="s">
        <v>746</v>
      </c>
      <c r="BA194" s="103" t="s">
        <v>97</v>
      </c>
      <c r="BB194" s="298">
        <v>760798</v>
      </c>
      <c r="BE194" s="70"/>
      <c r="BF194" s="236"/>
    </row>
    <row r="195" spans="51:58" ht="12.75">
      <c r="AY195" s="103" t="s">
        <v>233</v>
      </c>
      <c r="AZ195" s="103" t="s">
        <v>747</v>
      </c>
      <c r="BA195" s="103" t="s">
        <v>97</v>
      </c>
      <c r="BB195" s="298">
        <v>614551</v>
      </c>
      <c r="BE195" s="70"/>
      <c r="BF195" s="236"/>
    </row>
    <row r="196" spans="51:58" ht="12.75">
      <c r="AY196" s="103" t="s">
        <v>230</v>
      </c>
      <c r="AZ196" s="103" t="s">
        <v>748</v>
      </c>
      <c r="BA196" s="103" t="s">
        <v>97</v>
      </c>
      <c r="BB196" s="298">
        <v>555618</v>
      </c>
      <c r="BE196" s="70"/>
      <c r="BF196" s="236"/>
    </row>
    <row r="197" spans="51:58" ht="12.75">
      <c r="AY197" s="103" t="s">
        <v>228</v>
      </c>
      <c r="AZ197" s="103" t="s">
        <v>749</v>
      </c>
      <c r="BA197" s="103" t="s">
        <v>97</v>
      </c>
      <c r="BB197" s="298">
        <v>209917</v>
      </c>
      <c r="BE197" s="70"/>
      <c r="BF197" s="236"/>
    </row>
    <row r="198" spans="51:58" ht="12.75">
      <c r="AY198" s="103" t="s">
        <v>234</v>
      </c>
      <c r="AZ198" s="103" t="s">
        <v>750</v>
      </c>
      <c r="BA198" s="103" t="s">
        <v>97</v>
      </c>
      <c r="BB198" s="298">
        <v>543498</v>
      </c>
      <c r="BF198" s="249"/>
    </row>
    <row r="199" spans="51:58" ht="12.75">
      <c r="AY199" s="103" t="s">
        <v>229</v>
      </c>
      <c r="AZ199" s="103" t="s">
        <v>751</v>
      </c>
      <c r="BA199" s="103" t="s">
        <v>97</v>
      </c>
      <c r="BB199" s="298">
        <v>256061</v>
      </c>
      <c r="BE199" s="70"/>
      <c r="BF199" s="238"/>
    </row>
    <row r="200" spans="51:58" ht="12.75">
      <c r="AY200" s="103" t="s">
        <v>295</v>
      </c>
      <c r="AZ200" s="103" t="s">
        <v>752</v>
      </c>
      <c r="BA200" s="103" t="s">
        <v>190</v>
      </c>
      <c r="BB200" s="298">
        <v>221360</v>
      </c>
      <c r="BE200" s="70"/>
      <c r="BF200" s="236"/>
    </row>
    <row r="201" spans="51:58" ht="12.75">
      <c r="AY201" s="103" t="s">
        <v>268</v>
      </c>
      <c r="AZ201" s="103" t="s">
        <v>753</v>
      </c>
      <c r="BA201" s="103" t="s">
        <v>97</v>
      </c>
      <c r="BB201" s="298">
        <v>331160</v>
      </c>
      <c r="BF201" s="249"/>
    </row>
    <row r="202" spans="51:58" ht="12.75">
      <c r="AY202" s="103" t="s">
        <v>251</v>
      </c>
      <c r="AZ202" s="103" t="s">
        <v>754</v>
      </c>
      <c r="BA202" s="103" t="s">
        <v>97</v>
      </c>
      <c r="BB202" s="298">
        <v>723927</v>
      </c>
      <c r="BF202" s="249"/>
    </row>
    <row r="203" spans="51:58" ht="12.75">
      <c r="AY203" s="103" t="s">
        <v>263</v>
      </c>
      <c r="AZ203" s="103" t="s">
        <v>755</v>
      </c>
      <c r="BA203" s="103" t="s">
        <v>97</v>
      </c>
      <c r="BB203" s="298">
        <v>492711</v>
      </c>
      <c r="BF203" s="249"/>
    </row>
    <row r="204" spans="51:58" ht="12.75">
      <c r="AY204" s="103" t="s">
        <v>365</v>
      </c>
      <c r="AZ204" s="103" t="s">
        <v>756</v>
      </c>
      <c r="BA204" s="103" t="s">
        <v>97</v>
      </c>
      <c r="BB204" s="298">
        <v>214926</v>
      </c>
      <c r="BF204" s="249"/>
    </row>
    <row r="205" spans="51:58" ht="12.75">
      <c r="AY205" s="103" t="s">
        <v>394</v>
      </c>
      <c r="AZ205" s="103" t="s">
        <v>757</v>
      </c>
      <c r="BA205" s="103" t="s">
        <v>97</v>
      </c>
      <c r="BB205" s="298">
        <v>156440</v>
      </c>
      <c r="BE205" s="70"/>
      <c r="BF205" s="236"/>
    </row>
    <row r="206" spans="51:58" ht="12.75">
      <c r="AY206" s="103" t="s">
        <v>319</v>
      </c>
      <c r="AZ206" s="103" t="s">
        <v>758</v>
      </c>
      <c r="BA206" s="103" t="s">
        <v>97</v>
      </c>
      <c r="BB206" s="298">
        <v>262252</v>
      </c>
      <c r="BE206" s="70"/>
      <c r="BF206" s="237"/>
    </row>
    <row r="207" spans="51:58" ht="12.75">
      <c r="AY207" s="103" t="s">
        <v>331</v>
      </c>
      <c r="AZ207" s="103" t="s">
        <v>759</v>
      </c>
      <c r="BA207" s="103" t="s">
        <v>97</v>
      </c>
      <c r="BB207" s="298">
        <v>177806</v>
      </c>
      <c r="BE207" s="234"/>
      <c r="BF207" s="239"/>
    </row>
    <row r="208" spans="51:58" ht="12.75">
      <c r="AY208" s="103" t="s">
        <v>348</v>
      </c>
      <c r="AZ208" s="103" t="s">
        <v>760</v>
      </c>
      <c r="BA208" s="103" t="s">
        <v>97</v>
      </c>
      <c r="BB208" s="298">
        <v>184659</v>
      </c>
      <c r="BE208" s="234"/>
      <c r="BF208" s="239"/>
    </row>
    <row r="209" spans="51:58" ht="12.75">
      <c r="AY209" s="103" t="s">
        <v>419</v>
      </c>
      <c r="AZ209" s="103" t="s">
        <v>761</v>
      </c>
      <c r="BA209" s="103" t="s">
        <v>97</v>
      </c>
      <c r="BB209" s="298">
        <v>289448</v>
      </c>
      <c r="BE209" s="234"/>
      <c r="BF209" s="239"/>
    </row>
    <row r="210" spans="51:58" ht="12.75">
      <c r="AY210" s="103" t="s">
        <v>411</v>
      </c>
      <c r="AZ210" s="103" t="s">
        <v>762</v>
      </c>
      <c r="BA210" s="103" t="s">
        <v>97</v>
      </c>
      <c r="BB210" s="298">
        <v>466241</v>
      </c>
      <c r="BE210" s="234"/>
      <c r="BF210" s="239"/>
    </row>
    <row r="211" spans="51:58" ht="12.75">
      <c r="AY211" s="103" t="s">
        <v>407</v>
      </c>
      <c r="AZ211" s="103" t="s">
        <v>763</v>
      </c>
      <c r="BA211" s="103" t="s">
        <v>97</v>
      </c>
      <c r="BB211" s="298">
        <v>164555</v>
      </c>
      <c r="BE211" s="234"/>
      <c r="BF211" s="239"/>
    </row>
    <row r="212" spans="51:58" ht="12.75">
      <c r="AY212" s="103" t="s">
        <v>421</v>
      </c>
      <c r="AZ212" s="103" t="s">
        <v>764</v>
      </c>
      <c r="BA212" s="103" t="s">
        <v>97</v>
      </c>
      <c r="BB212" s="298">
        <v>216963</v>
      </c>
      <c r="BE212" s="234"/>
      <c r="BF212" s="239"/>
    </row>
    <row r="213" spans="51:58" ht="12.75">
      <c r="AY213" s="103" t="s">
        <v>428</v>
      </c>
      <c r="AZ213" s="103" t="s">
        <v>765</v>
      </c>
      <c r="BA213" s="103" t="s">
        <v>97</v>
      </c>
      <c r="BB213" s="298">
        <v>447767</v>
      </c>
      <c r="BE213" s="234"/>
      <c r="BF213" s="235"/>
    </row>
    <row r="214" spans="51:58" ht="12.75">
      <c r="AY214" s="103" t="s">
        <v>231</v>
      </c>
      <c r="AZ214" s="103" t="s">
        <v>766</v>
      </c>
      <c r="BA214" s="103" t="s">
        <v>97</v>
      </c>
      <c r="BB214" s="298">
        <v>901403</v>
      </c>
      <c r="BE214" s="234"/>
      <c r="BF214" s="235"/>
    </row>
    <row r="215" spans="51:58" ht="12.75">
      <c r="AY215" s="103" t="s">
        <v>232</v>
      </c>
      <c r="AZ215" s="103" t="s">
        <v>767</v>
      </c>
      <c r="BA215" s="103" t="s">
        <v>97</v>
      </c>
      <c r="BB215" s="298">
        <v>274473</v>
      </c>
      <c r="BE215" s="234"/>
      <c r="BF215" s="235"/>
    </row>
    <row r="216" spans="51:58" ht="12.75">
      <c r="AY216" s="103" t="s">
        <v>24</v>
      </c>
      <c r="AZ216" s="103" t="s">
        <v>24</v>
      </c>
      <c r="BA216" s="103" t="s">
        <v>97</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INDEX(A5:A44,A4)</f>
        <v>(B85023) ALMONDBURY SURGERY</v>
      </c>
      <c r="B3" s="56" t="s">
        <v>608</v>
      </c>
      <c r="C3" s="56" t="s">
        <v>24</v>
      </c>
    </row>
    <row r="4" spans="1:2" ht="12.75">
      <c r="A4" s="76">
        <v>1</v>
      </c>
      <c r="B4" s="78" t="s">
        <v>380</v>
      </c>
    </row>
    <row r="5" ht="12.75">
      <c r="A5" s="277" t="s">
        <v>382</v>
      </c>
    </row>
    <row r="6" ht="12.75">
      <c r="A6" s="277" t="s">
        <v>381</v>
      </c>
    </row>
    <row r="7" ht="12.75">
      <c r="A7" s="277" t="s">
        <v>193</v>
      </c>
    </row>
    <row r="8" ht="12.75">
      <c r="A8" s="277" t="s">
        <v>191</v>
      </c>
    </row>
    <row r="9" ht="12.75">
      <c r="A9" s="277" t="s">
        <v>385</v>
      </c>
    </row>
    <row r="10" ht="12.75">
      <c r="A10" s="277" t="s">
        <v>198</v>
      </c>
    </row>
    <row r="11" ht="12.75">
      <c r="A11" s="277" t="s">
        <v>201</v>
      </c>
    </row>
    <row r="12" ht="12.75">
      <c r="A12" s="277" t="s">
        <v>793</v>
      </c>
    </row>
    <row r="13" ht="12.75">
      <c r="A13" s="277" t="s">
        <v>801</v>
      </c>
    </row>
    <row r="14" ht="12.75">
      <c r="A14" s="277" t="s">
        <v>794</v>
      </c>
    </row>
    <row r="15" ht="12.75">
      <c r="A15" s="277" t="s">
        <v>206</v>
      </c>
    </row>
    <row r="16" ht="12.75">
      <c r="A16" s="277" t="s">
        <v>210</v>
      </c>
    </row>
    <row r="17" ht="12.75">
      <c r="A17" s="277" t="s">
        <v>202</v>
      </c>
    </row>
    <row r="18" ht="12.75">
      <c r="A18" s="277" t="s">
        <v>795</v>
      </c>
    </row>
    <row r="19" ht="12.75">
      <c r="A19" s="277" t="s">
        <v>796</v>
      </c>
    </row>
    <row r="20" ht="12.75">
      <c r="A20" s="277" t="s">
        <v>797</v>
      </c>
    </row>
    <row r="21" ht="12.75">
      <c r="A21" s="277" t="s">
        <v>798</v>
      </c>
    </row>
    <row r="22" ht="12.75">
      <c r="A22" s="277" t="s">
        <v>211</v>
      </c>
    </row>
    <row r="23" ht="12.75">
      <c r="A23" s="277" t="s">
        <v>799</v>
      </c>
    </row>
    <row r="24" ht="12.75">
      <c r="A24" s="277" t="s">
        <v>800</v>
      </c>
    </row>
    <row r="25" ht="12.75">
      <c r="A25" s="277" t="s">
        <v>204</v>
      </c>
    </row>
    <row r="26" ht="12.75">
      <c r="A26" s="277" t="s">
        <v>195</v>
      </c>
    </row>
    <row r="27" ht="12.75">
      <c r="A27" s="277" t="s">
        <v>196</v>
      </c>
    </row>
    <row r="28" ht="12.75">
      <c r="A28" s="277" t="s">
        <v>384</v>
      </c>
    </row>
    <row r="29" ht="12.75">
      <c r="A29" s="277" t="s">
        <v>386</v>
      </c>
    </row>
    <row r="30" ht="12.75">
      <c r="A30" s="277" t="s">
        <v>205</v>
      </c>
    </row>
    <row r="31" ht="12.75">
      <c r="A31" s="277" t="s">
        <v>199</v>
      </c>
    </row>
    <row r="32" ht="12.75">
      <c r="A32" s="277" t="s">
        <v>194</v>
      </c>
    </row>
    <row r="33" ht="12.75">
      <c r="A33" s="277" t="s">
        <v>213</v>
      </c>
    </row>
    <row r="34" ht="12.75">
      <c r="A34" s="277" t="s">
        <v>192</v>
      </c>
    </row>
    <row r="35" ht="12.75">
      <c r="A35" s="277" t="s">
        <v>208</v>
      </c>
    </row>
    <row r="36" ht="12.75">
      <c r="A36" s="277" t="s">
        <v>207</v>
      </c>
    </row>
    <row r="37" ht="12.75">
      <c r="A37" s="277" t="s">
        <v>197</v>
      </c>
    </row>
    <row r="38" ht="12.75">
      <c r="A38" s="277" t="s">
        <v>215</v>
      </c>
    </row>
    <row r="39" ht="12.75">
      <c r="A39" s="277" t="s">
        <v>200</v>
      </c>
    </row>
    <row r="40" ht="12.75">
      <c r="A40" s="277" t="s">
        <v>214</v>
      </c>
    </row>
    <row r="41" ht="12.75">
      <c r="A41" s="277" t="s">
        <v>203</v>
      </c>
    </row>
    <row r="42" ht="12.75">
      <c r="A42" s="277" t="s">
        <v>209</v>
      </c>
    </row>
    <row r="43" ht="12.75">
      <c r="A43" s="277" t="s">
        <v>383</v>
      </c>
    </row>
    <row r="44" ht="12.75">
      <c r="A44" s="277" t="s">
        <v>212</v>
      </c>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