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<sst xmlns="http://schemas.openxmlformats.org/spreadsheetml/2006/main" count="1345" uniqueCount="791">
  <si>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</si>
  <si>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</si>
  <si>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</si>
  <si>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</si>
  <si>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</si>
  <si>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</si>
  <si>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</si>
  <si>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</si>
  <si>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</si>
  <si>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</si>
  <si>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</si>
  <si>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</si>
  <si>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</si>
  <si>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</si>
  <si>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</si>
  <si>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</si>
  <si>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</si>
  <si>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</si>
  <si>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</si>
  <si>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</si>
  <si>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</si>
  <si>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</si>
  <si>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</si>
  <si>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</si>
  <si>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</si>
  <si>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</si>
  <si>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</si>
  <si>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</si>
  <si>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</si>
  <si>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</si>
  <si>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</si>
  <si>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</si>
  <si>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</si>
  <si>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</si>
  <si>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</si>
  <si>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</si>
  <si>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</si>
  <si>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</si>
  <si>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</si>
  <si>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</si>
  <si>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</si>
  <si>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</si>
  <si>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</si>
  <si>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</si>
  <si>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</si>
  <si>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</si>
  <si>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</si>
  <si>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</si>
  <si>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</si>
  <si>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</si>
  <si>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</si>
  <si>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</si>
  <si>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</si>
  <si>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</si>
  <si>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</si>
  <si>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</si>
  <si>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</si>
  <si>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C82001</t>
  </si>
  <si>
    <t>C82002</t>
  </si>
  <si>
    <t>C82009</t>
  </si>
  <si>
    <t>C82010</t>
  </si>
  <si>
    <t>C82013</t>
  </si>
  <si>
    <t>C82016</t>
  </si>
  <si>
    <t>C82021</t>
  </si>
  <si>
    <t>C82022</t>
  </si>
  <si>
    <t>C82025</t>
  </si>
  <si>
    <t>C82036</t>
  </si>
  <si>
    <t>C82038</t>
  </si>
  <si>
    <t>C82039</t>
  </si>
  <si>
    <t>C82042</t>
  </si>
  <si>
    <t>C82044</t>
  </si>
  <si>
    <t>C82048</t>
  </si>
  <si>
    <t>C82055</t>
  </si>
  <si>
    <t>C82056</t>
  </si>
  <si>
    <t>C82066</t>
  </si>
  <si>
    <t>C82067</t>
  </si>
  <si>
    <t>C82068</t>
  </si>
  <si>
    <t>C82071</t>
  </si>
  <si>
    <t>C82077</t>
  </si>
  <si>
    <t>C82078</t>
  </si>
  <si>
    <t>C82079</t>
  </si>
  <si>
    <t>C82098</t>
  </si>
  <si>
    <t>C82108</t>
  </si>
  <si>
    <t>C82109</t>
  </si>
  <si>
    <t>C82112</t>
  </si>
  <si>
    <t>C82119</t>
  </si>
  <si>
    <t>C82611</t>
  </si>
  <si>
    <t>C82631</t>
  </si>
  <si>
    <t>C82641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</si>
  <si>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</si>
  <si>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</si>
  <si>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</si>
  <si>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</si>
  <si>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</si>
  <si>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</si>
  <si>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</si>
  <si>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</si>
  <si>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</si>
  <si>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</si>
  <si>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</si>
  <si>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</si>
  <si>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</si>
  <si>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</si>
  <si>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</si>
  <si>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</si>
  <si>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</si>
  <si>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</si>
  <si>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</si>
  <si>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</si>
  <si>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</si>
  <si>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</si>
  <si>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</si>
  <si>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</si>
  <si>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</si>
  <si>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</si>
  <si>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</si>
  <si>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</si>
  <si>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</si>
  <si>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</si>
  <si>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</si>
  <si>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</si>
  <si>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</si>
  <si>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</si>
  <si>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</si>
  <si>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</si>
  <si>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</si>
  <si>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</si>
  <si>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</si>
  <si>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</si>
  <si>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</si>
  <si>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</si>
  <si>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</si>
  <si>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</si>
  <si>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</si>
  <si>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</si>
  <si>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</si>
  <si>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</si>
  <si>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</si>
  <si>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</si>
  <si>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</si>
  <si>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</si>
  <si>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</si>
  <si>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</si>
  <si>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</si>
  <si>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</si>
  <si>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</si>
  <si>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</si>
  <si>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</si>
  <si>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</si>
  <si>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</si>
  <si>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</si>
  <si>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</si>
  <si>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</si>
  <si>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</si>
  <si>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</si>
  <si>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</si>
  <si>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</si>
  <si>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</si>
  <si>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</si>
  <si>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</si>
  <si>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</si>
  <si>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</si>
  <si>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</si>
  <si>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</si>
  <si>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</si>
  <si>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</si>
  <si>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</si>
  <si>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</si>
  <si>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</si>
  <si>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</si>
  <si>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</si>
  <si>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</si>
  <si>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</si>
  <si>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</si>
  <si>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</si>
  <si>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</si>
  <si>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</si>
  <si>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</si>
  <si>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</si>
  <si>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</si>
  <si>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</si>
  <si>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C82649</t>
  </si>
  <si>
    <t>(C82001) KIBWORTH HEALTH CENTRE</t>
  </si>
  <si>
    <t>(C82002) COUNTESTHORPE HEALTH CENTRE</t>
  </si>
  <si>
    <t>(C82010) OAKHAM MEDICAL PRACTICE</t>
  </si>
  <si>
    <t>(C82013) BUSHLOE END SURGERY</t>
  </si>
  <si>
    <t>(C82021) THE CENTRAL SURGERY</t>
  </si>
  <si>
    <t>(C82022) THE BILLESDON SURGERY</t>
  </si>
  <si>
    <t>(C82036) THE OLD SCHOOL SURGERY</t>
  </si>
  <si>
    <t>(C82038) LATHAM HOUSE MEDICAL PRACTICE</t>
  </si>
  <si>
    <t>(C82039) KINGSWAY SURGERY</t>
  </si>
  <si>
    <t>(C82042) COUNTY PRACTICE</t>
  </si>
  <si>
    <t>(C82044) EMPINGHAM MEDICAL CENTRE</t>
  </si>
  <si>
    <t>(C82048) ROSEMEAD DRIVE SURGERY</t>
  </si>
  <si>
    <t>(C82055) THE LIMES MEDICAL CENTRE</t>
  </si>
  <si>
    <t>(C82056) GLENFIELD SURGERY</t>
  </si>
  <si>
    <t>(C82066) FOREST HOUSE MEDICAL CENTRE</t>
  </si>
  <si>
    <t>(C82067) THE CROFT MEDICAL CENTRE</t>
  </si>
  <si>
    <t>(C82068) NORTHFIELD MEDICAL CENTRE</t>
  </si>
  <si>
    <t>(C82071) WIGSTON CENTRAL</t>
  </si>
  <si>
    <t>(C82077) THE UPPINGHAM SURGERY</t>
  </si>
  <si>
    <t>(C82078) SYSTON HEALTH CENTRE</t>
  </si>
  <si>
    <t>(C82079) SOUTH WIGSTON HEALTH CENTRE</t>
  </si>
  <si>
    <t>(C82098) HAZELMERE MEDICAL CENTRE</t>
  </si>
  <si>
    <t>(C82108) LONG STREET SURGERY</t>
  </si>
  <si>
    <t>(C82109) THE HUSBANDS BOSWORTH SURGERY</t>
  </si>
  <si>
    <t>(C82112) SEVERN SURGERY</t>
  </si>
  <si>
    <t>(C82119) NARBOROUGH HEALTH CENTRE</t>
  </si>
  <si>
    <t>(C82631) ENDERBY MEDICAL CENTRE</t>
  </si>
  <si>
    <t>(C82641) STATION ROAD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</si>
  <si>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</si>
  <si>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</si>
  <si>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</si>
  <si>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</si>
  <si>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</si>
  <si>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</si>
  <si>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</si>
  <si>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</si>
  <si>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</si>
  <si>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</si>
  <si>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</si>
  <si>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</si>
  <si>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</si>
  <si>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</si>
  <si>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</si>
  <si>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</si>
  <si>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</si>
  <si>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</si>
  <si>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</si>
  <si>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</si>
  <si>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</si>
  <si>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</si>
  <si>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</si>
  <si>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</si>
  <si>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</si>
  <si>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</si>
  <si>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</si>
  <si>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</si>
  <si>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</si>
  <si>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</si>
  <si>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</si>
  <si>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</si>
  <si>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</si>
  <si>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</si>
  <si>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</si>
  <si>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</si>
  <si>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</si>
  <si>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</si>
  <si>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</si>
  <si>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</si>
  <si>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</si>
  <si>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</si>
  <si>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</si>
  <si>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</si>
  <si>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</si>
  <si>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</si>
  <si>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</si>
  <si>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</si>
  <si>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</si>
  <si>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</si>
  <si>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</si>
  <si>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</si>
  <si>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</si>
  <si>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</si>
  <si>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</si>
  <si>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</si>
  <si>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</si>
  <si>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</si>
  <si>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</si>
  <si>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</si>
  <si>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</si>
  <si>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</si>
  <si>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</si>
  <si>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</si>
  <si>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</si>
  <si>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</si>
  <si>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</si>
  <si>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</si>
  <si>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</si>
  <si>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</si>
  <si>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</si>
  <si>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</si>
  <si>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</si>
  <si>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</si>
  <si>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</si>
  <si>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</si>
  <si>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</si>
  <si>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</si>
  <si>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</si>
  <si>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</si>
  <si>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</si>
  <si>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</si>
  <si>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</si>
  <si>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</si>
  <si>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</si>
  <si>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</si>
  <si>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</si>
  <si>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</si>
  <si>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</si>
  <si>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</si>
  <si>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</si>
  <si>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</si>
  <si>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</si>
  <si>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</si>
  <si>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</si>
  <si>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</si>
  <si>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</si>
  <si>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</si>
  <si>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</si>
  <si>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</si>
  <si>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</si>
  <si>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</si>
  <si>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</si>
  <si>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</si>
  <si>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</si>
  <si>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</si>
  <si>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</si>
  <si>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</si>
  <si>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</si>
  <si>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</si>
  <si>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</si>
  <si>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</si>
  <si>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</si>
  <si>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</si>
  <si>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</si>
  <si>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</si>
  <si>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</si>
  <si>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</si>
  <si>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</si>
  <si>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</si>
  <si>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</si>
  <si>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</si>
  <si>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</si>
  <si>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</si>
  <si>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</si>
  <si>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</si>
  <si>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</si>
  <si>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</si>
  <si>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</si>
  <si>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</si>
  <si>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</si>
  <si>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</si>
  <si>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</si>
  <si>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</si>
  <si>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</si>
  <si>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</si>
  <si>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</si>
  <si>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</si>
  <si>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</si>
  <si>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</si>
  <si>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</si>
  <si>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</si>
  <si>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</si>
  <si>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</si>
  <si>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</si>
  <si>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</si>
  <si>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</si>
  <si>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</si>
  <si>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</si>
  <si>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</si>
  <si>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</si>
  <si>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</si>
  <si>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</si>
  <si>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</si>
  <si>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</si>
  <si>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</si>
  <si>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</si>
  <si>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</si>
  <si>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</si>
  <si>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</si>
  <si>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</si>
  <si>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</si>
  <si>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</si>
  <si>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</si>
  <si>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</si>
  <si>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</si>
  <si>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</si>
  <si>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</si>
  <si>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</si>
  <si>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</si>
  <si>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(C82009) MARKET HARBOROUGH CENTRE</t>
  </si>
  <si>
    <t>(C82016) THE SANDS SURGERY</t>
  </si>
  <si>
    <t>(C82025) LUTTERWORTH GROUP PRACTICE</t>
  </si>
  <si>
    <t>04N</t>
  </si>
  <si>
    <t>(C82611) LUTTERWORTH HEALTH CENTRE</t>
  </si>
  <si>
    <t>(C82649) THE MARKET OVERTON SURGERY</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</si>
  <si>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</si>
  <si>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</si>
  <si>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</si>
  <si>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</si>
  <si>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</si>
  <si>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</si>
  <si>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</si>
  <si>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</si>
  <si>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</si>
  <si>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</si>
  <si>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</si>
  <si>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</si>
  <si>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</si>
  <si>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</si>
  <si>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</si>
  <si>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</si>
  <si>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</si>
  <si>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</si>
  <si>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</si>
  <si>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</si>
  <si>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</si>
  <si>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</si>
  <si>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</si>
  <si>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</si>
  <si>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</si>
  <si>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</si>
  <si>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</si>
  <si>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</si>
  <si>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</si>
  <si>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</si>
  <si>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</si>
  <si>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</si>
  <si>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</si>
  <si>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</si>
  <si>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</si>
  <si>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</si>
  <si>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</si>
  <si>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</si>
  <si>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</si>
  <si>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</si>
  <si>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</si>
  <si>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</si>
  <si>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</si>
  <si>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</si>
  <si>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</si>
  <si>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</si>
  <si>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</si>
  <si>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</si>
  <si>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</si>
  <si>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</si>
  <si>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</si>
  <si>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</si>
  <si>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</si>
  <si>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</si>
  <si>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0.07</t>
  </si>
  <si>
    <t>61.6589</t>
  </si>
  <si>
    <t>0.0302492</t>
  </si>
  <si>
    <t>0.148231</t>
  </si>
  <si>
    <t>91.7192</t>
  </si>
  <si>
    <t>156.947</t>
  </si>
  <si>
    <t>0.05</t>
  </si>
  <si>
    <t>0.62963</t>
  </si>
  <si>
    <t>0.06</t>
  </si>
  <si>
    <t>0.13</t>
  </si>
  <si>
    <t>0.1875</t>
  </si>
  <si>
    <t>0.0285</t>
  </si>
  <si>
    <t>0.083333333</t>
  </si>
  <si>
    <t>0.269230769</t>
  </si>
  <si>
    <t>0.659091</t>
  </si>
  <si>
    <t>0.352941176</t>
  </si>
  <si>
    <t>0.909091</t>
  </si>
  <si>
    <t>0.365853659</t>
  </si>
  <si>
    <t>0.454545</t>
  </si>
  <si>
    <t>0.115652665</t>
  </si>
  <si>
    <t>271.6863963</t>
  </si>
  <si>
    <t>0.01</t>
  </si>
  <si>
    <t>0.727586</t>
  </si>
  <si>
    <t>0.708054</t>
  </si>
  <si>
    <t>0.443966</t>
  </si>
  <si>
    <t>0.414894</t>
  </si>
  <si>
    <t>500.8347245</t>
  </si>
  <si>
    <t>0.2615</t>
  </si>
  <si>
    <t>263.6493464</t>
  </si>
  <si>
    <t>459.0984975</t>
  </si>
  <si>
    <t>0.180949581</t>
  </si>
  <si>
    <t>441.3512137</t>
  </si>
  <si>
    <t>227.3625939</t>
  </si>
  <si>
    <t>0.0176</t>
  </si>
  <si>
    <t>0.777445</t>
  </si>
  <si>
    <t>0.61580875</t>
  </si>
  <si>
    <t>0.781307</t>
  </si>
  <si>
    <t>0.608527</t>
  </si>
  <si>
    <t>0.57764</t>
  </si>
  <si>
    <t>1580.074987</t>
  </si>
  <si>
    <t>346.572399</t>
  </si>
  <si>
    <t>239.4298752</t>
  </si>
  <si>
    <t>35.30657879</t>
  </si>
  <si>
    <t>184.5869866</t>
  </si>
  <si>
    <t>335.2056532</t>
  </si>
  <si>
    <t>487.9061559</t>
  </si>
  <si>
    <t>762.4730648</t>
  </si>
  <si>
    <t>550.1895097</t>
  </si>
  <si>
    <t>0.206896552</t>
  </si>
  <si>
    <t>0.201136666</t>
  </si>
  <si>
    <t>508.3766609</t>
  </si>
  <si>
    <t>265.2080225</t>
  </si>
  <si>
    <t>0.0202</t>
  </si>
  <si>
    <t>0.795122</t>
  </si>
  <si>
    <t>0.7535425</t>
  </si>
  <si>
    <t>0.810562</t>
  </si>
  <si>
    <t>0.630719</t>
  </si>
  <si>
    <t>0.614662</t>
  </si>
  <si>
    <t>1864.559506</t>
  </si>
  <si>
    <t>0.104166667</t>
  </si>
  <si>
    <t>0.411764706</t>
  </si>
  <si>
    <t>461.3863561</t>
  </si>
  <si>
    <t>286.6382478</t>
  </si>
  <si>
    <t>66.14728796</t>
  </si>
  <si>
    <t>277.2579192</t>
  </si>
  <si>
    <t>415.8868788</t>
  </si>
  <si>
    <t>582.2256399</t>
  </si>
  <si>
    <t>942.6769252</t>
  </si>
  <si>
    <t>629.8690535</t>
  </si>
  <si>
    <t>0.254901961</t>
  </si>
  <si>
    <t>0.426229508</t>
  </si>
  <si>
    <t>0.317073171</t>
  </si>
  <si>
    <t>0.217154703</t>
  </si>
  <si>
    <t>570.0958798</t>
  </si>
  <si>
    <t>309.5256519</t>
  </si>
  <si>
    <t>0.0241</t>
  </si>
  <si>
    <t>0.818278</t>
  </si>
  <si>
    <t>0.83758825</t>
  </si>
  <si>
    <t>0.823394</t>
  </si>
  <si>
    <t>0.653244</t>
  </si>
  <si>
    <t>0.629986</t>
  </si>
  <si>
    <t>2598.064187</t>
  </si>
  <si>
    <t>0.121338912</t>
  </si>
  <si>
    <t>0.472222222</t>
  </si>
  <si>
    <t>607.573866</t>
  </si>
  <si>
    <t>382.4261829</t>
  </si>
  <si>
    <t>80.34279593</t>
  </si>
  <si>
    <t>448.3316184</t>
  </si>
  <si>
    <t>470.2194357</t>
  </si>
  <si>
    <t>670.8249971</t>
  </si>
  <si>
    <t>1144.143299</t>
  </si>
  <si>
    <t>783.6990596</t>
  </si>
  <si>
    <t>0.47761194</t>
  </si>
  <si>
    <t>0.377777778</t>
  </si>
  <si>
    <t>0.259507231</t>
  </si>
  <si>
    <t>782.63963</t>
  </si>
  <si>
    <t>574.7126437</t>
  </si>
  <si>
    <t>0.877475</t>
  </si>
  <si>
    <t>0.864592</t>
  </si>
  <si>
    <t>0.680573</t>
  </si>
  <si>
    <t>0.675485</t>
  </si>
  <si>
    <t>3606.797897</t>
  </si>
  <si>
    <t>1.6085</t>
  </si>
  <si>
    <t>844.8950551</t>
  </si>
  <si>
    <t>709.1331459</t>
  </si>
  <si>
    <t>165.4259719</t>
  </si>
  <si>
    <t>923.8451935</t>
  </si>
  <si>
    <t>832.0597725</t>
  </si>
  <si>
    <t>832.2929671</t>
  </si>
  <si>
    <t>1479.398459</t>
  </si>
  <si>
    <t>1085.023123</t>
  </si>
  <si>
    <t>0.547619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</si>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</sst>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0.8414122193461675</c:v>
                </c:pt>
                <c:pt idx="3">
                  <c:v>1</c:v>
                </c:pt>
                <c:pt idx="4">
                  <c:v>1</c:v>
                </c:pt>
                <c:pt idx="5">
                  <c:v>1</c:v>
                </c:pt>
                <c:pt idx="6">
                  <c:v>0.9068627450980395</c:v>
                </c:pt>
                <c:pt idx="7">
                  <c:v>1</c:v>
                </c:pt>
                <c:pt idx="8">
                  <c:v>0.6032114976925654</c:v>
                </c:pt>
                <c:pt idx="9">
                  <c:v>0.7635404066024115</c:v>
                </c:pt>
                <c:pt idx="10">
                  <c:v>0.6334757674575509</c:v>
                </c:pt>
                <c:pt idx="11">
                  <c:v>0.6522340915461935</c:v>
                </c:pt>
                <c:pt idx="12">
                  <c:v>1</c:v>
                </c:pt>
                <c:pt idx="13">
                  <c:v>0</c:v>
                </c:pt>
                <c:pt idx="14">
                  <c:v>1</c:v>
                </c:pt>
                <c:pt idx="15">
                  <c:v>0.969249830987464</c:v>
                </c:pt>
                <c:pt idx="16">
                  <c:v>1</c:v>
                </c:pt>
                <c:pt idx="17">
                  <c:v>1</c:v>
                </c:pt>
                <c:pt idx="18">
                  <c:v>1</c:v>
                </c:pt>
                <c:pt idx="19">
                  <c:v>1</c:v>
                </c:pt>
                <c:pt idx="20">
                  <c:v>1</c:v>
                </c:pt>
                <c:pt idx="21">
                  <c:v>0.7940040995931524</c:v>
                </c:pt>
                <c:pt idx="22">
                  <c:v>1</c:v>
                </c:pt>
                <c:pt idx="23">
                  <c:v>1</c:v>
                </c:pt>
                <c:pt idx="24">
                  <c:v>0.9541390630986232</c:v>
                </c:pt>
                <c:pt idx="25">
                  <c:v>0.909786676612626</c:v>
                </c:pt>
                <c:pt idx="26">
                  <c:v>0.9351688727947548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0.5936902625790761</c:v>
                </c:pt>
                <c:pt idx="3">
                  <c:v>0.5833333333333333</c:v>
                </c:pt>
                <c:pt idx="4">
                  <c:v>0.6125183233860062</c:v>
                </c:pt>
                <c:pt idx="5">
                  <c:v>0.5715944550814351</c:v>
                </c:pt>
                <c:pt idx="6">
                  <c:v>0.6911764705882355</c:v>
                </c:pt>
                <c:pt idx="7">
                  <c:v>0.6405898995786429</c:v>
                </c:pt>
                <c:pt idx="8">
                  <c:v>0.5557670934287051</c:v>
                </c:pt>
                <c:pt idx="9">
                  <c:v>0.5625902368595619</c:v>
                </c:pt>
                <c:pt idx="10">
                  <c:v>0.56030692947369</c:v>
                </c:pt>
                <c:pt idx="11">
                  <c:v>0.5383544912098034</c:v>
                </c:pt>
                <c:pt idx="12">
                  <c:v>0.7105064050904616</c:v>
                </c:pt>
                <c:pt idx="13">
                  <c:v>0</c:v>
                </c:pt>
                <c:pt idx="14">
                  <c:v>0.6030334704121338</c:v>
                </c:pt>
                <c:pt idx="15">
                  <c:v>0.6147054714891006</c:v>
                </c:pt>
                <c:pt idx="16">
                  <c:v>0.6905921694621064</c:v>
                </c:pt>
                <c:pt idx="17">
                  <c:v>0.6133598719543923</c:v>
                </c:pt>
                <c:pt idx="18">
                  <c:v>0.5714932320143324</c:v>
                </c:pt>
                <c:pt idx="19">
                  <c:v>0.632289720196864</c:v>
                </c:pt>
                <c:pt idx="20">
                  <c:v>0.5652764244409991</c:v>
                </c:pt>
                <c:pt idx="21">
                  <c:v>0.6041662440662823</c:v>
                </c:pt>
                <c:pt idx="22">
                  <c:v>0.6876824024309345</c:v>
                </c:pt>
                <c:pt idx="23">
                  <c:v>0.6689867414225109</c:v>
                </c:pt>
                <c:pt idx="24">
                  <c:v>0.641424290085605</c:v>
                </c:pt>
                <c:pt idx="25">
                  <c:v>0.6035191008562272</c:v>
                </c:pt>
                <c:pt idx="26">
                  <c:v>0.614583532116899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0.38192477677782066</c:v>
                </c:pt>
                <c:pt idx="3">
                  <c:v>0.4166666666666666</c:v>
                </c:pt>
                <c:pt idx="4">
                  <c:v>0.37780806242281734</c:v>
                </c:pt>
                <c:pt idx="5">
                  <c:v>0.4388612867018477</c:v>
                </c:pt>
                <c:pt idx="6">
                  <c:v>0.37254901960784326</c:v>
                </c:pt>
                <c:pt idx="7">
                  <c:v>0.3926754338032619</c:v>
                </c:pt>
                <c:pt idx="8">
                  <c:v>0.40860916935673836</c:v>
                </c:pt>
                <c:pt idx="9">
                  <c:v>0.35730382018964363</c:v>
                </c:pt>
                <c:pt idx="10">
                  <c:v>0.4405846224692509</c:v>
                </c:pt>
                <c:pt idx="11">
                  <c:v>0.4073375115133555</c:v>
                </c:pt>
                <c:pt idx="12">
                  <c:v>0.41835660364575217</c:v>
                </c:pt>
                <c:pt idx="13">
                  <c:v>0</c:v>
                </c:pt>
                <c:pt idx="14">
                  <c:v>0.3749999954999999</c:v>
                </c:pt>
                <c:pt idx="15">
                  <c:v>0.3883946746455272</c:v>
                </c:pt>
                <c:pt idx="16">
                  <c:v>0.35031114365935156</c:v>
                </c:pt>
                <c:pt idx="17">
                  <c:v>0.4441314287908557</c:v>
                </c:pt>
                <c:pt idx="18">
                  <c:v>0.34467607775381637</c:v>
                </c:pt>
                <c:pt idx="19">
                  <c:v>0.42833841904766357</c:v>
                </c:pt>
                <c:pt idx="20">
                  <c:v>0.40306765911313847</c:v>
                </c:pt>
                <c:pt idx="21">
                  <c:v>0.3891086041587013</c:v>
                </c:pt>
                <c:pt idx="22">
                  <c:v>0.33212536757734235</c:v>
                </c:pt>
                <c:pt idx="23">
                  <c:v>0.41246970076799466</c:v>
                </c:pt>
                <c:pt idx="24">
                  <c:v>0.39079944096159447</c:v>
                </c:pt>
                <c:pt idx="25">
                  <c:v>0.37836205180184257</c:v>
                </c:pt>
                <c:pt idx="26">
                  <c:v>0.40969463971463344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0.3333333333333333</c:v>
                </c:pt>
                <c:pt idx="4">
                  <c:v>0.06849758941809699</c:v>
                </c:pt>
                <c:pt idx="5">
                  <c:v>0.17116949383371585</c:v>
                </c:pt>
                <c:pt idx="6">
                  <c:v>0</c:v>
                </c:pt>
                <c:pt idx="7">
                  <c:v>0.08996029288550489</c:v>
                </c:pt>
                <c:pt idx="8">
                  <c:v>0</c:v>
                </c:pt>
                <c:pt idx="9">
                  <c:v>0</c:v>
                </c:pt>
                <c:pt idx="10">
                  <c:v>0</c:v>
                </c:pt>
                <c:pt idx="11">
                  <c:v>0</c:v>
                </c:pt>
                <c:pt idx="12">
                  <c:v>0.10862853541034151</c:v>
                </c:pt>
                <c:pt idx="13">
                  <c:v>0</c:v>
                </c:pt>
                <c:pt idx="14">
                  <c:v>0.05649519622598074</c:v>
                </c:pt>
                <c:pt idx="15">
                  <c:v>0</c:v>
                </c:pt>
                <c:pt idx="16">
                  <c:v>0.018045930817334646</c:v>
                </c:pt>
                <c:pt idx="17">
                  <c:v>0.21606953258023265</c:v>
                </c:pt>
                <c:pt idx="18">
                  <c:v>0.18838795245617154</c:v>
                </c:pt>
                <c:pt idx="19">
                  <c:v>0.32519597262045896</c:v>
                </c:pt>
                <c:pt idx="20">
                  <c:v>0.31709821242017144</c:v>
                </c:pt>
                <c:pt idx="21">
                  <c:v>0</c:v>
                </c:pt>
                <c:pt idx="22">
                  <c:v>0.04950714919498909</c:v>
                </c:pt>
                <c:pt idx="23">
                  <c:v>0.31240357118239503</c:v>
                </c:pt>
                <c:pt idx="24">
                  <c:v>0</c:v>
                </c:pt>
                <c:pt idx="25">
                  <c:v>0</c:v>
                </c:pt>
                <c:pt idx="26">
                  <c:v>0</c:v>
                </c:pt>
              </c:numCache>
            </c:numRef>
          </c:val>
        </c:ser>
        <c:overlap val="100"/>
        <c:gapWidth val="100"/>
        <c:axId val="36979305"/>
        <c:axId val="643782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0.28298463152404985</c:v>
                </c:pt>
                <c:pt idx="3">
                  <c:v>1.1712679658176326</c:v>
                </c:pt>
                <c:pt idx="4">
                  <c:v>0.4316653112467355</c:v>
                </c:pt>
                <c:pt idx="5">
                  <c:v>0.44919458752611413</c:v>
                </c:pt>
                <c:pt idx="6">
                  <c:v>0.3792273620153595</c:v>
                </c:pt>
                <c:pt idx="7">
                  <c:v>0.07235112762112009</c:v>
                </c:pt>
                <c:pt idx="8">
                  <c:v>0.4927063269368205</c:v>
                </c:pt>
                <c:pt idx="9">
                  <c:v>0.21954445152994514</c:v>
                </c:pt>
                <c:pt idx="10">
                  <c:v>0.34935482944765706</c:v>
                </c:pt>
                <c:pt idx="11">
                  <c:v>0.3544384121303855</c:v>
                </c:pt>
                <c:pt idx="12">
                  <c:v>0.5336875364377246</c:v>
                </c:pt>
                <c:pt idx="13">
                  <c:v>0.5</c:v>
                </c:pt>
                <c:pt idx="14">
                  <c:v>0.5090481401613752</c:v>
                </c:pt>
                <c:pt idx="15">
                  <c:v>0.6005910174764876</c:v>
                </c:pt>
                <c:pt idx="16">
                  <c:v>0.38309811115973047</c:v>
                </c:pt>
                <c:pt idx="17">
                  <c:v>0.5572379045235578</c:v>
                </c:pt>
                <c:pt idx="18">
                  <c:v>0.5576219056721665</c:v>
                </c:pt>
                <c:pt idx="19">
                  <c:v>0.5553021120686293</c:v>
                </c:pt>
                <c:pt idx="20">
                  <c:v>0.7491764559842193</c:v>
                </c:pt>
                <c:pt idx="21">
                  <c:v>0.3240226049108654</c:v>
                </c:pt>
                <c:pt idx="22">
                  <c:v>0.5566474699828177</c:v>
                </c:pt>
                <c:pt idx="23">
                  <c:v>0.4528260987537874</c:v>
                </c:pt>
                <c:pt idx="24">
                  <c:v>0.45974790581028263</c:v>
                </c:pt>
                <c:pt idx="25">
                  <c:v>0.6323144492824236</c:v>
                </c:pt>
                <c:pt idx="26">
                  <c:v>0.412823624152173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0.5123396353664221</c:v>
                </c:pt>
                <c:pt idx="5">
                  <c:v>0.6374628291933893</c:v>
                </c:pt>
                <c:pt idx="6">
                  <c:v>-999</c:v>
                </c:pt>
                <c:pt idx="7">
                  <c:v>0.503181426298981</c:v>
                </c:pt>
                <c:pt idx="8">
                  <c:v>0.5898068124890102</c:v>
                </c:pt>
                <c:pt idx="9">
                  <c:v>0.409241229952784</c:v>
                </c:pt>
                <c:pt idx="10">
                  <c:v>0.56030692947369</c:v>
                </c:pt>
                <c:pt idx="11">
                  <c:v>0.5</c:v>
                </c:pt>
                <c:pt idx="12">
                  <c:v>-999</c:v>
                </c:pt>
                <c:pt idx="13">
                  <c:v>-999</c:v>
                </c:pt>
                <c:pt idx="14">
                  <c:v>0.3784965010104895</c:v>
                </c:pt>
                <c:pt idx="15">
                  <c:v>0.8029287369953569</c:v>
                </c:pt>
                <c:pt idx="16">
                  <c:v>0.6372503964545714</c:v>
                </c:pt>
                <c:pt idx="17">
                  <c:v>-999</c:v>
                </c:pt>
                <c:pt idx="18">
                  <c:v>0.5300822378895939</c:v>
                </c:pt>
                <c:pt idx="19">
                  <c:v>-999</c:v>
                </c:pt>
                <c:pt idx="20">
                  <c:v>0.39644459467892545</c:v>
                </c:pt>
                <c:pt idx="21">
                  <c:v>0.6391698494922704</c:v>
                </c:pt>
                <c:pt idx="22">
                  <c:v>-999</c:v>
                </c:pt>
                <c:pt idx="23">
                  <c:v>0.5890153750824031</c:v>
                </c:pt>
                <c:pt idx="24">
                  <c:v>0.5236669215036664</c:v>
                </c:pt>
                <c:pt idx="25">
                  <c:v>0.4636023222972282</c:v>
                </c:pt>
                <c:pt idx="26">
                  <c:v>0.5178514790916685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0.5884453147653907</c:v>
                </c:pt>
                <c:pt idx="3">
                  <c:v>0.6666666666666666</c:v>
                </c:pt>
                <c:pt idx="4">
                  <c:v>-999</c:v>
                </c:pt>
                <c:pt idx="5">
                  <c:v>-999</c:v>
                </c:pt>
                <c:pt idx="6">
                  <c:v>0.6911764705882355</c:v>
                </c:pt>
                <c:pt idx="7">
                  <c:v>-999</c:v>
                </c:pt>
                <c:pt idx="8">
                  <c:v>-999</c:v>
                </c:pt>
                <c:pt idx="9">
                  <c:v>-999</c:v>
                </c:pt>
                <c:pt idx="10">
                  <c:v>-999</c:v>
                </c:pt>
                <c:pt idx="11">
                  <c:v>-999</c:v>
                </c:pt>
                <c:pt idx="12">
                  <c:v>0.8105405808750427</c:v>
                </c:pt>
                <c:pt idx="13">
                  <c:v>0.6907921462423833</c:v>
                </c:pt>
                <c:pt idx="14">
                  <c:v>-999</c:v>
                </c:pt>
                <c:pt idx="15">
                  <c:v>-999</c:v>
                </c:pt>
                <c:pt idx="16">
                  <c:v>-999</c:v>
                </c:pt>
                <c:pt idx="17">
                  <c:v>0.8435833864361426</c:v>
                </c:pt>
                <c:pt idx="18">
                  <c:v>-999</c:v>
                </c:pt>
                <c:pt idx="19">
                  <c:v>0.7636275252469</c:v>
                </c:pt>
                <c:pt idx="20">
                  <c:v>-999</c:v>
                </c:pt>
                <c:pt idx="21">
                  <c:v>-999</c:v>
                </c:pt>
                <c:pt idx="22">
                  <c:v>0.7159912338171781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533699"/>
        <c:axId val="47258972"/>
      </c:scatterChart>
      <c:catAx>
        <c:axId val="36979305"/>
        <c:scaling>
          <c:orientation val="maxMin"/>
        </c:scaling>
        <c:axPos val="l"/>
        <c:delete val="0"/>
        <c:numFmt formatCode="General" sourceLinked="1"/>
        <c:majorTickMark val="out"/>
        <c:minorTickMark val="none"/>
        <c:tickLblPos val="none"/>
        <c:spPr>
          <a:ln w="3175">
            <a:noFill/>
          </a:ln>
        </c:spPr>
        <c:crossAx val="64378290"/>
        <c:crosses val="autoZero"/>
        <c:auto val="1"/>
        <c:lblOffset val="100"/>
        <c:tickLblSkip val="1"/>
        <c:noMultiLvlLbl val="0"/>
      </c:catAx>
      <c:valAx>
        <c:axId val="64378290"/>
        <c:scaling>
          <c:orientation val="minMax"/>
          <c:max val="1"/>
          <c:min val="0"/>
        </c:scaling>
        <c:axPos val="t"/>
        <c:delete val="0"/>
        <c:numFmt formatCode="General" sourceLinked="1"/>
        <c:majorTickMark val="none"/>
        <c:minorTickMark val="none"/>
        <c:tickLblPos val="none"/>
        <c:spPr>
          <a:ln w="3175">
            <a:noFill/>
          </a:ln>
        </c:spPr>
        <c:crossAx val="36979305"/>
        <c:crossesAt val="1"/>
        <c:crossBetween val="between"/>
        <c:dispUnits/>
        <c:majorUnit val="1"/>
      </c:valAx>
      <c:valAx>
        <c:axId val="42533699"/>
        <c:scaling>
          <c:orientation val="minMax"/>
          <c:max val="1"/>
          <c:min val="0"/>
        </c:scaling>
        <c:axPos val="t"/>
        <c:delete val="0"/>
        <c:numFmt formatCode="General" sourceLinked="1"/>
        <c:majorTickMark val="none"/>
        <c:minorTickMark val="none"/>
        <c:tickLblPos val="none"/>
        <c:spPr>
          <a:ln w="3175">
            <a:noFill/>
          </a:ln>
        </c:spPr>
        <c:crossAx val="47258972"/>
        <c:crosses val="max"/>
        <c:crossBetween val="midCat"/>
        <c:dispUnits/>
        <c:majorUnit val="0.1"/>
        <c:minorUnit val="0.02"/>
      </c:valAx>
      <c:valAx>
        <c:axId val="47258972"/>
        <c:scaling>
          <c:orientation val="maxMin"/>
          <c:max val="29"/>
          <c:min val="0"/>
        </c:scaling>
        <c:axPos val="l"/>
        <c:delete val="0"/>
        <c:numFmt formatCode="General" sourceLinked="1"/>
        <c:majorTickMark val="none"/>
        <c:minorTickMark val="none"/>
        <c:tickLblPos val="none"/>
        <c:spPr>
          <a:ln w="3175">
            <a:noFill/>
          </a:ln>
        </c:spPr>
        <c:crossAx val="4253369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(C82013) BUSHLOE END SURGERY, NHS EAST LEICESTERSHIRE AND RUTLAND CCG (03W)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765</v>
      </c>
      <c r="Q3" s="65"/>
      <c r="R3" s="66"/>
      <c r="S3" s="66"/>
      <c r="T3" s="66"/>
      <c r="U3" s="66"/>
      <c r="V3" s="66"/>
      <c r="W3" s="66"/>
      <c r="X3" s="66"/>
      <c r="Y3" s="66"/>
      <c r="Z3" s="66"/>
      <c r="AA3" s="66"/>
      <c r="AB3" s="66"/>
      <c r="AC3" s="66"/>
    </row>
    <row r="4" spans="2:29" ht="18" customHeight="1">
      <c r="B4" s="317" t="s">
        <v>766</v>
      </c>
      <c r="C4" s="318"/>
      <c r="D4" s="318"/>
      <c r="E4" s="318"/>
      <c r="F4" s="318"/>
      <c r="G4" s="319"/>
      <c r="H4" s="111"/>
      <c r="I4" s="111"/>
      <c r="J4" s="111"/>
      <c r="K4" s="111"/>
      <c r="L4" s="112"/>
      <c r="M4" s="65"/>
      <c r="N4" s="65"/>
      <c r="O4" s="65"/>
      <c r="P4" s="133" t="s">
        <v>767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785</v>
      </c>
      <c r="C8" s="114"/>
      <c r="D8" s="114"/>
      <c r="E8" s="127">
        <f>VLOOKUP('Hide - Control'!A$3,'All practice data'!A:CA,4,FALSE)</f>
        <v>9706</v>
      </c>
      <c r="F8" s="332" t="str">
        <f>VLOOKUP('Hide - Control'!B4,'Hide - Calculation'!AY:BA,3,FALSE)</f>
        <v> </v>
      </c>
      <c r="G8" s="332"/>
      <c r="H8" s="332"/>
      <c r="I8" s="114"/>
      <c r="J8" s="114"/>
      <c r="K8" s="114"/>
      <c r="L8" s="114"/>
      <c r="M8" s="108"/>
      <c r="N8" s="308" t="s">
        <v>768</v>
      </c>
      <c r="O8" s="308"/>
      <c r="P8" s="308"/>
      <c r="Q8" s="308" t="s">
        <v>769</v>
      </c>
      <c r="R8" s="308"/>
      <c r="S8" s="308"/>
      <c r="T8" s="308" t="s">
        <v>770</v>
      </c>
      <c r="U8" s="308"/>
      <c r="V8" s="308" t="s">
        <v>771</v>
      </c>
      <c r="W8" s="308"/>
      <c r="X8" s="308"/>
      <c r="Y8" s="134"/>
      <c r="Z8" s="308" t="s">
        <v>772</v>
      </c>
      <c r="AA8" s="308"/>
      <c r="AB8" s="160"/>
      <c r="AC8" s="108"/>
    </row>
    <row r="9" spans="2:29" s="61" customFormat="1" ht="19.5" customHeight="1" thickBot="1">
      <c r="B9" s="113" t="s">
        <v>773</v>
      </c>
      <c r="C9" s="113"/>
      <c r="D9" s="113"/>
      <c r="E9" s="128">
        <f>VLOOKUP('Hide - Control'!B4,'Hide - Calculation'!AY:BB,4,FALSE)</f>
        <v>314664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775</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2099</v>
      </c>
      <c r="H13" s="189">
        <f>IF(VLOOKUP('Hide - Control'!A$3,'All practice data'!A:CA,C13+30,FALSE)=" "," ",VLOOKUP('Hide - Control'!A$3,'All practice data'!A:CA,C13+30,FALSE))</f>
        <v>0.21625798475169997</v>
      </c>
      <c r="I13" s="190">
        <f>IF(LEFT(G13,1)=" "," n/a",+((2*G13+1.96^2-1.96*SQRT(1.96^2+4*G13*(1-G13/E$8)))/(2*(E$8+1.96^2))))</f>
        <v>0.208180630171143</v>
      </c>
      <c r="J13" s="190">
        <f>IF(LEFT(G13,1)=" "," n/a",+((2*G13+1.96^2+1.96*SQRT(1.96^2+4*G13*(1-G13/E$8)))/(2*(E$8+1.96^2))))</f>
        <v>0.22455985861293765</v>
      </c>
      <c r="K13" s="189">
        <f>IF('Hide - Calculation'!N7="","",'Hide - Calculation'!N7)</f>
        <v>0.19697836422342563</v>
      </c>
      <c r="L13" s="191">
        <f>'Hide - Calculation'!O7</f>
        <v>0.16403398204837302</v>
      </c>
      <c r="M13" s="301" t="str">
        <f>IF(ISBLANK('Hide - Calculation'!K7),"",FIXED(100*'Hide - Calculation'!U7,1)&amp;"%")</f>
        <v>11.6%</v>
      </c>
      <c r="N13" s="172"/>
      <c r="O13" s="172"/>
      <c r="P13" s="172"/>
      <c r="Q13" s="172"/>
      <c r="R13" s="172"/>
      <c r="S13" s="172"/>
      <c r="T13" s="172"/>
      <c r="U13" s="172"/>
      <c r="V13" s="172"/>
      <c r="W13" s="172"/>
      <c r="X13" s="172"/>
      <c r="Y13" s="172"/>
      <c r="Z13" s="172"/>
      <c r="AA13" s="302" t="str">
        <f>IF(ISBLANK('Hide - Calculation'!K7),"",FIXED(100*'Hide - Calculation'!T7,1)&amp;"%")</f>
        <v>26.0%</v>
      </c>
      <c r="AB13" s="230" t="s">
        <v>210</v>
      </c>
      <c r="AC13" s="207" t="s">
        <v>776</v>
      </c>
    </row>
    <row r="14" spans="2:29" ht="33.75" customHeight="1">
      <c r="B14" s="327"/>
      <c r="C14" s="136">
        <v>2</v>
      </c>
      <c r="D14" s="131" t="s">
        <v>161</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0.08446754690728431</v>
      </c>
      <c r="J14" s="119">
        <f>IF(LEFT(G14,1)=" "," n/a",+((2*H14*E8+1.96^2+1.96*SQRT(1.96^2+4*H14*E8*(1-H14*E8/E$8)))/(2*(E$8+1.96^2))))</f>
        <v>0.0958568777465638</v>
      </c>
      <c r="K14" s="118">
        <f>IF('Hide - Calculation'!N8="","",'Hide - Calculation'!N8)</f>
        <v>0.07451691327892611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13.0%</v>
      </c>
      <c r="AB14" s="231" t="s">
        <v>39</v>
      </c>
      <c r="AC14" s="129" t="s">
        <v>776</v>
      </c>
    </row>
    <row r="15" spans="2:39" s="63" customFormat="1" ht="33.75" customHeight="1">
      <c r="B15" s="327"/>
      <c r="C15" s="136">
        <v>3</v>
      </c>
      <c r="D15" s="131" t="s">
        <v>100</v>
      </c>
      <c r="E15" s="85"/>
      <c r="F15" s="85"/>
      <c r="G15" s="120">
        <f>IF(VLOOKUP('Hide - Control'!A$3,'All practice data'!A:CA,C15+4,FALSE)=" "," ",VLOOKUP('Hide - Control'!A$3,'All practice data'!A:CA,C15+4,FALSE))</f>
        <v>50</v>
      </c>
      <c r="H15" s="121">
        <f>IF(VLOOKUP('Hide - Control'!A$3,'All practice data'!A:CA,C15+30,FALSE)=" "," ",VLOOKUP('Hide - Control'!A$3,'All practice data'!A:CA,C15+30,FALSE))</f>
        <v>515.1452709664126</v>
      </c>
      <c r="I15" s="122">
        <f>IF(LEFT(G15,1)=" "," n/a",IF(G15&lt;5,100000*VLOOKUP(G15,'Hide - Calculation'!AQ:AR,2,FALSE)/$E$8,100000*(G15*(1-1/(9*G15)-1.96/(3*SQRT(G15)))^3)/$E$8))</f>
        <v>382.3190980118963</v>
      </c>
      <c r="J15" s="122">
        <f>IF(LEFT(G15,1)=" "," n/a",IF(G15&lt;5,100000*VLOOKUP(G15,'Hide - Calculation'!AQ:AS,3,FALSE)/$E$8,100000*((G15+1)*(1-1/(9*(G15+1))+1.96/(3*SQRT(G15+1)))^3)/$E$8))</f>
        <v>679.1722840114949</v>
      </c>
      <c r="K15" s="121">
        <f>IF('Hide - Calculation'!N9="","",'Hide - Calculation'!N9)</f>
        <v>509.114484021051</v>
      </c>
      <c r="L15" s="155">
        <f>'Hide - Calculation'!O9</f>
        <v>470.8933116400106</v>
      </c>
      <c r="M15" s="150" t="str">
        <f>IF(ISBLANK('Hide - Calculation'!K9),"",FIXED('Hide - Calculation'!U9,0))</f>
        <v>272</v>
      </c>
      <c r="N15" s="84"/>
      <c r="O15" s="84"/>
      <c r="P15" s="84"/>
      <c r="Q15" s="84"/>
      <c r="R15" s="84"/>
      <c r="S15" s="84"/>
      <c r="T15" s="84"/>
      <c r="U15" s="84"/>
      <c r="V15" s="84"/>
      <c r="W15" s="84"/>
      <c r="X15" s="84"/>
      <c r="Y15" s="84"/>
      <c r="Z15" s="84"/>
      <c r="AA15" s="225" t="str">
        <f>IF(ISBLANK('Hide - Calculation'!K9),"",FIXED('Hide - Calculation'!T9,0))</f>
        <v>783</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f>IF(VLOOKUP('Hide - Control'!A$3,'All practice data'!A:CA,C16+4,FALSE)=" "," ",VLOOKUP('Hide - Control'!A$3,'All practice data'!A:CA,C16+4,FALSE))</f>
        <v>34</v>
      </c>
      <c r="H16" s="121">
        <f>IF(VLOOKUP('Hide - Control'!A$3,'All practice data'!A:CA,C16+30,FALSE)=" "," ",VLOOKUP('Hide - Control'!A$3,'All practice data'!A:CA,C16+30,FALSE))</f>
        <v>350.2987842571605</v>
      </c>
      <c r="I16" s="122">
        <f>IF(LEFT(G16,1)=" "," n/a",IF(G16&lt;5,100000*VLOOKUP(G16,'Hide - Calculation'!AQ:AR,2,FALSE)/$E$8,100000*(G16*(1-1/(9*G16)-1.96/(3*SQRT(G16)))^3)/$E$8))</f>
        <v>242.5529227216182</v>
      </c>
      <c r="J16" s="122">
        <f>IF(LEFT(G16,1)=" "," n/a",IF(G16&lt;5,100000*VLOOKUP(G16,'Hide - Calculation'!AQ:AS,3,FALSE)/$E$8,100000*((G16+1)*(1-1/(9*(G16+1))+1.96/(3*SQRT(G16+1)))^3)/$E$8))</f>
        <v>489.5254556664542</v>
      </c>
      <c r="K16" s="121">
        <f>IF('Hide - Calculation'!N10="","",'Hide - Calculation'!N10)</f>
        <v>267.5870134492665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575</v>
      </c>
      <c r="AB16" s="231" t="s">
        <v>95</v>
      </c>
      <c r="AC16" s="130" t="s">
        <v>777</v>
      </c>
    </row>
    <row r="17" spans="2:29" s="63" customFormat="1" ht="33.75" customHeight="1" thickBot="1">
      <c r="B17" s="328"/>
      <c r="C17" s="179">
        <v>5</v>
      </c>
      <c r="D17" s="194" t="s">
        <v>99</v>
      </c>
      <c r="E17" s="181"/>
      <c r="F17" s="181"/>
      <c r="G17" s="139">
        <f>IF(VLOOKUP('Hide - Control'!A$3,'All practice data'!A:CA,C17+4,FALSE)=" "," ",VLOOKUP('Hide - Control'!A$3,'All practice data'!A:CA,C17+4,FALSE))</f>
        <v>234</v>
      </c>
      <c r="H17" s="140">
        <f>IF(VLOOKUP('Hide - Control'!A$3,'All practice data'!A:CA,C17+30,FALSE)=" "," ",VLOOKUP('Hide - Control'!A$3,'All practice data'!A:CA,C17+30,FALSE))</f>
        <v>0.0241</v>
      </c>
      <c r="I17" s="141">
        <f>IF(LEFT(G17,1)=" "," n/a",+((2*G17+1.96^2-1.96*SQRT(1.96^2+4*G17*(1-G17/E$8)))/(2*(E$8+1.96^2))))</f>
        <v>0.02124030225443031</v>
      </c>
      <c r="J17" s="141">
        <f>IF(LEFT(G17,1)=" "," n/a",+((2*G17+1.96^2+1.96*SQRT(1.96^2+4*G17*(1-G17/E$8)))/(2*(E$8+1.96^2))))</f>
        <v>0.027353858128165424</v>
      </c>
      <c r="K17" s="140">
        <f>IF('Hide - Calculation'!N11="","",'Hide - Calculation'!N11)</f>
        <v>0.02106691582132052</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2.9%</v>
      </c>
      <c r="AB17" s="232" t="s">
        <v>158</v>
      </c>
      <c r="AC17" s="188" t="s">
        <v>777</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1133</v>
      </c>
      <c r="H18" s="218">
        <f>IF(OR(VLOOKUP('Hide - Control'!A$3,'All practice data'!A:CA,C18+30,FALSE)=" ",VLOOKUP('Hide - Control'!A$3,'All practice data'!A:CA,C18+52,FALSE)=0)," n/a",VLOOKUP('Hide - Control'!A$3,'All practice data'!A:CA,C18+30,FALSE))</f>
        <v>0.795646</v>
      </c>
      <c r="I18" s="190">
        <f>IF(OR(LEFT(H18,1)=" ",VLOOKUP('Hide - Control'!A$3,'All practice data'!A:CA,C18+52,FALSE)=0)," n/a",+((2*G18+1.96^2-1.96*SQRT(1.96^2+4*G18*(1-G18/(VLOOKUP('Hide - Control'!A$3,'All practice data'!A:CA,C18+52,FALSE)))))/(2*(((VLOOKUP('Hide - Control'!A$3,'All practice data'!A:CA,C18+52,FALSE)))+1.96^2))))</f>
        <v>0.7739200486198249</v>
      </c>
      <c r="J18" s="190">
        <f>IF(OR(LEFT(H18,1)=" ",VLOOKUP('Hide - Control'!A$3,'All practice data'!A:CA,C18+52,FALSE)=0)," n/a",+((2*G18+1.96^2+1.96*SQRT(1.96^2+4*G18*(1-G18/(VLOOKUP('Hide - Control'!A$3,'All practice data'!A:CA,C18+52,FALSE)))))/(2*((VLOOKUP('Hide - Control'!A$3,'All practice data'!A:CA,C18+52,FALSE))+1.96^2))))</f>
        <v>0.8157812179632472</v>
      </c>
      <c r="K18" s="218">
        <f>IF('Hide - Calculation'!N12="","",'Hide - Calculation'!N12)</f>
        <v>0.8098348418400672</v>
      </c>
      <c r="L18" s="191">
        <f>'Hide - Calculation'!O12</f>
        <v>0.7246856648259642</v>
      </c>
      <c r="M18" s="192" t="str">
        <f>IF(ISBLANK('Hide - Calculation'!K12),"",FIXED(100*'Hide - Calculation'!U12,1)&amp;"%")</f>
        <v>72.8%</v>
      </c>
      <c r="N18" s="193"/>
      <c r="O18" s="172"/>
      <c r="P18" s="172"/>
      <c r="Q18" s="172"/>
      <c r="R18" s="172"/>
      <c r="S18" s="172"/>
      <c r="T18" s="172"/>
      <c r="U18" s="172"/>
      <c r="V18" s="172"/>
      <c r="W18" s="172"/>
      <c r="X18" s="172"/>
      <c r="Y18" s="172"/>
      <c r="Z18" s="173"/>
      <c r="AA18" s="192" t="str">
        <f>IF(ISBLANK('Hide - Calculation'!K12),"",FIXED(100*'Hide - Calculation'!T12,1)&amp;"%")</f>
        <v>87.7%</v>
      </c>
      <c r="AB18" s="230" t="s">
        <v>48</v>
      </c>
      <c r="AC18" s="174" t="s">
        <v>778</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0.888889</v>
      </c>
      <c r="I19" s="119">
        <f>IF(OR(LEFT(H19,1)=" ",VLOOKUP('Hide - Control'!A$3,'All practice data'!A:CA,C19+52,FALSE)=0)," n/a",+((2*G19+1.96^2-1.96*SQRT(1.96^2+4*G19*(1-G19/(VLOOKUP('Hide - Control'!A$3,'All practice data'!A:CA,C19+52,FALSE)))))/(2*(((VLOOKUP('Hide - Control'!A$3,'All practice data'!A:CA,C19+52,FALSE)))+1.96^2))))</f>
        <v>0.5649937852319399</v>
      </c>
      <c r="J19" s="119">
        <f>IF(OR(LEFT(H19,1)=" ",VLOOKUP('Hide - Control'!A$3,'All practice data'!A:CA,C19+52,FALSE)=0)," n/a",+((2*G19+1.96^2+1.96*SQRT(1.96^2+4*G19*(1-G19/(VLOOKUP('Hide - Control'!A$3,'All practice data'!A:CA,C19+52,FALSE)))))/(2*((VLOOKUP('Hide - Control'!A$3,'All practice data'!A:CA,C19+52,FALSE))+1.96^2))))</f>
        <v>0.9801096286728695</v>
      </c>
      <c r="K19" s="216">
        <f>IF('Hide - Calculation'!N13="","",'Hide - Calculation'!N13)</f>
        <v>0.8332870550341533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90.9%</v>
      </c>
      <c r="AB19" s="231" t="s">
        <v>48</v>
      </c>
      <c r="AC19" s="130" t="s">
        <v>777</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1831</v>
      </c>
      <c r="H20" s="216">
        <f>IF(OR(VLOOKUP('Hide - Control'!A$3,'All practice data'!A:CA,C20+30,FALSE)=" ",VLOOKUP('Hide - Control'!A$3,'All practice data'!A:CA,C20+52,FALSE)=0)," n/a",VLOOKUP('Hide - Control'!A$3,'All practice data'!A:CA,C20+30,FALSE))</f>
        <v>0.791955</v>
      </c>
      <c r="I20" s="119">
        <f>IF(OR(LEFT(H20,1)=" ",VLOOKUP('Hide - Control'!A$3,'All practice data'!A:CA,C20+52,FALSE)=0)," n/a",+((2*G20+1.96^2-1.96*SQRT(1.96^2+4*G20*(1-G20/(VLOOKUP('Hide - Control'!A$3,'All practice data'!A:CA,C20+52,FALSE)))))/(2*(((VLOOKUP('Hide - Control'!A$3,'All practice data'!A:CA,C20+52,FALSE)))+1.96^2))))</f>
        <v>0.7749314244487382</v>
      </c>
      <c r="J20" s="119">
        <f>IF(OR(LEFT(H20,1)=" ",VLOOKUP('Hide - Control'!A$3,'All practice data'!A:CA,C20+52,FALSE)=0)," n/a",+((2*G20+1.96^2+1.96*SQRT(1.96^2+4*G20*(1-G20/(VLOOKUP('Hide - Control'!A$3,'All practice data'!A:CA,C20+52,FALSE)))))/(2*((VLOOKUP('Hide - Control'!A$3,'All practice data'!A:CA,C20+52,FALSE))+1.96^2))))</f>
        <v>0.8080099995243003</v>
      </c>
      <c r="K20" s="216">
        <f>IF('Hide - Calculation'!N14="","",'Hide - Calculation'!N14)</f>
        <v>0.8022875389326564</v>
      </c>
      <c r="L20" s="154">
        <f>'Hide - Calculation'!O14</f>
        <v>0.7530641252748632</v>
      </c>
      <c r="M20" s="151" t="str">
        <f>IF(ISBLANK('Hide - Calculation'!K14),"",FIXED(100*'Hide - Calculation'!U14,1)&amp;"%")</f>
        <v>70.8%</v>
      </c>
      <c r="N20" s="159"/>
      <c r="O20" s="84"/>
      <c r="P20" s="84"/>
      <c r="Q20" s="84"/>
      <c r="R20" s="84"/>
      <c r="S20" s="84"/>
      <c r="T20" s="84"/>
      <c r="U20" s="84"/>
      <c r="V20" s="84"/>
      <c r="W20" s="84"/>
      <c r="X20" s="84"/>
      <c r="Y20" s="84"/>
      <c r="Z20" s="88"/>
      <c r="AA20" s="151" t="str">
        <f>IF(ISBLANK('Hide - Calculation'!K14),"",FIXED(100*'Hide - Calculation'!T14,1)&amp;"%")</f>
        <v>86.5%</v>
      </c>
      <c r="AB20" s="231" t="s">
        <v>48</v>
      </c>
      <c r="AC20" s="130" t="s">
        <v>779</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876</v>
      </c>
      <c r="H21" s="216">
        <f>IF(OR(VLOOKUP('Hide - Control'!A$3,'All practice data'!A:CA,C21+30,FALSE)=" ",VLOOKUP('Hide - Control'!A$3,'All practice data'!A:CA,C21+52,FALSE)=0)," n/a",VLOOKUP('Hide - Control'!A$3,'All practice data'!A:CA,C21+30,FALSE))</f>
        <v>0.653244</v>
      </c>
      <c r="I21" s="119">
        <f>IF(OR(LEFT(H21,1)=" ",VLOOKUP('Hide - Control'!A$3,'All practice data'!A:CA,C21+52,FALSE)=0)," n/a",+((2*G21+1.96^2-1.96*SQRT(1.96^2+4*G21*(1-G21/(VLOOKUP('Hide - Control'!A$3,'All practice data'!A:CA,C21+52,FALSE)))))/(2*(((VLOOKUP('Hide - Control'!A$3,'All practice data'!A:CA,C21+52,FALSE)))+1.96^2))))</f>
        <v>0.6273650779780564</v>
      </c>
      <c r="J21" s="119">
        <f>IF(OR(LEFT(H21,1)=" ",VLOOKUP('Hide - Control'!A$3,'All practice data'!A:CA,C21+52,FALSE)=0)," n/a",+((2*G21+1.96^2+1.96*SQRT(1.96^2+4*G21*(1-G21/(VLOOKUP('Hide - Control'!A$3,'All practice data'!A:CA,C21+52,FALSE)))))/(2*((VLOOKUP('Hide - Control'!A$3,'All practice data'!A:CA,C21+52,FALSE))+1.96^2))))</f>
        <v>0.6782471220014803</v>
      </c>
      <c r="K21" s="216">
        <f>IF('Hide - Calculation'!N15="","",'Hide - Calculation'!N15)</f>
        <v>0.6353493248134189</v>
      </c>
      <c r="L21" s="154">
        <f>'Hide - Calculation'!O15</f>
        <v>0.5744521249276766</v>
      </c>
      <c r="M21" s="151" t="str">
        <f>IF(ISBLANK('Hide - Calculation'!K15),"",FIXED(100*'Hide - Calculation'!U15,1)&amp;"%")</f>
        <v>44.4%</v>
      </c>
      <c r="N21" s="159"/>
      <c r="O21" s="84"/>
      <c r="P21" s="84"/>
      <c r="Q21" s="84"/>
      <c r="R21" s="84"/>
      <c r="S21" s="84"/>
      <c r="T21" s="84"/>
      <c r="U21" s="84"/>
      <c r="V21" s="84"/>
      <c r="W21" s="84"/>
      <c r="X21" s="84"/>
      <c r="Y21" s="84"/>
      <c r="Z21" s="88"/>
      <c r="AA21" s="151" t="str">
        <f>IF(ISBLANK('Hide - Calculation'!K15),"",FIXED(100*'Hide - Calculation'!T15,1)&amp;"%")</f>
        <v>68.1%</v>
      </c>
      <c r="AB21" s="231" t="s">
        <v>48</v>
      </c>
      <c r="AC21" s="130" t="s">
        <v>780</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327</v>
      </c>
      <c r="H22" s="221">
        <f>IF(OR(VLOOKUP('Hide - Control'!A$3,'All practice data'!A:CA,C22+30,FALSE)=" ",VLOOKUP('Hide - Control'!A$3,'All practice data'!A:CA,C22+52,FALSE)=0)," n/a",VLOOKUP('Hide - Control'!A$3,'All practice data'!A:CA,C22+30,FALSE))</f>
        <v>0.614662</v>
      </c>
      <c r="I22" s="195">
        <f>IF(OR(LEFT(H22,1)=" ",VLOOKUP('Hide - Control'!A$3,'All practice data'!A:CA,C22+52,FALSE)=0)," n/a",+((2*G22+1.96^2-1.96*SQRT(1.96^2+4*G22*(1-G22/(VLOOKUP('Hide - Control'!A$3,'All practice data'!A:CA,C22+52,FALSE)))))/(2*(((VLOOKUP('Hide - Control'!A$3,'All practice data'!A:CA,C22+52,FALSE)))+1.96^2))))</f>
        <v>0.5726238411444464</v>
      </c>
      <c r="J22" s="195">
        <f>IF(OR(LEFT(H22,1)=" ",VLOOKUP('Hide - Control'!A$3,'All practice data'!A:CA,C22+52,FALSE)=0)," n/a",+((2*G22+1.96^2+1.96*SQRT(1.96^2+4*G22*(1-G22/(VLOOKUP('Hide - Control'!A$3,'All practice data'!A:CA,C22+52,FALSE)))))/(2*((VLOOKUP('Hide - Control'!A$3,'All practice data'!A:CA,C22+52,FALSE))+1.96^2))))</f>
        <v>0.6550553834622284</v>
      </c>
      <c r="K22" s="221">
        <f>IF('Hide - Calculation'!N16="","",'Hide - Calculation'!N16)</f>
        <v>0.6150604617075852</v>
      </c>
      <c r="L22" s="196">
        <f>'Hide - Calculation'!O16</f>
        <v>0.5565049054289257</v>
      </c>
      <c r="M22" s="197" t="str">
        <f>IF(ISBLANK('Hide - Calculation'!K16),"",FIXED(100*'Hide - Calculation'!U16,1)&amp;"%")</f>
        <v>41.5%</v>
      </c>
      <c r="N22" s="198"/>
      <c r="O22" s="91"/>
      <c r="P22" s="91"/>
      <c r="Q22" s="91"/>
      <c r="R22" s="91"/>
      <c r="S22" s="91"/>
      <c r="T22" s="91"/>
      <c r="U22" s="91"/>
      <c r="V22" s="91"/>
      <c r="W22" s="91"/>
      <c r="X22" s="91"/>
      <c r="Y22" s="91"/>
      <c r="Z22" s="187"/>
      <c r="AA22" s="197" t="str">
        <f>IF(ISBLANK('Hide - Calculation'!K16),"",FIXED(100*'Hide - Calculation'!T16,1)&amp;"%")</f>
        <v>67.5%</v>
      </c>
      <c r="AB22" s="232" t="s">
        <v>48</v>
      </c>
      <c r="AC22" s="188" t="s">
        <v>777</v>
      </c>
    </row>
    <row r="23" spans="2:29" s="63" customFormat="1" ht="33.75" customHeight="1">
      <c r="B23" s="326" t="s">
        <v>90</v>
      </c>
      <c r="C23" s="162">
        <v>11</v>
      </c>
      <c r="D23" s="178" t="s">
        <v>101</v>
      </c>
      <c r="E23" s="164"/>
      <c r="F23" s="164"/>
      <c r="G23" s="117">
        <f>IF(VLOOKUP('Hide - Control'!A$3,'All practice data'!A:CA,C23+4,FALSE)=" "," ",VLOOKUP('Hide - Control'!A$3,'All practice data'!A:CA,C23+4,FALSE))</f>
        <v>286</v>
      </c>
      <c r="H23" s="214">
        <f>IF(VLOOKUP('Hide - Control'!A$3,'All practice data'!A:CA,C23+30,FALSE)=" "," ",VLOOKUP('Hide - Control'!A$3,'All practice data'!A:CA,C23+30,FALSE))</f>
        <v>2946.6309499278796</v>
      </c>
      <c r="I23" s="213">
        <f>IF(LEFT(G23,1)=" "," n/a",IF(G23&lt;5,100000*VLOOKUP(G23,'Hide - Calculation'!AQ:AR,2,FALSE)/$E$8,100000*(G23*(1-1/(9*G23)-1.96/(3*SQRT(G23)))^3)/$E$8))</f>
        <v>2614.9751105870682</v>
      </c>
      <c r="J23" s="213">
        <f>IF(LEFT(G23,1)=" "," n/a",IF(G23&lt;5,100000*VLOOKUP(G23,'Hide - Calculation'!AQ:AS,3,FALSE)/$E$8,100000*((G23+1)*(1-1/(9*(G23+1))+1.96/(3*SQRT(G23+1)))^3)/$E$8))</f>
        <v>3308.6966331934027</v>
      </c>
      <c r="K23" s="214">
        <f>IF('Hide - Calculation'!N17="","",'Hide - Calculation'!N17)</f>
        <v>2052.0301019500166</v>
      </c>
      <c r="L23" s="215">
        <f>'Hide - Calculation'!O17</f>
        <v>1981.9429445600304</v>
      </c>
      <c r="M23" s="169" t="str">
        <f>IF(ISBLANK('Hide - Calculation'!K17),"",FIXED('Hide - Calculation'!U17,0))</f>
        <v>501</v>
      </c>
      <c r="N23" s="170"/>
      <c r="O23" s="171"/>
      <c r="P23" s="171"/>
      <c r="Q23" s="171"/>
      <c r="R23" s="172"/>
      <c r="S23" s="172"/>
      <c r="T23" s="172"/>
      <c r="U23" s="172"/>
      <c r="V23" s="172"/>
      <c r="W23" s="172"/>
      <c r="X23" s="172"/>
      <c r="Y23" s="172"/>
      <c r="Z23" s="173"/>
      <c r="AA23" s="169" t="str">
        <f>IF(ISBLANK('Hide - Calculation'!K17),"",FIXED('Hide - Calculation'!T17,0))</f>
        <v>3,607</v>
      </c>
      <c r="AB23" s="230" t="s">
        <v>26</v>
      </c>
      <c r="AC23" s="174" t="s">
        <v>777</v>
      </c>
    </row>
    <row r="24" spans="2:29" s="63" customFormat="1" ht="33.75" customHeight="1">
      <c r="B24" s="327"/>
      <c r="C24" s="136">
        <v>12</v>
      </c>
      <c r="D24" s="146" t="s">
        <v>171</v>
      </c>
      <c r="E24" s="85"/>
      <c r="F24" s="85"/>
      <c r="G24" s="117">
        <f>IF(VLOOKUP('Hide - Control'!A$3,'All practice data'!A:CA,C24+4,FALSE)=" "," ",VLOOKUP('Hide - Control'!A$3,'All practice data'!A:CA,C24+4,FALSE))</f>
        <v>286</v>
      </c>
      <c r="H24" s="118">
        <f>IF(VLOOKUP('Hide - Control'!A$3,'All practice data'!A:CA,C24+30,FALSE)=" "," ",VLOOKUP('Hide - Control'!A$3,'All practice data'!A:CA,C24+30,FALSE))</f>
        <v>1.2818</v>
      </c>
      <c r="I24" s="210">
        <f>IF(LEFT(VLOOKUP('Hide - Control'!A$3,'All practice data'!A:CA,C24+44,FALSE),1)=" "," n/a",VLOOKUP('Hide - Control'!A$3,'All practice data'!A:CA,C24+44,FALSE))</f>
        <v>1.1376</v>
      </c>
      <c r="J24" s="210">
        <f>IF(LEFT(VLOOKUP('Hide - Control'!A$3,'All practice data'!A:CA,C24+45,FALSE),1)=" "," n/a",VLOOKUP('Hide - Control'!A$3,'All practice data'!A:CA,C24+45,FALSE))</f>
        <v>1.4393</v>
      </c>
      <c r="K24" s="151" t="s">
        <v>211</v>
      </c>
      <c r="L24" s="211">
        <v>1</v>
      </c>
      <c r="M24" s="151" t="str">
        <f>IF(ISBLANK('Hide - Calculation'!K18),"",FIXED(100*'Hide - Calculation'!U18,1)&amp;"%")</f>
        <v>26.2%</v>
      </c>
      <c r="N24" s="86"/>
      <c r="O24" s="87"/>
      <c r="P24" s="87"/>
      <c r="Q24" s="87"/>
      <c r="R24" s="84"/>
      <c r="S24" s="84"/>
      <c r="T24" s="84"/>
      <c r="U24" s="84"/>
      <c r="V24" s="84"/>
      <c r="W24" s="84"/>
      <c r="X24" s="84"/>
      <c r="Y24" s="84"/>
      <c r="Z24" s="88"/>
      <c r="AA24" s="151" t="str">
        <f>IF(ISBLANK('Hide - Calculation'!K18),"",FIXED(100*'Hide - Calculation'!T18,1)&amp;"%")</f>
        <v>160.9%</v>
      </c>
      <c r="AB24" s="231" t="s">
        <v>26</v>
      </c>
      <c r="AC24" s="130" t="s">
        <v>777</v>
      </c>
    </row>
    <row r="25" spans="2:29" s="63" customFormat="1" ht="33.75" customHeight="1">
      <c r="B25" s="327"/>
      <c r="C25" s="136">
        <v>13</v>
      </c>
      <c r="D25" s="146" t="s">
        <v>97</v>
      </c>
      <c r="E25" s="85"/>
      <c r="F25" s="85"/>
      <c r="G25" s="117">
        <f>IF(VLOOKUP('Hide - Control'!A$3,'All practice data'!A:CA,C25+4,FALSE)=" "," ",VLOOKUP('Hide - Control'!A$3,'All practice data'!A:CA,C25+4,FALSE))</f>
        <v>24</v>
      </c>
      <c r="H25" s="118">
        <f>IF(VLOOKUP('Hide - Control'!A$3,'All practice data'!A:CA,C25+30,FALSE)=" "," ",VLOOKUP('Hide - Control'!A$3,'All practice data'!A:CA,C25+30,FALSE))</f>
        <v>0.08391608391608392</v>
      </c>
      <c r="I25" s="119">
        <f>IF(LEFT(G25,1)=" "," n/a",IF(G25=0," n/a",+((2*G25+1.96^2-1.96*SQRT(1.96^2+4*G25*(1-G25/G23)))/(2*(G23+1.96^2)))))</f>
        <v>0.0570377978413813</v>
      </c>
      <c r="J25" s="119">
        <f>IF(LEFT(G25,1)=" "," n/a",IF(G25=0," n/a",+((2*G25+1.96^2+1.96*SQRT(1.96^2+4*G25*(1-G25/G23)))/(2*(G23+1.96^2)))))</f>
        <v>0.12182403565663971</v>
      </c>
      <c r="K25" s="124">
        <f>IF('Hide - Calculation'!N19="","",'Hide - Calculation'!N19)</f>
        <v>0.10422796964534614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18.8%</v>
      </c>
      <c r="AB25" s="231" t="s">
        <v>26</v>
      </c>
      <c r="AC25" s="130" t="s">
        <v>777</v>
      </c>
    </row>
    <row r="26" spans="2:29" s="63" customFormat="1" ht="33.75" customHeight="1">
      <c r="B26" s="327"/>
      <c r="C26" s="136">
        <v>14</v>
      </c>
      <c r="D26" s="146" t="s">
        <v>159</v>
      </c>
      <c r="E26" s="85"/>
      <c r="F26" s="85"/>
      <c r="G26" s="120">
        <f>IF(VLOOKUP('Hide - Control'!A$3,'All practice data'!A:CA,C26+4,FALSE)=" "," ",VLOOKUP('Hide - Control'!A$3,'All practice data'!A:CA,C26+4,FALSE))</f>
        <v>42</v>
      </c>
      <c r="H26" s="118">
        <f>IF(VLOOKUP('Hide - Control'!A$3,'All practice data'!A:CA,C26+30,FALSE)=" "," ",VLOOKUP('Hide - Control'!A$3,'All practice data'!A:CA,C26+30,FALSE))</f>
        <v>0.5714285714285714</v>
      </c>
      <c r="I26" s="119">
        <f>IF(OR(LEFT(G26,1)=" ",LEFT(G25,1)=" ")," n/a",IF(G26=0," n/a",+((2*G25+1.96^2-1.96*SQRT(1.96^2+4*G25*(1-G25/G26)))/(2*(G26+1.96^2)))))</f>
        <v>0.42205977911874476</v>
      </c>
      <c r="J26" s="119">
        <f>IF(OR(LEFT(G26,1)=" ",LEFT(G25,1)=" ")," n/a",IF(G26=0," n/a",+((2*G25+1.96^2+1.96*SQRT(1.96^2+4*G25*(1-G25/G26)))/(2*(G26+1.96^2)))))</f>
        <v>0.7088257048085178</v>
      </c>
      <c r="K26" s="124">
        <f>IF('Hide - Calculation'!N20="","",'Hide - Calculation'!N20)</f>
        <v>0.447771124417831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65.9%</v>
      </c>
      <c r="AB26" s="231" t="s">
        <v>26</v>
      </c>
      <c r="AC26" s="130" t="s">
        <v>777</v>
      </c>
    </row>
    <row r="27" spans="2:29" s="63" customFormat="1" ht="33.75" customHeight="1">
      <c r="B27" s="327"/>
      <c r="C27" s="136">
        <v>15</v>
      </c>
      <c r="D27" s="146" t="s">
        <v>148</v>
      </c>
      <c r="E27" s="85"/>
      <c r="F27" s="85"/>
      <c r="G27" s="120">
        <f>IF(VLOOKUP('Hide - Control'!A$3,'All practice data'!A:CA,C27+4,FALSE)=" "," ",VLOOKUP('Hide - Control'!A$3,'All practice data'!A:CA,C27+4,FALSE))</f>
        <v>55</v>
      </c>
      <c r="H27" s="121">
        <f>IF(VLOOKUP('Hide - Control'!A$3,'All practice data'!A:CA,C27+30,FALSE)=" "," ",VLOOKUP('Hide - Control'!A$3,'All practice data'!A:CA,C27+30,FALSE))</f>
        <v>566.6597980630538</v>
      </c>
      <c r="I27" s="122">
        <f>IF(LEFT(G27,1)=" "," n/a",IF(G27&lt;5,100000*VLOOKUP(G27,'Hide - Calculation'!AQ:AR,2,FALSE)/$E$8,100000*(G27*(1-1/(9*G27)-1.96/(3*SQRT(G27)))^3)/$E$8))</f>
        <v>426.85560374211593</v>
      </c>
      <c r="J27" s="122">
        <f>IF(LEFT(G27,1)=" "," n/a",IF(G27&lt;5,100000*VLOOKUP(G27,'Hide - Calculation'!AQ:AS,3,FALSE)/$E$8,100000*((G27+1)*(1-1/(9*(G27+1))+1.96/(3*SQRT(G27+1)))^3)/$E$8))</f>
        <v>737.6028965059376</v>
      </c>
      <c r="K27" s="121">
        <f>IF('Hide - Calculation'!N21="","",'Hide - Calculation'!N21)</f>
        <v>481.7837439300333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845</v>
      </c>
      <c r="AB27" s="231" t="s">
        <v>26</v>
      </c>
      <c r="AC27" s="130" t="s">
        <v>777</v>
      </c>
    </row>
    <row r="28" spans="2:29" s="63" customFormat="1" ht="33.75" customHeight="1">
      <c r="B28" s="327"/>
      <c r="C28" s="136">
        <v>16</v>
      </c>
      <c r="D28" s="146" t="s">
        <v>149</v>
      </c>
      <c r="E28" s="85"/>
      <c r="F28" s="85"/>
      <c r="G28" s="120">
        <f>IF(VLOOKUP('Hide - Control'!A$3,'All practice data'!A:CA,C28+4,FALSE)=" "," ",VLOOKUP('Hide - Control'!A$3,'All practice data'!A:CA,C28+4,FALSE))</f>
        <v>56</v>
      </c>
      <c r="H28" s="121">
        <f>IF(VLOOKUP('Hide - Control'!A$3,'All practice data'!A:CA,C28+30,FALSE)=" "," ",VLOOKUP('Hide - Control'!A$3,'All practice data'!A:CA,C28+30,FALSE))</f>
        <v>576.962703482382</v>
      </c>
      <c r="I28" s="122">
        <f>IF(LEFT(G28,1)=" "," n/a",IF(G28&lt;5,100000*VLOOKUP(G28,'Hide - Calculation'!AQ:AR,2,FALSE)/$E$8,100000*(G28*(1-1/(9*G28)-1.96/(3*SQRT(G28)))^3)/$E$8))</f>
        <v>435.8015996305322</v>
      </c>
      <c r="J28" s="122">
        <f>IF(LEFT(G28,1)=" "," n/a",IF(G28&lt;5,100000*VLOOKUP(G28,'Hide - Calculation'!AQ:AS,3,FALSE)/$E$8,100000*((G28+1)*(1-1/(9*(G28+1))+1.96/(3*SQRT(G28+1)))^3)/$E$8))</f>
        <v>749.251304582705</v>
      </c>
      <c r="K28" s="121">
        <f>IF('Hide - Calculation'!N22="","",'Hide - Calculation'!N22)</f>
        <v>321.2950957211502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709</v>
      </c>
      <c r="AB28" s="231" t="s">
        <v>26</v>
      </c>
      <c r="AC28" s="130" t="s">
        <v>777</v>
      </c>
    </row>
    <row r="29" spans="2:29" s="63" customFormat="1" ht="33.75" customHeight="1">
      <c r="B29" s="327"/>
      <c r="C29" s="136">
        <v>17</v>
      </c>
      <c r="D29" s="146" t="s">
        <v>150</v>
      </c>
      <c r="E29" s="85"/>
      <c r="F29" s="85"/>
      <c r="G29" s="120">
        <f>IF(VLOOKUP('Hide - Control'!A$3,'All practice data'!A:CA,C29+4,FALSE)=" "," ",VLOOKUP('Hide - Control'!A$3,'All practice data'!A:CA,C29+4,FALSE))</f>
        <v>7</v>
      </c>
      <c r="H29" s="121">
        <f>IF(VLOOKUP('Hide - Control'!A$3,'All practice data'!A:CA,C29+30,FALSE)=" "," ",VLOOKUP('Hide - Control'!A$3,'All practice data'!A:CA,C29+30,FALSE))</f>
        <v>72.12033793529775</v>
      </c>
      <c r="I29" s="122">
        <f>IF(LEFT(G29,1)=" "," n/a",IF(G29&lt;5,100000*VLOOKUP(G29,'Hide - Calculation'!AQ:AR,2,FALSE)/$E$8,100000*(G29*(1-1/(9*G29)-1.96/(3*SQRT(G29)))^3)/$E$8))</f>
        <v>28.893250572619188</v>
      </c>
      <c r="J29" s="122">
        <f>IF(LEFT(G29,1)=" "," n/a",IF(G29&lt;5,100000*VLOOKUP(G29,'Hide - Calculation'!AQ:AS,3,FALSE)/$E$8,100000*((G29+1)*(1-1/(9*(G29+1))+1.96/(3*SQRT(G29+1)))^3)/$E$8))</f>
        <v>148.6030646846091</v>
      </c>
      <c r="K29" s="121">
        <f>IF('Hide - Calculation'!N23="","",'Hide - Calculation'!N23)</f>
        <v>74.04723768845498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165</v>
      </c>
      <c r="AB29" s="231" t="s">
        <v>26</v>
      </c>
      <c r="AC29" s="130" t="s">
        <v>777</v>
      </c>
    </row>
    <row r="30" spans="2:29" s="63" customFormat="1" ht="33.75" customHeight="1" thickBot="1">
      <c r="B30" s="328"/>
      <c r="C30" s="179">
        <v>18</v>
      </c>
      <c r="D30" s="180" t="s">
        <v>151</v>
      </c>
      <c r="E30" s="181"/>
      <c r="F30" s="181"/>
      <c r="G30" s="182">
        <f>IF(VLOOKUP('Hide - Control'!A$3,'All practice data'!A:CA,C30+4,FALSE)=" "," ",VLOOKUP('Hide - Control'!A$3,'All practice data'!A:CA,C30+4,FALSE))</f>
        <v>60</v>
      </c>
      <c r="H30" s="183">
        <f>IF(VLOOKUP('Hide - Control'!A$3,'All practice data'!A:CA,C30+30,FALSE)=" "," ",VLOOKUP('Hide - Control'!A$3,'All practice data'!A:CA,C30+30,FALSE))</f>
        <v>618.1743251596951</v>
      </c>
      <c r="I30" s="184">
        <f>IF(LEFT(G30,1)=" "," n/a",IF(G30&lt;5,100000*VLOOKUP(G30,'Hide - Calculation'!AQ:AR,2,FALSE)/$E$8,100000*(G30*(1-1/(9*G30)-1.96/(3*SQRT(G30)))^3)/$E$8))</f>
        <v>471.703343923876</v>
      </c>
      <c r="J30" s="184">
        <f>IF(LEFT(G30,1)=" "," n/a",IF(G30&lt;5,100000*VLOOKUP(G30,'Hide - Calculation'!AQ:AS,3,FALSE)/$E$8,100000*((G30+1)*(1-1/(9*(G30+1))+1.96/(3*SQRT(G30+1)))^3)/$E$8))</f>
        <v>795.7299933609744</v>
      </c>
      <c r="K30" s="183">
        <f>IF('Hide - Calculation'!N24="","",'Hide - Calculation'!N24)</f>
        <v>347.99023720540004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924</v>
      </c>
      <c r="AB30" s="232" t="s">
        <v>26</v>
      </c>
      <c r="AC30" s="188" t="s">
        <v>777</v>
      </c>
    </row>
    <row r="31" spans="2:29" s="63" customFormat="1" ht="33.75" customHeight="1">
      <c r="B31" s="329" t="s">
        <v>98</v>
      </c>
      <c r="C31" s="162">
        <v>19</v>
      </c>
      <c r="D31" s="163" t="s">
        <v>102</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329.69297341850404</v>
      </c>
      <c r="I31" s="167">
        <f>IF(LEFT(G31,1)=" "," n/a",IF(G31&lt;5,100000*VLOOKUP(G31,'Hide - Calculation'!AQ:AR,2,FALSE)/$E$8,100000*(G31*(1-1/(9*G31)-1.96/(3*SQRT(G31)))^3)/$E$8))</f>
        <v>225.46919248212672</v>
      </c>
      <c r="J31" s="167">
        <f>IF(LEFT(G31,1)=" "," n/a",IF(G31&lt;5,100000*VLOOKUP(G31,'Hide - Calculation'!AQ:AS,3,FALSE)/$E$8,100000*((G31+1)*(1-1/(9*(G31+1))+1.96/(3*SQRT(G31+1)))^3)/$E$8))</f>
        <v>465.44616513761594</v>
      </c>
      <c r="K31" s="166">
        <f>IF('Hide - Calculation'!N25="","",'Hide - Calculation'!N25)</f>
        <v>404.876312511123</v>
      </c>
      <c r="L31" s="168">
        <f>'Hide - Calculation'!O25</f>
        <v>623.2878522577265</v>
      </c>
      <c r="M31" s="169" t="str">
        <f>IF(ISBLANK('Hide - Calculation'!K25),"",FIXED('Hide - Calculation'!U25,0))</f>
        <v>264</v>
      </c>
      <c r="N31" s="170"/>
      <c r="O31" s="171"/>
      <c r="P31" s="171"/>
      <c r="Q31" s="171"/>
      <c r="R31" s="172"/>
      <c r="S31" s="172"/>
      <c r="T31" s="172"/>
      <c r="U31" s="172"/>
      <c r="V31" s="172"/>
      <c r="W31" s="172"/>
      <c r="X31" s="172"/>
      <c r="Y31" s="172"/>
      <c r="Z31" s="173"/>
      <c r="AA31" s="169" t="str">
        <f>IF(ISBLANK('Hide - Calculation'!K25),"",FIXED('Hide - Calculation'!T25,0))</f>
        <v>832</v>
      </c>
      <c r="AB31" s="230" t="s">
        <v>47</v>
      </c>
      <c r="AC31" s="174" t="s">
        <v>777</v>
      </c>
    </row>
    <row r="32" spans="2:29" s="63" customFormat="1" ht="33.75" customHeight="1">
      <c r="B32" s="330"/>
      <c r="C32" s="136">
        <v>20</v>
      </c>
      <c r="D32" s="131" t="s">
        <v>103</v>
      </c>
      <c r="E32" s="85"/>
      <c r="F32" s="85"/>
      <c r="G32" s="120">
        <f>IF(VLOOKUP('Hide - Control'!A$3,'All practice data'!A:CA,C32+4,FALSE)=" "," ",VLOOKUP('Hide - Control'!A$3,'All practice data'!A:CA,C32+4,FALSE))</f>
        <v>68</v>
      </c>
      <c r="H32" s="121">
        <f>IF(VLOOKUP('Hide - Control'!A$3,'All practice data'!A:CA,C32+30,FALSE)=" "," ",VLOOKUP('Hide - Control'!A$3,'All practice data'!A:CA,C32+30,FALSE))</f>
        <v>700.597568514321</v>
      </c>
      <c r="I32" s="122">
        <f>IF(LEFT(G32,1)=" "," n/a",IF(G32&lt;5,100000*VLOOKUP(G32,'Hide - Calculation'!AQ:AR,2,FALSE)/$E$8,100000*(G32*(1-1/(9*G32)-1.96/(3*SQRT(G32)))^3)/$E$8))</f>
        <v>544.0143776406688</v>
      </c>
      <c r="J32" s="122">
        <f>IF(LEFT(G32,1)=" "," n/a",IF(G32&lt;5,100000*VLOOKUP(G32,'Hide - Calculation'!AQ:AS,3,FALSE)/$E$8,100000*((G32+1)*(1-1/(9*(G32+1))+1.96/(3*SQRT(G32+1)))^3)/$E$8))</f>
        <v>888.1911899876583</v>
      </c>
      <c r="K32" s="121">
        <f>IF('Hide - Calculation'!N26="","",'Hide - Calculation'!N26)</f>
        <v>574.8989398215239</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832</v>
      </c>
      <c r="AB32" s="231" t="s">
        <v>47</v>
      </c>
      <c r="AC32" s="130" t="s">
        <v>777</v>
      </c>
    </row>
    <row r="33" spans="2:29" s="63" customFormat="1" ht="33.75" customHeight="1">
      <c r="B33" s="330"/>
      <c r="C33" s="136">
        <v>21</v>
      </c>
      <c r="D33" s="131" t="s">
        <v>105</v>
      </c>
      <c r="E33" s="85"/>
      <c r="F33" s="85"/>
      <c r="G33" s="120">
        <f>IF(VLOOKUP('Hide - Control'!A$3,'All practice data'!A:CA,C33+4,FALSE)=" "," ",VLOOKUP('Hide - Control'!A$3,'All practice data'!A:CA,C33+4,FALSE))</f>
        <v>114</v>
      </c>
      <c r="H33" s="121">
        <f>IF(VLOOKUP('Hide - Control'!A$3,'All practice data'!A:CA,C33+30,FALSE)=" "," ",VLOOKUP('Hide - Control'!A$3,'All practice data'!A:CA,C33+30,FALSE))</f>
        <v>1174.5312178034205</v>
      </c>
      <c r="I33" s="122">
        <f>IF(LEFT(G33,1)=" "," n/a",IF(G33&lt;5,100000*VLOOKUP(G33,'Hide - Calculation'!AQ:AR,2,FALSE)/$E$8,100000*(G33*(1-1/(9*G33)-1.96/(3*SQRT(G33)))^3)/$E$8))</f>
        <v>968.8219475681074</v>
      </c>
      <c r="J33" s="122">
        <f>IF(LEFT(G33,1)=" "," n/a",IF(G33&lt;5,100000*VLOOKUP(G33,'Hide - Calculation'!AQ:AS,3,FALSE)/$E$8,100000*((G33+1)*(1-1/(9*(G33+1))+1.96/(3*SQRT(G33+1)))^3)/$E$8))</f>
        <v>1410.9865225793435</v>
      </c>
      <c r="K33" s="121">
        <f>IF('Hide - Calculation'!N27="","",'Hide - Calculation'!N27)</f>
        <v>945.1351282637988</v>
      </c>
      <c r="L33" s="155">
        <f>'Hide - Calculation'!O27</f>
        <v>1003.4847591501348</v>
      </c>
      <c r="M33" s="147" t="str">
        <f>IF(ISBLANK('Hide - Calculation'!K27),"",FIXED('Hide - Calculation'!U27,0))</f>
        <v>459</v>
      </c>
      <c r="N33" s="86"/>
      <c r="O33" s="87"/>
      <c r="P33" s="87"/>
      <c r="Q33" s="87"/>
      <c r="R33" s="84"/>
      <c r="S33" s="84"/>
      <c r="T33" s="84"/>
      <c r="U33" s="84"/>
      <c r="V33" s="84"/>
      <c r="W33" s="84"/>
      <c r="X33" s="84"/>
      <c r="Y33" s="84"/>
      <c r="Z33" s="88"/>
      <c r="AA33" s="147" t="str">
        <f>IF(ISBLANK('Hide - Calculation'!K27),"",FIXED('Hide - Calculation'!T27,0))</f>
        <v>1,479</v>
      </c>
      <c r="AB33" s="231" t="s">
        <v>47</v>
      </c>
      <c r="AC33" s="130" t="s">
        <v>777</v>
      </c>
    </row>
    <row r="34" spans="2:29" s="63" customFormat="1" ht="33.75" customHeight="1">
      <c r="B34" s="330"/>
      <c r="C34" s="136">
        <v>22</v>
      </c>
      <c r="D34" s="131" t="s">
        <v>104</v>
      </c>
      <c r="E34" s="85"/>
      <c r="F34" s="85"/>
      <c r="G34" s="117">
        <f>IF(VLOOKUP('Hide - Control'!A$3,'All practice data'!A:CA,C34+4,FALSE)=" "," ",VLOOKUP('Hide - Control'!A$3,'All practice data'!A:CA,C34+4,FALSE))</f>
        <v>69</v>
      </c>
      <c r="H34" s="121">
        <f>IF(VLOOKUP('Hide - Control'!A$3,'All practice data'!A:CA,C34+30,FALSE)=" "," ",VLOOKUP('Hide - Control'!A$3,'All practice data'!A:CA,C34+30,FALSE))</f>
        <v>710.9004739336493</v>
      </c>
      <c r="I34" s="122">
        <f>IF(LEFT(G34,1)=" "," n/a",IF(G34&lt;5,100000*VLOOKUP(G34,'Hide - Calculation'!AQ:AR,2,FALSE)/$E$8,100000*(G34*(1-1/(9*G34)-1.96/(3*SQRT(G34)))^3)/$E$8))</f>
        <v>553.0961463007382</v>
      </c>
      <c r="J34" s="122">
        <f>IF(LEFT(G34,1)=" "," n/a",IF(G34&lt;5,100000*VLOOKUP(G34,'Hide - Calculation'!AQ:AS,3,FALSE)/$E$8,100000*((G34+1)*(1-1/(9*(G34+1))+1.96/(3*SQRT(G34+1)))^3)/$E$8))</f>
        <v>899.7068489837843</v>
      </c>
      <c r="K34" s="121">
        <f>IF('Hide - Calculation'!N28="","",'Hide - Calculation'!N28)</f>
        <v>677.8659141179163</v>
      </c>
      <c r="L34" s="155">
        <f>'Hide - Calculation'!O28</f>
        <v>586.9262672471904</v>
      </c>
      <c r="M34" s="147" t="str">
        <f>IF(ISBLANK('Hide - Calculation'!K28),"",FIXED('Hide - Calculation'!U28,0))</f>
        <v>459</v>
      </c>
      <c r="N34" s="86"/>
      <c r="O34" s="87"/>
      <c r="P34" s="87"/>
      <c r="Q34" s="87"/>
      <c r="R34" s="84"/>
      <c r="S34" s="84"/>
      <c r="T34" s="84"/>
      <c r="U34" s="84"/>
      <c r="V34" s="84"/>
      <c r="W34" s="84"/>
      <c r="X34" s="84"/>
      <c r="Y34" s="84"/>
      <c r="Z34" s="88"/>
      <c r="AA34" s="147" t="str">
        <f>IF(ISBLANK('Hide - Calculation'!K28),"",FIXED('Hide - Calculation'!T28,0))</f>
        <v>1,085</v>
      </c>
      <c r="AB34" s="231" t="s">
        <v>47</v>
      </c>
      <c r="AC34" s="130" t="s">
        <v>781</v>
      </c>
    </row>
    <row r="35" spans="2:29" s="63" customFormat="1" ht="33.75" customHeight="1">
      <c r="B35" s="330"/>
      <c r="C35" s="136">
        <v>23</v>
      </c>
      <c r="D35" s="137" t="s">
        <v>152</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0.2653061224489796</v>
      </c>
      <c r="I35" s="141">
        <f>IF(OR(SUM(G$35:$G37)=0,LEFT(G35,1)=" ")," n/a",+((2*G35+1.96^2-1.96*SQRT(1.96^2+4*G35*(1-G35/SUM(G$35:G$37))))/(2*(SUM(G$35:G$37)+1.96^2))))</f>
        <v>0.1621113124514944</v>
      </c>
      <c r="J35" s="141">
        <f>IF(OR(SUM(G$35:$G37)=0,LEFT(G35,1)=" ")," n/a",+((2*G35+1.96^2+1.96*SQRT(1.96^2+4*G35*(1-G35/SUM(G$35:G$37))))/(2*(SUM(G$35:G$37)+1.96^2))))</f>
        <v>0.40262556152658346</v>
      </c>
      <c r="K35" s="142">
        <f>IF('Hide - Calculation'!N29="","",'Hide - Calculation'!N29)</f>
        <v>0.24671445639187575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45.5%</v>
      </c>
      <c r="AB35" s="231" t="s">
        <v>91</v>
      </c>
      <c r="AC35" s="130" t="s">
        <v>782</v>
      </c>
    </row>
    <row r="36" spans="2:29" ht="33.75" customHeight="1">
      <c r="B36" s="327"/>
      <c r="C36" s="136">
        <v>24</v>
      </c>
      <c r="D36" s="222" t="s">
        <v>153</v>
      </c>
      <c r="E36" s="144"/>
      <c r="F36" s="144"/>
      <c r="G36" s="123">
        <f>IF(VLOOKUP('Hide - Control'!A$3,'All practice data'!A:CA,C36+4,FALSE)=" "," ",VLOOKUP('Hide - Control'!A$3,'All practice data'!A:CA,C36+4,FALSE))</f>
        <v>20</v>
      </c>
      <c r="H36" s="145">
        <f>IF(OR(VLOOKUP('Hide - Control'!A$3,'All practice data'!A:CA,C36+30,FALSE)=" ",SUM(G35:G37)=0)," n/a",VLOOKUP('Hide - Control'!A$3,'All practice data'!A:CA,C36+30,FALSE))</f>
        <v>0.40816326530612246</v>
      </c>
      <c r="I36" s="119">
        <f>IF(OR(SUM(G$35:$G37)=0,LEFT(G36,1)=" ")," n/a",+((2*G36+1.96^2-1.96*SQRT(1.96^2+4*G36*(1-G36/SUM(G$35:G$37))))/(2*(SUM(G$35:G$37)+1.96^2))))</f>
        <v>0.2821503460597105</v>
      </c>
      <c r="J36" s="119">
        <f>IF(OR(SUM(G$35:$G37)=0,LEFT(G36,1)=" ")," n/a",+((2*G36+1.96^2+1.96*SQRT(1.96^2+4*G36*(1-G36/SUM(G$35:G$37))))/(2*(SUM(G$35:G$37)+1.96^2))))</f>
        <v>0.5475293002795374</v>
      </c>
      <c r="K36" s="145">
        <f>IF('Hide - Calculation'!N30="","",'Hide - Calculation'!N30)</f>
        <v>0.4324970131421744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63.0%</v>
      </c>
      <c r="AB36" s="231" t="s">
        <v>91</v>
      </c>
      <c r="AC36" s="130" t="s">
        <v>782</v>
      </c>
    </row>
    <row r="37" spans="2:29" ht="33.75" customHeight="1" thickBot="1">
      <c r="B37" s="331"/>
      <c r="C37" s="175">
        <v>25</v>
      </c>
      <c r="D37" s="176" t="s">
        <v>106</v>
      </c>
      <c r="E37" s="177"/>
      <c r="F37" s="177"/>
      <c r="G37" s="125">
        <f>IF(VLOOKUP('Hide - Control'!A$3,'All practice data'!A:CA,C37+4,FALSE)=" "," ",VLOOKUP('Hide - Control'!A$3,'All practice data'!A:CA,C37+4,FALSE))</f>
        <v>16</v>
      </c>
      <c r="H37" s="126">
        <f>IF(OR(VLOOKUP('Hide - Control'!A$3,'All practice data'!A:CA,C37+30,FALSE)=" ",SUM(G35:G37)=0)," n/a",VLOOKUP('Hide - Control'!A$3,'All practice data'!A:CA,C37+30,FALSE))</f>
        <v>0.32653061224489793</v>
      </c>
      <c r="I37" s="143">
        <f>IF(OR(SUM(G$35:$G37)=0,LEFT(G37,1)=" ")," n/a",+((2*G37+1.96^2-1.96*SQRT(1.96^2+4*G37*(1-G37/SUM(G$35:G$37))))/(2*(SUM(G$35:G$37)+1.96^2))))</f>
        <v>0.21207321329264217</v>
      </c>
      <c r="J37" s="143">
        <f>IF(OR(SUM(G$35:$G37)=0,LEFT(G37,1)=" ")," n/a",+((2*G37+1.96^2+1.96*SQRT(1.96^2+4*G37*(1-G37/SUM(G$35:G$37))))/(2*(SUM(G$35:G$37)+1.96^2))))</f>
        <v>0.4662105631259371</v>
      </c>
      <c r="K37" s="126">
        <f>IF('Hide - Calculation'!N31="","",'Hide - Calculation'!N31)</f>
        <v>0.3207885304659498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54.8%</v>
      </c>
      <c r="AB37" s="233" t="s">
        <v>91</v>
      </c>
      <c r="AC37" s="148" t="s">
        <v>782</v>
      </c>
    </row>
    <row r="38" spans="2:29" ht="23.25" customHeight="1">
      <c r="B38" s="69"/>
      <c r="C38" s="69"/>
      <c r="D38" s="65" t="s">
        <v>89</v>
      </c>
      <c r="E38" s="303" t="s">
        <v>786</v>
      </c>
      <c r="F38" s="303"/>
      <c r="G38" s="303"/>
      <c r="H38" s="303"/>
      <c r="I38" s="110"/>
      <c r="J38" s="299" t="s">
        <v>790</v>
      </c>
      <c r="K38" s="92"/>
      <c r="L38" s="110"/>
      <c r="M38" s="65"/>
      <c r="N38" s="65"/>
      <c r="O38" s="65"/>
      <c r="P38" s="65"/>
      <c r="Q38" s="65"/>
      <c r="R38" s="66"/>
      <c r="S38" s="66"/>
      <c r="T38" s="66"/>
      <c r="U38" s="66"/>
      <c r="V38" s="66"/>
      <c r="W38" s="66"/>
      <c r="X38" s="66"/>
      <c r="Y38" s="66"/>
      <c r="Z38" s="66"/>
      <c r="AA38" s="66"/>
      <c r="AB38" s="82"/>
      <c r="AC38" s="83"/>
    </row>
    <row r="39" spans="2:29" ht="23.25" customHeight="1">
      <c r="B39" s="242" t="s">
        <v>784</v>
      </c>
      <c r="C39" s="241"/>
      <c r="D39" s="241"/>
      <c r="E39" s="304"/>
      <c r="F39" s="304"/>
      <c r="G39" s="304"/>
      <c r="H39" s="304"/>
      <c r="I39" s="241"/>
      <c r="J39" s="299" t="s">
        <v>783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788</v>
      </c>
      <c r="E3" s="264" t="s">
        <v>110</v>
      </c>
      <c r="F3" s="264" t="s">
        <v>789</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185</v>
      </c>
      <c r="B4" s="79" t="s">
        <v>61</v>
      </c>
      <c r="C4" s="79" t="s">
        <v>379</v>
      </c>
      <c r="D4" s="99">
        <v>9706</v>
      </c>
      <c r="E4" s="99">
        <v>2099</v>
      </c>
      <c r="F4" s="99" t="s">
        <v>107</v>
      </c>
      <c r="G4" s="99">
        <v>50</v>
      </c>
      <c r="H4" s="99">
        <v>34</v>
      </c>
      <c r="I4" s="99">
        <v>234</v>
      </c>
      <c r="J4" s="99">
        <v>1133</v>
      </c>
      <c r="K4" s="99">
        <v>8</v>
      </c>
      <c r="L4" s="99">
        <v>1831</v>
      </c>
      <c r="M4" s="99">
        <v>876</v>
      </c>
      <c r="N4" s="99">
        <v>327</v>
      </c>
      <c r="O4" s="99">
        <v>286</v>
      </c>
      <c r="P4" s="158">
        <v>286</v>
      </c>
      <c r="Q4" s="99">
        <v>24</v>
      </c>
      <c r="R4" s="99">
        <v>42</v>
      </c>
      <c r="S4" s="99">
        <v>55</v>
      </c>
      <c r="T4" s="99">
        <v>56</v>
      </c>
      <c r="U4" s="99">
        <v>7</v>
      </c>
      <c r="V4" s="99">
        <v>60</v>
      </c>
      <c r="W4" s="99">
        <v>32</v>
      </c>
      <c r="X4" s="99">
        <v>68</v>
      </c>
      <c r="Y4" s="99">
        <v>114</v>
      </c>
      <c r="Z4" s="99">
        <v>69</v>
      </c>
      <c r="AA4" s="99">
        <v>13</v>
      </c>
      <c r="AB4" s="99">
        <v>20</v>
      </c>
      <c r="AC4" s="99">
        <v>16</v>
      </c>
      <c r="AD4" s="98" t="s">
        <v>89</v>
      </c>
      <c r="AE4" s="100">
        <v>0.21625798475169997</v>
      </c>
      <c r="AF4" s="100">
        <v>0.09</v>
      </c>
      <c r="AG4" s="98">
        <v>515.1452709664126</v>
      </c>
      <c r="AH4" s="98">
        <v>350.2987842571605</v>
      </c>
      <c r="AI4" s="100">
        <v>0.0241</v>
      </c>
      <c r="AJ4" s="100">
        <v>0.795646</v>
      </c>
      <c r="AK4" s="100">
        <v>0.888889</v>
      </c>
      <c r="AL4" s="100">
        <v>0.791955</v>
      </c>
      <c r="AM4" s="100">
        <v>0.653244</v>
      </c>
      <c r="AN4" s="100">
        <v>0.614662</v>
      </c>
      <c r="AO4" s="98">
        <v>2946.6309499278796</v>
      </c>
      <c r="AP4" s="157">
        <v>1.2818</v>
      </c>
      <c r="AQ4" s="100">
        <v>0.08391608391608392</v>
      </c>
      <c r="AR4" s="100">
        <v>0.5714285714285714</v>
      </c>
      <c r="AS4" s="98">
        <v>566.6597980630538</v>
      </c>
      <c r="AT4" s="98">
        <v>576.962703482382</v>
      </c>
      <c r="AU4" s="98">
        <v>72.12033793529775</v>
      </c>
      <c r="AV4" s="98">
        <v>618.1743251596951</v>
      </c>
      <c r="AW4" s="98">
        <v>329.69297341850404</v>
      </c>
      <c r="AX4" s="98">
        <v>700.597568514321</v>
      </c>
      <c r="AY4" s="98">
        <v>1174.5312178034205</v>
      </c>
      <c r="AZ4" s="98">
        <v>710.9004739336493</v>
      </c>
      <c r="BA4" s="100">
        <v>0.2653061224489796</v>
      </c>
      <c r="BB4" s="100">
        <v>0.40816326530612246</v>
      </c>
      <c r="BC4" s="100">
        <v>0.32653061224489793</v>
      </c>
      <c r="BD4" s="157">
        <v>1.1376</v>
      </c>
      <c r="BE4" s="157">
        <v>1.4393</v>
      </c>
      <c r="BF4" s="161">
        <v>1424</v>
      </c>
      <c r="BG4" s="161">
        <v>9</v>
      </c>
      <c r="BH4" s="161">
        <v>2312</v>
      </c>
      <c r="BI4" s="161">
        <v>1341</v>
      </c>
      <c r="BJ4" s="161">
        <v>532</v>
      </c>
      <c r="BK4" s="97"/>
      <c r="BL4" s="97"/>
      <c r="BM4" s="97"/>
      <c r="BN4" s="97"/>
    </row>
    <row r="5" spans="1:66" ht="12.75">
      <c r="A5" s="79" t="s">
        <v>183</v>
      </c>
      <c r="B5" s="79" t="s">
        <v>58</v>
      </c>
      <c r="C5" s="79" t="s">
        <v>379</v>
      </c>
      <c r="D5" s="99">
        <v>9633</v>
      </c>
      <c r="E5" s="99">
        <v>1769</v>
      </c>
      <c r="F5" s="99" t="s">
        <v>109</v>
      </c>
      <c r="G5" s="99">
        <v>40</v>
      </c>
      <c r="H5" s="99">
        <v>23</v>
      </c>
      <c r="I5" s="99">
        <v>158</v>
      </c>
      <c r="J5" s="99">
        <v>1141</v>
      </c>
      <c r="K5" s="99">
        <v>7</v>
      </c>
      <c r="L5" s="99">
        <v>2013</v>
      </c>
      <c r="M5" s="99">
        <v>914</v>
      </c>
      <c r="N5" s="99">
        <v>383</v>
      </c>
      <c r="O5" s="99">
        <v>213</v>
      </c>
      <c r="P5" s="158">
        <v>213</v>
      </c>
      <c r="Q5" s="99">
        <v>15</v>
      </c>
      <c r="R5" s="99">
        <v>34</v>
      </c>
      <c r="S5" s="99">
        <v>60</v>
      </c>
      <c r="T5" s="99">
        <v>39</v>
      </c>
      <c r="U5" s="99" t="s">
        <v>787</v>
      </c>
      <c r="V5" s="99">
        <v>16</v>
      </c>
      <c r="W5" s="99">
        <v>50</v>
      </c>
      <c r="X5" s="99">
        <v>47</v>
      </c>
      <c r="Y5" s="99">
        <v>94</v>
      </c>
      <c r="Z5" s="99">
        <v>55</v>
      </c>
      <c r="AA5" s="99">
        <v>10</v>
      </c>
      <c r="AB5" s="99">
        <v>18</v>
      </c>
      <c r="AC5" s="99">
        <v>12</v>
      </c>
      <c r="AD5" s="98" t="s">
        <v>89</v>
      </c>
      <c r="AE5" s="100">
        <v>0.18363957230353992</v>
      </c>
      <c r="AF5" s="100">
        <v>0.06</v>
      </c>
      <c r="AG5" s="98">
        <v>415.2392816360428</v>
      </c>
      <c r="AH5" s="98">
        <v>238.7625869407246</v>
      </c>
      <c r="AI5" s="100">
        <v>0.016399999999999998</v>
      </c>
      <c r="AJ5" s="100">
        <v>0.795122</v>
      </c>
      <c r="AK5" s="100">
        <v>0.7</v>
      </c>
      <c r="AL5" s="100">
        <v>0.827714</v>
      </c>
      <c r="AM5" s="100">
        <v>0.660405</v>
      </c>
      <c r="AN5" s="100">
        <v>0.675485</v>
      </c>
      <c r="AO5" s="98">
        <v>2211.1491747119276</v>
      </c>
      <c r="AP5" s="157">
        <v>1.0070999999999999</v>
      </c>
      <c r="AQ5" s="100">
        <v>0.07042253521126761</v>
      </c>
      <c r="AR5" s="100">
        <v>0.4411764705882353</v>
      </c>
      <c r="AS5" s="98">
        <v>622.8589224540641</v>
      </c>
      <c r="AT5" s="98">
        <v>404.8582995951417</v>
      </c>
      <c r="AU5" s="98" t="s">
        <v>787</v>
      </c>
      <c r="AV5" s="98">
        <v>166.0957126544171</v>
      </c>
      <c r="AW5" s="98">
        <v>519.0491020450535</v>
      </c>
      <c r="AX5" s="98">
        <v>487.90615592235025</v>
      </c>
      <c r="AY5" s="98">
        <v>975.8123118447005</v>
      </c>
      <c r="AZ5" s="98">
        <v>570.9540122495588</v>
      </c>
      <c r="BA5" s="100">
        <v>0.25</v>
      </c>
      <c r="BB5" s="100">
        <v>0.45</v>
      </c>
      <c r="BC5" s="100">
        <v>0.3</v>
      </c>
      <c r="BD5" s="157">
        <v>0.8764</v>
      </c>
      <c r="BE5" s="157">
        <v>1.1518000000000002</v>
      </c>
      <c r="BF5" s="161">
        <v>1435</v>
      </c>
      <c r="BG5" s="161">
        <v>10</v>
      </c>
      <c r="BH5" s="161">
        <v>2432</v>
      </c>
      <c r="BI5" s="161">
        <v>1384</v>
      </c>
      <c r="BJ5" s="161">
        <v>567</v>
      </c>
      <c r="BK5" s="97"/>
      <c r="BL5" s="97"/>
      <c r="BM5" s="97"/>
      <c r="BN5" s="97"/>
    </row>
    <row r="6" spans="1:66" ht="12.75">
      <c r="A6" s="79" t="s">
        <v>191</v>
      </c>
      <c r="B6" s="79" t="s">
        <v>69</v>
      </c>
      <c r="C6" s="79" t="s">
        <v>379</v>
      </c>
      <c r="D6" s="99">
        <v>11261</v>
      </c>
      <c r="E6" s="99">
        <v>2265</v>
      </c>
      <c r="F6" s="99" t="s">
        <v>109</v>
      </c>
      <c r="G6" s="99">
        <v>67</v>
      </c>
      <c r="H6" s="99">
        <v>31</v>
      </c>
      <c r="I6" s="99">
        <v>228</v>
      </c>
      <c r="J6" s="99">
        <v>1297</v>
      </c>
      <c r="K6" s="99">
        <v>6</v>
      </c>
      <c r="L6" s="99">
        <v>2217</v>
      </c>
      <c r="M6" s="99">
        <v>1015</v>
      </c>
      <c r="N6" s="99">
        <v>408</v>
      </c>
      <c r="O6" s="99">
        <v>195</v>
      </c>
      <c r="P6" s="158">
        <v>195</v>
      </c>
      <c r="Q6" s="99">
        <v>24</v>
      </c>
      <c r="R6" s="99">
        <v>51</v>
      </c>
      <c r="S6" s="99">
        <v>49</v>
      </c>
      <c r="T6" s="99">
        <v>38</v>
      </c>
      <c r="U6" s="99">
        <v>9</v>
      </c>
      <c r="V6" s="99">
        <v>26</v>
      </c>
      <c r="W6" s="99">
        <v>49</v>
      </c>
      <c r="X6" s="99">
        <v>67</v>
      </c>
      <c r="Y6" s="99">
        <v>117</v>
      </c>
      <c r="Z6" s="99">
        <v>65</v>
      </c>
      <c r="AA6" s="99">
        <v>19</v>
      </c>
      <c r="AB6" s="99">
        <v>26</v>
      </c>
      <c r="AC6" s="99">
        <v>16</v>
      </c>
      <c r="AD6" s="98" t="s">
        <v>89</v>
      </c>
      <c r="AE6" s="100">
        <v>0.2011366663706598</v>
      </c>
      <c r="AF6" s="100">
        <v>0.08</v>
      </c>
      <c r="AG6" s="98">
        <v>594.9738033922387</v>
      </c>
      <c r="AH6" s="98">
        <v>275.28638664417014</v>
      </c>
      <c r="AI6" s="100">
        <v>0.0202</v>
      </c>
      <c r="AJ6" s="100">
        <v>0.813166</v>
      </c>
      <c r="AK6" s="100">
        <v>0.545455</v>
      </c>
      <c r="AL6" s="100">
        <v>0.808239</v>
      </c>
      <c r="AM6" s="100">
        <v>0.669525</v>
      </c>
      <c r="AN6" s="100">
        <v>0.659128</v>
      </c>
      <c r="AO6" s="98">
        <v>1731.640174052038</v>
      </c>
      <c r="AP6" s="157">
        <v>0.7757999999999999</v>
      </c>
      <c r="AQ6" s="100">
        <v>0.12307692307692308</v>
      </c>
      <c r="AR6" s="100">
        <v>0.47058823529411764</v>
      </c>
      <c r="AS6" s="98">
        <v>435.13009501820443</v>
      </c>
      <c r="AT6" s="98">
        <v>337.4478287896279</v>
      </c>
      <c r="AU6" s="98">
        <v>79.92185418701713</v>
      </c>
      <c r="AV6" s="98">
        <v>230.88535654027174</v>
      </c>
      <c r="AW6" s="98">
        <v>435.13009501820443</v>
      </c>
      <c r="AX6" s="98">
        <v>594.9738033922387</v>
      </c>
      <c r="AY6" s="98">
        <v>1038.9841044312227</v>
      </c>
      <c r="AZ6" s="98">
        <v>577.2133913506793</v>
      </c>
      <c r="BA6" s="101">
        <v>0.3114754098360656</v>
      </c>
      <c r="BB6" s="101">
        <v>0.4262295081967213</v>
      </c>
      <c r="BC6" s="101">
        <v>0.26229508196721313</v>
      </c>
      <c r="BD6" s="157">
        <v>0.6707</v>
      </c>
      <c r="BE6" s="157">
        <v>0.8926999999999999</v>
      </c>
      <c r="BF6" s="161">
        <v>1595</v>
      </c>
      <c r="BG6" s="161">
        <v>11</v>
      </c>
      <c r="BH6" s="161">
        <v>2743</v>
      </c>
      <c r="BI6" s="161">
        <v>1516</v>
      </c>
      <c r="BJ6" s="161">
        <v>619</v>
      </c>
      <c r="BK6" s="97"/>
      <c r="BL6" s="97"/>
      <c r="BM6" s="97"/>
      <c r="BN6" s="97"/>
    </row>
    <row r="7" spans="1:66" ht="12.75">
      <c r="A7" s="79" t="s">
        <v>192</v>
      </c>
      <c r="B7" s="79" t="s">
        <v>70</v>
      </c>
      <c r="C7" s="79" t="s">
        <v>379</v>
      </c>
      <c r="D7" s="99">
        <v>5889</v>
      </c>
      <c r="E7" s="99">
        <v>1284</v>
      </c>
      <c r="F7" s="99" t="s">
        <v>109</v>
      </c>
      <c r="G7" s="99">
        <v>27</v>
      </c>
      <c r="H7" s="99">
        <v>22</v>
      </c>
      <c r="I7" s="99">
        <v>151</v>
      </c>
      <c r="J7" s="99">
        <v>770</v>
      </c>
      <c r="K7" s="99">
        <v>167</v>
      </c>
      <c r="L7" s="99">
        <v>1218</v>
      </c>
      <c r="M7" s="99">
        <v>597</v>
      </c>
      <c r="N7" s="99">
        <v>248</v>
      </c>
      <c r="O7" s="99">
        <v>153</v>
      </c>
      <c r="P7" s="158">
        <v>153</v>
      </c>
      <c r="Q7" s="99">
        <v>22</v>
      </c>
      <c r="R7" s="99">
        <v>39</v>
      </c>
      <c r="S7" s="99">
        <v>20</v>
      </c>
      <c r="T7" s="99">
        <v>25</v>
      </c>
      <c r="U7" s="99" t="s">
        <v>787</v>
      </c>
      <c r="V7" s="99">
        <v>34</v>
      </c>
      <c r="W7" s="99">
        <v>49</v>
      </c>
      <c r="X7" s="99">
        <v>16</v>
      </c>
      <c r="Y7" s="99">
        <v>71</v>
      </c>
      <c r="Z7" s="99">
        <v>53</v>
      </c>
      <c r="AA7" s="99" t="s">
        <v>787</v>
      </c>
      <c r="AB7" s="99">
        <v>16</v>
      </c>
      <c r="AC7" s="99" t="s">
        <v>787</v>
      </c>
      <c r="AD7" s="98" t="s">
        <v>89</v>
      </c>
      <c r="AE7" s="100">
        <v>0.21803362200713194</v>
      </c>
      <c r="AF7" s="100">
        <v>0.05</v>
      </c>
      <c r="AG7" s="98">
        <v>458.4819154355578</v>
      </c>
      <c r="AH7" s="98">
        <v>373.57785702156565</v>
      </c>
      <c r="AI7" s="100">
        <v>0.0256</v>
      </c>
      <c r="AJ7" s="100">
        <v>0.818278</v>
      </c>
      <c r="AK7" s="100">
        <v>0.710638</v>
      </c>
      <c r="AL7" s="100">
        <v>0.829135</v>
      </c>
      <c r="AM7" s="100">
        <v>0.653173</v>
      </c>
      <c r="AN7" s="100">
        <v>0.661333</v>
      </c>
      <c r="AO7" s="98">
        <v>2598.064187468161</v>
      </c>
      <c r="AP7" s="157">
        <v>1.1142</v>
      </c>
      <c r="AQ7" s="100">
        <v>0.1437908496732026</v>
      </c>
      <c r="AR7" s="100">
        <v>0.5641025641025641</v>
      </c>
      <c r="AS7" s="98">
        <v>339.61623365596876</v>
      </c>
      <c r="AT7" s="98">
        <v>424.52029206996093</v>
      </c>
      <c r="AU7" s="98" t="s">
        <v>787</v>
      </c>
      <c r="AV7" s="98">
        <v>577.3475972151468</v>
      </c>
      <c r="AW7" s="98">
        <v>832.0597724571235</v>
      </c>
      <c r="AX7" s="98">
        <v>271.692986924775</v>
      </c>
      <c r="AY7" s="98">
        <v>1205.6376294786892</v>
      </c>
      <c r="AZ7" s="98">
        <v>899.9830191883173</v>
      </c>
      <c r="BA7" s="100" t="s">
        <v>787</v>
      </c>
      <c r="BB7" s="100">
        <v>0.45714285714285713</v>
      </c>
      <c r="BC7" s="100" t="s">
        <v>787</v>
      </c>
      <c r="BD7" s="157">
        <v>0.9445999999999999</v>
      </c>
      <c r="BE7" s="157">
        <v>1.3053</v>
      </c>
      <c r="BF7" s="161">
        <v>941</v>
      </c>
      <c r="BG7" s="161">
        <v>235</v>
      </c>
      <c r="BH7" s="161">
        <v>1469</v>
      </c>
      <c r="BI7" s="161">
        <v>914</v>
      </c>
      <c r="BJ7" s="161">
        <v>375</v>
      </c>
      <c r="BK7" s="97"/>
      <c r="BL7" s="97"/>
      <c r="BM7" s="97"/>
      <c r="BN7" s="97"/>
    </row>
    <row r="8" spans="1:66" ht="12.75">
      <c r="A8" s="79" t="s">
        <v>208</v>
      </c>
      <c r="B8" s="79" t="s">
        <v>87</v>
      </c>
      <c r="C8" s="79" t="s">
        <v>379</v>
      </c>
      <c r="D8" s="99">
        <v>5309</v>
      </c>
      <c r="E8" s="99">
        <v>614</v>
      </c>
      <c r="F8" s="99" t="s">
        <v>107</v>
      </c>
      <c r="G8" s="99">
        <v>16</v>
      </c>
      <c r="H8" s="99">
        <v>11</v>
      </c>
      <c r="I8" s="99">
        <v>78</v>
      </c>
      <c r="J8" s="99">
        <v>419</v>
      </c>
      <c r="K8" s="99">
        <v>340</v>
      </c>
      <c r="L8" s="99">
        <v>1159</v>
      </c>
      <c r="M8" s="99">
        <v>294</v>
      </c>
      <c r="N8" s="99">
        <v>105</v>
      </c>
      <c r="O8" s="99">
        <v>71</v>
      </c>
      <c r="P8" s="158">
        <v>71</v>
      </c>
      <c r="Q8" s="99" t="s">
        <v>787</v>
      </c>
      <c r="R8" s="99">
        <v>11</v>
      </c>
      <c r="S8" s="99">
        <v>25</v>
      </c>
      <c r="T8" s="99" t="s">
        <v>787</v>
      </c>
      <c r="U8" s="99" t="s">
        <v>787</v>
      </c>
      <c r="V8" s="99">
        <v>9</v>
      </c>
      <c r="W8" s="99">
        <v>17</v>
      </c>
      <c r="X8" s="99">
        <v>17</v>
      </c>
      <c r="Y8" s="99">
        <v>43</v>
      </c>
      <c r="Z8" s="99">
        <v>26</v>
      </c>
      <c r="AA8" s="99" t="s">
        <v>787</v>
      </c>
      <c r="AB8" s="99">
        <v>17</v>
      </c>
      <c r="AC8" s="99" t="s">
        <v>787</v>
      </c>
      <c r="AD8" s="98" t="s">
        <v>89</v>
      </c>
      <c r="AE8" s="100">
        <v>0.11565266528536447</v>
      </c>
      <c r="AF8" s="100">
        <v>0.08</v>
      </c>
      <c r="AG8" s="98">
        <v>301.3750235449237</v>
      </c>
      <c r="AH8" s="98">
        <v>207.19532868713506</v>
      </c>
      <c r="AI8" s="100">
        <v>0.0147</v>
      </c>
      <c r="AJ8" s="100">
        <v>0.790566</v>
      </c>
      <c r="AK8" s="100">
        <v>0.803783</v>
      </c>
      <c r="AL8" s="100">
        <v>0.835616</v>
      </c>
      <c r="AM8" s="100">
        <v>0.630901</v>
      </c>
      <c r="AN8" s="100">
        <v>0.576923</v>
      </c>
      <c r="AO8" s="98">
        <v>1337.351666980599</v>
      </c>
      <c r="AP8" s="157">
        <v>0.765</v>
      </c>
      <c r="AQ8" s="100" t="s">
        <v>787</v>
      </c>
      <c r="AR8" s="100" t="s">
        <v>787</v>
      </c>
      <c r="AS8" s="98">
        <v>470.8984742889433</v>
      </c>
      <c r="AT8" s="98" t="s">
        <v>787</v>
      </c>
      <c r="AU8" s="98" t="s">
        <v>787</v>
      </c>
      <c r="AV8" s="98">
        <v>169.52345074401958</v>
      </c>
      <c r="AW8" s="98">
        <v>320.21096251648146</v>
      </c>
      <c r="AX8" s="98">
        <v>320.21096251648146</v>
      </c>
      <c r="AY8" s="98">
        <v>809.9453757769825</v>
      </c>
      <c r="AZ8" s="98">
        <v>489.734413260501</v>
      </c>
      <c r="BA8" s="100" t="s">
        <v>787</v>
      </c>
      <c r="BB8" s="100">
        <v>0.6296296296296297</v>
      </c>
      <c r="BC8" s="100" t="s">
        <v>787</v>
      </c>
      <c r="BD8" s="157">
        <v>0.5975</v>
      </c>
      <c r="BE8" s="157">
        <v>0.965</v>
      </c>
      <c r="BF8" s="161">
        <v>530</v>
      </c>
      <c r="BG8" s="161">
        <v>423</v>
      </c>
      <c r="BH8" s="161">
        <v>1387</v>
      </c>
      <c r="BI8" s="161">
        <v>466</v>
      </c>
      <c r="BJ8" s="161">
        <v>182</v>
      </c>
      <c r="BK8" s="97"/>
      <c r="BL8" s="97"/>
      <c r="BM8" s="97"/>
      <c r="BN8" s="97"/>
    </row>
    <row r="9" spans="1:66" ht="12.75">
      <c r="A9" s="79" t="s">
        <v>196</v>
      </c>
      <c r="B9" s="79" t="s">
        <v>74</v>
      </c>
      <c r="C9" s="79" t="s">
        <v>379</v>
      </c>
      <c r="D9" s="99">
        <v>12015</v>
      </c>
      <c r="E9" s="99">
        <v>2706</v>
      </c>
      <c r="F9" s="99" t="s">
        <v>109</v>
      </c>
      <c r="G9" s="99">
        <v>54</v>
      </c>
      <c r="H9" s="99">
        <v>47</v>
      </c>
      <c r="I9" s="99">
        <v>270</v>
      </c>
      <c r="J9" s="99">
        <v>1383</v>
      </c>
      <c r="K9" s="99" t="s">
        <v>787</v>
      </c>
      <c r="L9" s="99">
        <v>2185</v>
      </c>
      <c r="M9" s="99">
        <v>966</v>
      </c>
      <c r="N9" s="99">
        <v>393</v>
      </c>
      <c r="O9" s="99">
        <v>371</v>
      </c>
      <c r="P9" s="158">
        <v>371</v>
      </c>
      <c r="Q9" s="99">
        <v>26</v>
      </c>
      <c r="R9" s="99">
        <v>75</v>
      </c>
      <c r="S9" s="99">
        <v>73</v>
      </c>
      <c r="T9" s="99">
        <v>62</v>
      </c>
      <c r="U9" s="99" t="s">
        <v>787</v>
      </c>
      <c r="V9" s="99">
        <v>111</v>
      </c>
      <c r="W9" s="99">
        <v>56</v>
      </c>
      <c r="X9" s="99">
        <v>100</v>
      </c>
      <c r="Y9" s="99">
        <v>133</v>
      </c>
      <c r="Z9" s="99">
        <v>99</v>
      </c>
      <c r="AA9" s="99">
        <v>21</v>
      </c>
      <c r="AB9" s="99">
        <v>38</v>
      </c>
      <c r="AC9" s="99">
        <v>42</v>
      </c>
      <c r="AD9" s="98" t="s">
        <v>89</v>
      </c>
      <c r="AE9" s="100">
        <v>0.22521847690387017</v>
      </c>
      <c r="AF9" s="100">
        <v>0.07</v>
      </c>
      <c r="AG9" s="98">
        <v>449.438202247191</v>
      </c>
      <c r="AH9" s="98">
        <v>391.17769454848104</v>
      </c>
      <c r="AI9" s="100">
        <v>0.0225</v>
      </c>
      <c r="AJ9" s="100">
        <v>0.854759</v>
      </c>
      <c r="AK9" s="100" t="s">
        <v>787</v>
      </c>
      <c r="AL9" s="100">
        <v>0.790235</v>
      </c>
      <c r="AM9" s="100">
        <v>0.633028</v>
      </c>
      <c r="AN9" s="100">
        <v>0.621835</v>
      </c>
      <c r="AO9" s="98">
        <v>3087.8069080316272</v>
      </c>
      <c r="AP9" s="157">
        <v>1.3328</v>
      </c>
      <c r="AQ9" s="100">
        <v>0.07008086253369272</v>
      </c>
      <c r="AR9" s="100">
        <v>0.3466666666666667</v>
      </c>
      <c r="AS9" s="98">
        <v>607.5738660008323</v>
      </c>
      <c r="AT9" s="98">
        <v>516.0216396171452</v>
      </c>
      <c r="AU9" s="98" t="s">
        <v>787</v>
      </c>
      <c r="AV9" s="98">
        <v>923.8451935081149</v>
      </c>
      <c r="AW9" s="98">
        <v>466.08406158967955</v>
      </c>
      <c r="AX9" s="98">
        <v>832.2929671244278</v>
      </c>
      <c r="AY9" s="98">
        <v>1106.949646275489</v>
      </c>
      <c r="AZ9" s="98">
        <v>823.9700374531835</v>
      </c>
      <c r="BA9" s="100">
        <v>0.2079207920792079</v>
      </c>
      <c r="BB9" s="100">
        <v>0.37623762376237624</v>
      </c>
      <c r="BC9" s="100">
        <v>0.4158415841584158</v>
      </c>
      <c r="BD9" s="157">
        <v>1.2006999999999999</v>
      </c>
      <c r="BE9" s="157">
        <v>1.4756</v>
      </c>
      <c r="BF9" s="161">
        <v>1618</v>
      </c>
      <c r="BG9" s="161" t="s">
        <v>787</v>
      </c>
      <c r="BH9" s="161">
        <v>2765</v>
      </c>
      <c r="BI9" s="161">
        <v>1526</v>
      </c>
      <c r="BJ9" s="161">
        <v>632</v>
      </c>
      <c r="BK9" s="97"/>
      <c r="BL9" s="97"/>
      <c r="BM9" s="97"/>
      <c r="BN9" s="97"/>
    </row>
    <row r="10" spans="1:66" ht="12.75">
      <c r="A10" s="79" t="s">
        <v>195</v>
      </c>
      <c r="B10" s="79" t="s">
        <v>73</v>
      </c>
      <c r="C10" s="79" t="s">
        <v>379</v>
      </c>
      <c r="D10" s="99">
        <v>12923</v>
      </c>
      <c r="E10" s="99">
        <v>2885</v>
      </c>
      <c r="F10" s="99" t="s">
        <v>109</v>
      </c>
      <c r="G10" s="99">
        <v>72</v>
      </c>
      <c r="H10" s="99">
        <v>40</v>
      </c>
      <c r="I10" s="99">
        <v>332</v>
      </c>
      <c r="J10" s="99">
        <v>1640</v>
      </c>
      <c r="K10" s="99">
        <v>553</v>
      </c>
      <c r="L10" s="99">
        <v>2583</v>
      </c>
      <c r="M10" s="99">
        <v>1195</v>
      </c>
      <c r="N10" s="99">
        <v>473</v>
      </c>
      <c r="O10" s="99">
        <v>239</v>
      </c>
      <c r="P10" s="158">
        <v>239</v>
      </c>
      <c r="Q10" s="99">
        <v>29</v>
      </c>
      <c r="R10" s="99">
        <v>72</v>
      </c>
      <c r="S10" s="99">
        <v>56</v>
      </c>
      <c r="T10" s="99">
        <v>34</v>
      </c>
      <c r="U10" s="99">
        <v>12</v>
      </c>
      <c r="V10" s="99">
        <v>52</v>
      </c>
      <c r="W10" s="99">
        <v>43</v>
      </c>
      <c r="X10" s="99">
        <v>55</v>
      </c>
      <c r="Y10" s="99">
        <v>96</v>
      </c>
      <c r="Z10" s="99">
        <v>114</v>
      </c>
      <c r="AA10" s="99">
        <v>11</v>
      </c>
      <c r="AB10" s="99">
        <v>33</v>
      </c>
      <c r="AC10" s="99">
        <v>18</v>
      </c>
      <c r="AD10" s="98" t="s">
        <v>89</v>
      </c>
      <c r="AE10" s="100">
        <v>0.22324537646057416</v>
      </c>
      <c r="AF10" s="100">
        <v>0.07</v>
      </c>
      <c r="AG10" s="98">
        <v>557.1461734891279</v>
      </c>
      <c r="AH10" s="98">
        <v>309.5256519384044</v>
      </c>
      <c r="AI10" s="100">
        <v>0.025699999999999997</v>
      </c>
      <c r="AJ10" s="100">
        <v>0.877475</v>
      </c>
      <c r="AK10" s="100">
        <v>0.806122</v>
      </c>
      <c r="AL10" s="100">
        <v>0.831349</v>
      </c>
      <c r="AM10" s="100">
        <v>0.655873</v>
      </c>
      <c r="AN10" s="100">
        <v>0.646175</v>
      </c>
      <c r="AO10" s="98">
        <v>1849.4157703319663</v>
      </c>
      <c r="AP10" s="157">
        <v>0.7831999999999999</v>
      </c>
      <c r="AQ10" s="100">
        <v>0.12133891213389121</v>
      </c>
      <c r="AR10" s="100">
        <v>0.4027777777777778</v>
      </c>
      <c r="AS10" s="98">
        <v>433.33591271376616</v>
      </c>
      <c r="AT10" s="98">
        <v>263.09680414764375</v>
      </c>
      <c r="AU10" s="98">
        <v>92.85769558152131</v>
      </c>
      <c r="AV10" s="98">
        <v>402.38334751992574</v>
      </c>
      <c r="AW10" s="98">
        <v>332.7400758337847</v>
      </c>
      <c r="AX10" s="98">
        <v>425.59777141530606</v>
      </c>
      <c r="AY10" s="98">
        <v>742.8615646521705</v>
      </c>
      <c r="AZ10" s="98">
        <v>882.1481080244525</v>
      </c>
      <c r="BA10" s="100">
        <v>0.1774193548387097</v>
      </c>
      <c r="BB10" s="100">
        <v>0.532258064516129</v>
      </c>
      <c r="BC10" s="100">
        <v>0.2903225806451613</v>
      </c>
      <c r="BD10" s="157">
        <v>0.6870999999999999</v>
      </c>
      <c r="BE10" s="157">
        <v>0.8891</v>
      </c>
      <c r="BF10" s="161">
        <v>1869</v>
      </c>
      <c r="BG10" s="161">
        <v>686</v>
      </c>
      <c r="BH10" s="161">
        <v>3107</v>
      </c>
      <c r="BI10" s="161">
        <v>1822</v>
      </c>
      <c r="BJ10" s="161">
        <v>732</v>
      </c>
      <c r="BK10" s="97"/>
      <c r="BL10" s="97"/>
      <c r="BM10" s="97"/>
      <c r="BN10" s="97"/>
    </row>
    <row r="11" spans="1:66" ht="12.75">
      <c r="A11" s="79" t="s">
        <v>203</v>
      </c>
      <c r="B11" s="79" t="s">
        <v>81</v>
      </c>
      <c r="C11" s="79" t="s">
        <v>379</v>
      </c>
      <c r="D11" s="99">
        <v>7289</v>
      </c>
      <c r="E11" s="99">
        <v>1298</v>
      </c>
      <c r="F11" s="99" t="s">
        <v>109</v>
      </c>
      <c r="G11" s="99">
        <v>32</v>
      </c>
      <c r="H11" s="99">
        <v>13</v>
      </c>
      <c r="I11" s="99">
        <v>128</v>
      </c>
      <c r="J11" s="99">
        <v>779</v>
      </c>
      <c r="K11" s="99">
        <v>10</v>
      </c>
      <c r="L11" s="99">
        <v>1461</v>
      </c>
      <c r="M11" s="99">
        <v>584</v>
      </c>
      <c r="N11" s="99">
        <v>238</v>
      </c>
      <c r="O11" s="99">
        <v>200</v>
      </c>
      <c r="P11" s="158">
        <v>200</v>
      </c>
      <c r="Q11" s="99">
        <v>15</v>
      </c>
      <c r="R11" s="99">
        <v>32</v>
      </c>
      <c r="S11" s="99">
        <v>45</v>
      </c>
      <c r="T11" s="99">
        <v>26</v>
      </c>
      <c r="U11" s="99" t="s">
        <v>787</v>
      </c>
      <c r="V11" s="99">
        <v>29</v>
      </c>
      <c r="W11" s="99">
        <v>31</v>
      </c>
      <c r="X11" s="99">
        <v>45</v>
      </c>
      <c r="Y11" s="99">
        <v>66</v>
      </c>
      <c r="Z11" s="99">
        <v>51</v>
      </c>
      <c r="AA11" s="99">
        <v>15</v>
      </c>
      <c r="AB11" s="99" t="s">
        <v>787</v>
      </c>
      <c r="AC11" s="99" t="s">
        <v>787</v>
      </c>
      <c r="AD11" s="98" t="s">
        <v>89</v>
      </c>
      <c r="AE11" s="100">
        <v>0.17807655371107148</v>
      </c>
      <c r="AF11" s="100">
        <v>0.08</v>
      </c>
      <c r="AG11" s="98">
        <v>439.01769790094664</v>
      </c>
      <c r="AH11" s="98">
        <v>178.35093977225958</v>
      </c>
      <c r="AI11" s="100">
        <v>0.0176</v>
      </c>
      <c r="AJ11" s="100">
        <v>0.777445</v>
      </c>
      <c r="AK11" s="100">
        <v>0.909091</v>
      </c>
      <c r="AL11" s="100">
        <v>0.80363</v>
      </c>
      <c r="AM11" s="100">
        <v>0.641054</v>
      </c>
      <c r="AN11" s="100">
        <v>0.619792</v>
      </c>
      <c r="AO11" s="98">
        <v>2743.8606118809166</v>
      </c>
      <c r="AP11" s="157">
        <v>1.2943</v>
      </c>
      <c r="AQ11" s="100">
        <v>0.075</v>
      </c>
      <c r="AR11" s="100">
        <v>0.46875</v>
      </c>
      <c r="AS11" s="98">
        <v>617.3686376732062</v>
      </c>
      <c r="AT11" s="98">
        <v>356.70187954451916</v>
      </c>
      <c r="AU11" s="98" t="s">
        <v>787</v>
      </c>
      <c r="AV11" s="98">
        <v>397.8597887227329</v>
      </c>
      <c r="AW11" s="98">
        <v>425.29839484154206</v>
      </c>
      <c r="AX11" s="98">
        <v>617.3686376732062</v>
      </c>
      <c r="AY11" s="98">
        <v>905.4740019207024</v>
      </c>
      <c r="AZ11" s="98">
        <v>699.6844560296337</v>
      </c>
      <c r="BA11" s="100">
        <v>0.45454545454545453</v>
      </c>
      <c r="BB11" s="100" t="s">
        <v>787</v>
      </c>
      <c r="BC11" s="100" t="s">
        <v>787</v>
      </c>
      <c r="BD11" s="157">
        <v>1.1211</v>
      </c>
      <c r="BE11" s="157">
        <v>1.4867</v>
      </c>
      <c r="BF11" s="161">
        <v>1002</v>
      </c>
      <c r="BG11" s="161">
        <v>11</v>
      </c>
      <c r="BH11" s="161">
        <v>1818</v>
      </c>
      <c r="BI11" s="161">
        <v>911</v>
      </c>
      <c r="BJ11" s="161">
        <v>384</v>
      </c>
      <c r="BK11" s="97"/>
      <c r="BL11" s="97"/>
      <c r="BM11" s="97"/>
      <c r="BN11" s="97"/>
    </row>
    <row r="12" spans="1:66" ht="12.75">
      <c r="A12" s="79" t="s">
        <v>182</v>
      </c>
      <c r="B12" s="79" t="s">
        <v>57</v>
      </c>
      <c r="C12" s="79" t="s">
        <v>379</v>
      </c>
      <c r="D12" s="99">
        <v>8655</v>
      </c>
      <c r="E12" s="99">
        <v>1573</v>
      </c>
      <c r="F12" s="99" t="s">
        <v>109</v>
      </c>
      <c r="G12" s="99">
        <v>44</v>
      </c>
      <c r="H12" s="99">
        <v>14</v>
      </c>
      <c r="I12" s="99">
        <v>209</v>
      </c>
      <c r="J12" s="99">
        <v>1050</v>
      </c>
      <c r="K12" s="99">
        <v>1012</v>
      </c>
      <c r="L12" s="99">
        <v>1893</v>
      </c>
      <c r="M12" s="99">
        <v>729</v>
      </c>
      <c r="N12" s="99">
        <v>300</v>
      </c>
      <c r="O12" s="99">
        <v>116</v>
      </c>
      <c r="P12" s="158">
        <v>116</v>
      </c>
      <c r="Q12" s="99">
        <v>15</v>
      </c>
      <c r="R12" s="99">
        <v>35</v>
      </c>
      <c r="S12" s="99">
        <v>24</v>
      </c>
      <c r="T12" s="99">
        <v>22</v>
      </c>
      <c r="U12" s="99">
        <v>6</v>
      </c>
      <c r="V12" s="99">
        <v>11</v>
      </c>
      <c r="W12" s="99">
        <v>31</v>
      </c>
      <c r="X12" s="99">
        <v>55</v>
      </c>
      <c r="Y12" s="99">
        <v>100</v>
      </c>
      <c r="Z12" s="99">
        <v>55</v>
      </c>
      <c r="AA12" s="99">
        <v>12</v>
      </c>
      <c r="AB12" s="99">
        <v>16</v>
      </c>
      <c r="AC12" s="99">
        <v>17</v>
      </c>
      <c r="AD12" s="98" t="s">
        <v>89</v>
      </c>
      <c r="AE12" s="100">
        <v>0.18174465626805314</v>
      </c>
      <c r="AF12" s="100">
        <v>0.06</v>
      </c>
      <c r="AG12" s="98">
        <v>508.37666088965915</v>
      </c>
      <c r="AH12" s="98">
        <v>161.75621028307336</v>
      </c>
      <c r="AI12" s="100">
        <v>0.0241</v>
      </c>
      <c r="AJ12" s="100">
        <v>0.850202</v>
      </c>
      <c r="AK12" s="100">
        <v>0.84193</v>
      </c>
      <c r="AL12" s="100">
        <v>0.8554</v>
      </c>
      <c r="AM12" s="100">
        <v>0.646277</v>
      </c>
      <c r="AN12" s="100">
        <v>0.621118</v>
      </c>
      <c r="AO12" s="98">
        <v>1340.265742345465</v>
      </c>
      <c r="AP12" s="157">
        <v>0.6147</v>
      </c>
      <c r="AQ12" s="100">
        <v>0.12931034482758622</v>
      </c>
      <c r="AR12" s="100">
        <v>0.42857142857142855</v>
      </c>
      <c r="AS12" s="98">
        <v>277.2963604852686</v>
      </c>
      <c r="AT12" s="98">
        <v>254.18833044482957</v>
      </c>
      <c r="AU12" s="98">
        <v>69.32409012131716</v>
      </c>
      <c r="AV12" s="98">
        <v>127.09416522241479</v>
      </c>
      <c r="AW12" s="98">
        <v>358.17446562680533</v>
      </c>
      <c r="AX12" s="98">
        <v>635.470826112074</v>
      </c>
      <c r="AY12" s="98">
        <v>1155.4015020219526</v>
      </c>
      <c r="AZ12" s="98">
        <v>635.470826112074</v>
      </c>
      <c r="BA12" s="100">
        <v>0.26666666666666666</v>
      </c>
      <c r="BB12" s="100">
        <v>0.35555555555555557</v>
      </c>
      <c r="BC12" s="100">
        <v>0.37777777777777777</v>
      </c>
      <c r="BD12" s="157">
        <v>0.5079</v>
      </c>
      <c r="BE12" s="157">
        <v>0.7372</v>
      </c>
      <c r="BF12" s="161">
        <v>1235</v>
      </c>
      <c r="BG12" s="161">
        <v>1202</v>
      </c>
      <c r="BH12" s="161">
        <v>2213</v>
      </c>
      <c r="BI12" s="161">
        <v>1128</v>
      </c>
      <c r="BJ12" s="161">
        <v>483</v>
      </c>
      <c r="BK12" s="97"/>
      <c r="BL12" s="97"/>
      <c r="BM12" s="97"/>
      <c r="BN12" s="97"/>
    </row>
    <row r="13" spans="1:66" ht="12.75">
      <c r="A13" s="79" t="s">
        <v>190</v>
      </c>
      <c r="B13" s="79" t="s">
        <v>68</v>
      </c>
      <c r="C13" s="79" t="s">
        <v>379</v>
      </c>
      <c r="D13" s="99">
        <v>10963</v>
      </c>
      <c r="E13" s="99">
        <v>1723</v>
      </c>
      <c r="F13" s="99" t="s">
        <v>107</v>
      </c>
      <c r="G13" s="99">
        <v>61</v>
      </c>
      <c r="H13" s="99">
        <v>18</v>
      </c>
      <c r="I13" s="99">
        <v>193</v>
      </c>
      <c r="J13" s="99">
        <v>899</v>
      </c>
      <c r="K13" s="99">
        <v>11</v>
      </c>
      <c r="L13" s="99">
        <v>2117</v>
      </c>
      <c r="M13" s="99">
        <v>609</v>
      </c>
      <c r="N13" s="99">
        <v>235</v>
      </c>
      <c r="O13" s="99">
        <v>136</v>
      </c>
      <c r="P13" s="158">
        <v>136</v>
      </c>
      <c r="Q13" s="99">
        <v>12</v>
      </c>
      <c r="R13" s="99">
        <v>35</v>
      </c>
      <c r="S13" s="99">
        <v>42</v>
      </c>
      <c r="T13" s="99">
        <v>19</v>
      </c>
      <c r="U13" s="99" t="s">
        <v>787</v>
      </c>
      <c r="V13" s="99">
        <v>14</v>
      </c>
      <c r="W13" s="99">
        <v>35</v>
      </c>
      <c r="X13" s="99">
        <v>59</v>
      </c>
      <c r="Y13" s="99">
        <v>114</v>
      </c>
      <c r="Z13" s="99">
        <v>53</v>
      </c>
      <c r="AA13" s="99" t="s">
        <v>787</v>
      </c>
      <c r="AB13" s="99">
        <v>22</v>
      </c>
      <c r="AC13" s="99" t="s">
        <v>787</v>
      </c>
      <c r="AD13" s="98" t="s">
        <v>89</v>
      </c>
      <c r="AE13" s="100">
        <v>0.15716500957767035</v>
      </c>
      <c r="AF13" s="100">
        <v>0.09</v>
      </c>
      <c r="AG13" s="98">
        <v>556.4170391316245</v>
      </c>
      <c r="AH13" s="98">
        <v>164.1886344978564</v>
      </c>
      <c r="AI13" s="100">
        <v>0.0176</v>
      </c>
      <c r="AJ13" s="100">
        <v>0.785153</v>
      </c>
      <c r="AK13" s="100">
        <v>0.846154</v>
      </c>
      <c r="AL13" s="100">
        <v>0.764536</v>
      </c>
      <c r="AM13" s="100">
        <v>0.616397</v>
      </c>
      <c r="AN13" s="100">
        <v>0.590452</v>
      </c>
      <c r="AO13" s="98">
        <v>1240.5363495393597</v>
      </c>
      <c r="AP13" s="157">
        <v>0.6459</v>
      </c>
      <c r="AQ13" s="100">
        <v>0.08823529411764706</v>
      </c>
      <c r="AR13" s="100">
        <v>0.34285714285714286</v>
      </c>
      <c r="AS13" s="98">
        <v>383.10681382833167</v>
      </c>
      <c r="AT13" s="98">
        <v>173.3102253032929</v>
      </c>
      <c r="AU13" s="98" t="s">
        <v>787</v>
      </c>
      <c r="AV13" s="98">
        <v>127.70227127611055</v>
      </c>
      <c r="AW13" s="98">
        <v>319.2556781902764</v>
      </c>
      <c r="AX13" s="98">
        <v>538.1738575207517</v>
      </c>
      <c r="AY13" s="98">
        <v>1039.8613518197574</v>
      </c>
      <c r="AZ13" s="98">
        <v>483.4443126881328</v>
      </c>
      <c r="BA13" s="100" t="s">
        <v>787</v>
      </c>
      <c r="BB13" s="100">
        <v>0.55</v>
      </c>
      <c r="BC13" s="100" t="s">
        <v>787</v>
      </c>
      <c r="BD13" s="157">
        <v>0.5418999999999999</v>
      </c>
      <c r="BE13" s="157">
        <v>0.764</v>
      </c>
      <c r="BF13" s="161">
        <v>1145</v>
      </c>
      <c r="BG13" s="161">
        <v>13</v>
      </c>
      <c r="BH13" s="161">
        <v>2769</v>
      </c>
      <c r="BI13" s="161">
        <v>988</v>
      </c>
      <c r="BJ13" s="161">
        <v>398</v>
      </c>
      <c r="BK13" s="97"/>
      <c r="BL13" s="97"/>
      <c r="BM13" s="97"/>
      <c r="BN13" s="97"/>
    </row>
    <row r="14" spans="1:66" ht="12.75">
      <c r="A14" s="79" t="s">
        <v>189</v>
      </c>
      <c r="B14" s="79" t="s">
        <v>67</v>
      </c>
      <c r="C14" s="79" t="s">
        <v>379</v>
      </c>
      <c r="D14" s="99">
        <v>35501</v>
      </c>
      <c r="E14" s="99">
        <v>6485</v>
      </c>
      <c r="F14" s="99" t="s">
        <v>107</v>
      </c>
      <c r="G14" s="99">
        <v>176</v>
      </c>
      <c r="H14" s="99">
        <v>94</v>
      </c>
      <c r="I14" s="99">
        <v>645</v>
      </c>
      <c r="J14" s="99">
        <v>3983</v>
      </c>
      <c r="K14" s="99">
        <v>3887</v>
      </c>
      <c r="L14" s="99">
        <v>6892</v>
      </c>
      <c r="M14" s="99">
        <v>2769</v>
      </c>
      <c r="N14" s="99">
        <v>1124</v>
      </c>
      <c r="O14" s="99">
        <v>517</v>
      </c>
      <c r="P14" s="158">
        <v>517</v>
      </c>
      <c r="Q14" s="99">
        <v>80</v>
      </c>
      <c r="R14" s="99">
        <v>172</v>
      </c>
      <c r="S14" s="99">
        <v>117</v>
      </c>
      <c r="T14" s="99">
        <v>85</v>
      </c>
      <c r="U14" s="99">
        <v>39</v>
      </c>
      <c r="V14" s="99">
        <v>89</v>
      </c>
      <c r="W14" s="99">
        <v>113</v>
      </c>
      <c r="X14" s="99">
        <v>195</v>
      </c>
      <c r="Y14" s="99">
        <v>272</v>
      </c>
      <c r="Z14" s="99">
        <v>252</v>
      </c>
      <c r="AA14" s="99">
        <v>42</v>
      </c>
      <c r="AB14" s="99">
        <v>81</v>
      </c>
      <c r="AC14" s="99">
        <v>61</v>
      </c>
      <c r="AD14" s="98" t="s">
        <v>89</v>
      </c>
      <c r="AE14" s="100">
        <v>0.18267091067857244</v>
      </c>
      <c r="AF14" s="100">
        <v>0.09</v>
      </c>
      <c r="AG14" s="98">
        <v>495.7606827976677</v>
      </c>
      <c r="AH14" s="98">
        <v>264.7812737669361</v>
      </c>
      <c r="AI14" s="100">
        <v>0.0182</v>
      </c>
      <c r="AJ14" s="100">
        <v>0.84065</v>
      </c>
      <c r="AK14" s="100">
        <v>0.852039</v>
      </c>
      <c r="AL14" s="100">
        <v>0.782915</v>
      </c>
      <c r="AM14" s="100">
        <v>0.619602</v>
      </c>
      <c r="AN14" s="100">
        <v>0.606257</v>
      </c>
      <c r="AO14" s="98">
        <v>1456.2970057181487</v>
      </c>
      <c r="AP14" s="157">
        <v>0.6842</v>
      </c>
      <c r="AQ14" s="100">
        <v>0.15473887814313347</v>
      </c>
      <c r="AR14" s="100">
        <v>0.46511627906976744</v>
      </c>
      <c r="AS14" s="98">
        <v>329.568181177995</v>
      </c>
      <c r="AT14" s="98">
        <v>239.42987521478267</v>
      </c>
      <c r="AU14" s="98">
        <v>109.856060392665</v>
      </c>
      <c r="AV14" s="98">
        <v>250.6971634601842</v>
      </c>
      <c r="AW14" s="98">
        <v>318.30089293259346</v>
      </c>
      <c r="AX14" s="98">
        <v>549.280301963325</v>
      </c>
      <c r="AY14" s="98">
        <v>766.1756006873046</v>
      </c>
      <c r="AZ14" s="98">
        <v>709.8391594602969</v>
      </c>
      <c r="BA14" s="100">
        <v>0.22826086956521738</v>
      </c>
      <c r="BB14" s="100">
        <v>0.44021739130434784</v>
      </c>
      <c r="BC14" s="100">
        <v>0.33152173913043476</v>
      </c>
      <c r="BD14" s="157">
        <v>0.6265</v>
      </c>
      <c r="BE14" s="157">
        <v>0.7458</v>
      </c>
      <c r="BF14" s="161">
        <v>4738</v>
      </c>
      <c r="BG14" s="161">
        <v>4562</v>
      </c>
      <c r="BH14" s="161">
        <v>8803</v>
      </c>
      <c r="BI14" s="161">
        <v>4469</v>
      </c>
      <c r="BJ14" s="161">
        <v>1854</v>
      </c>
      <c r="BK14" s="97"/>
      <c r="BL14" s="97"/>
      <c r="BM14" s="97"/>
      <c r="BN14" s="97"/>
    </row>
    <row r="15" spans="1:66" ht="12.75">
      <c r="A15" s="79" t="s">
        <v>204</v>
      </c>
      <c r="B15" s="79" t="s">
        <v>82</v>
      </c>
      <c r="C15" s="79" t="s">
        <v>379</v>
      </c>
      <c r="D15" s="99">
        <v>3234</v>
      </c>
      <c r="E15" s="99">
        <v>623</v>
      </c>
      <c r="F15" s="99" t="s">
        <v>107</v>
      </c>
      <c r="G15" s="99">
        <v>19</v>
      </c>
      <c r="H15" s="99">
        <v>9</v>
      </c>
      <c r="I15" s="99">
        <v>54</v>
      </c>
      <c r="J15" s="99">
        <v>276</v>
      </c>
      <c r="K15" s="99" t="s">
        <v>787</v>
      </c>
      <c r="L15" s="99">
        <v>538</v>
      </c>
      <c r="M15" s="99">
        <v>166</v>
      </c>
      <c r="N15" s="99">
        <v>69</v>
      </c>
      <c r="O15" s="99">
        <v>72</v>
      </c>
      <c r="P15" s="158">
        <v>72</v>
      </c>
      <c r="Q15" s="99">
        <v>6</v>
      </c>
      <c r="R15" s="99">
        <v>17</v>
      </c>
      <c r="S15" s="99">
        <v>15</v>
      </c>
      <c r="T15" s="99">
        <v>16</v>
      </c>
      <c r="U15" s="99" t="s">
        <v>787</v>
      </c>
      <c r="V15" s="99">
        <v>15</v>
      </c>
      <c r="W15" s="99">
        <v>15</v>
      </c>
      <c r="X15" s="99">
        <v>24</v>
      </c>
      <c r="Y15" s="99">
        <v>33</v>
      </c>
      <c r="Z15" s="99">
        <v>17</v>
      </c>
      <c r="AA15" s="99">
        <v>17</v>
      </c>
      <c r="AB15" s="99">
        <v>13</v>
      </c>
      <c r="AC15" s="99">
        <v>8</v>
      </c>
      <c r="AD15" s="98" t="s">
        <v>89</v>
      </c>
      <c r="AE15" s="100">
        <v>0.19264069264069264</v>
      </c>
      <c r="AF15" s="100">
        <v>0.1</v>
      </c>
      <c r="AG15" s="98">
        <v>587.5077303648732</v>
      </c>
      <c r="AH15" s="98">
        <v>278.29313543599255</v>
      </c>
      <c r="AI15" s="100">
        <v>0.0167</v>
      </c>
      <c r="AJ15" s="100">
        <v>0.788571</v>
      </c>
      <c r="AK15" s="100" t="s">
        <v>787</v>
      </c>
      <c r="AL15" s="100">
        <v>0.734973</v>
      </c>
      <c r="AM15" s="100">
        <v>0.570447</v>
      </c>
      <c r="AN15" s="100">
        <v>0.539063</v>
      </c>
      <c r="AO15" s="98">
        <v>2226.3450834879404</v>
      </c>
      <c r="AP15" s="157">
        <v>1.0545</v>
      </c>
      <c r="AQ15" s="100">
        <v>0.08333333333333333</v>
      </c>
      <c r="AR15" s="100">
        <v>0.35294117647058826</v>
      </c>
      <c r="AS15" s="98">
        <v>463.821892393321</v>
      </c>
      <c r="AT15" s="98">
        <v>494.74335188620904</v>
      </c>
      <c r="AU15" s="98" t="s">
        <v>787</v>
      </c>
      <c r="AV15" s="98">
        <v>463.821892393321</v>
      </c>
      <c r="AW15" s="98">
        <v>463.821892393321</v>
      </c>
      <c r="AX15" s="98">
        <v>742.1150278293136</v>
      </c>
      <c r="AY15" s="98">
        <v>1020.4081632653061</v>
      </c>
      <c r="AZ15" s="98">
        <v>525.664811379097</v>
      </c>
      <c r="BA15" s="100">
        <v>0.4473684210526316</v>
      </c>
      <c r="BB15" s="100">
        <v>0.34210526315789475</v>
      </c>
      <c r="BC15" s="100">
        <v>0.21052631578947367</v>
      </c>
      <c r="BD15" s="157">
        <v>0.8251000000000001</v>
      </c>
      <c r="BE15" s="157">
        <v>1.328</v>
      </c>
      <c r="BF15" s="161">
        <v>350</v>
      </c>
      <c r="BG15" s="161" t="s">
        <v>787</v>
      </c>
      <c r="BH15" s="161">
        <v>732</v>
      </c>
      <c r="BI15" s="161">
        <v>291</v>
      </c>
      <c r="BJ15" s="161">
        <v>128</v>
      </c>
      <c r="BK15" s="97"/>
      <c r="BL15" s="97"/>
      <c r="BM15" s="97"/>
      <c r="BN15" s="97"/>
    </row>
    <row r="16" spans="1:66" ht="12.75">
      <c r="A16" s="79" t="s">
        <v>382</v>
      </c>
      <c r="B16" s="79" t="s">
        <v>65</v>
      </c>
      <c r="C16" s="79" t="s">
        <v>379</v>
      </c>
      <c r="D16" s="99">
        <v>10663</v>
      </c>
      <c r="E16" s="99">
        <v>2240</v>
      </c>
      <c r="F16" s="99" t="s">
        <v>109</v>
      </c>
      <c r="G16" s="99">
        <v>65</v>
      </c>
      <c r="H16" s="99">
        <v>24</v>
      </c>
      <c r="I16" s="99">
        <v>251</v>
      </c>
      <c r="J16" s="99">
        <v>1205</v>
      </c>
      <c r="K16" s="99">
        <v>15</v>
      </c>
      <c r="L16" s="99">
        <v>1949</v>
      </c>
      <c r="M16" s="99">
        <v>1093</v>
      </c>
      <c r="N16" s="99">
        <v>437</v>
      </c>
      <c r="O16" s="99">
        <v>272</v>
      </c>
      <c r="P16" s="158">
        <v>272</v>
      </c>
      <c r="Q16" s="99">
        <v>21</v>
      </c>
      <c r="R16" s="99">
        <v>51</v>
      </c>
      <c r="S16" s="99">
        <v>65</v>
      </c>
      <c r="T16" s="99">
        <v>40</v>
      </c>
      <c r="U16" s="99">
        <v>13</v>
      </c>
      <c r="V16" s="99">
        <v>43</v>
      </c>
      <c r="W16" s="99">
        <v>51</v>
      </c>
      <c r="X16" s="99">
        <v>59</v>
      </c>
      <c r="Y16" s="99">
        <v>122</v>
      </c>
      <c r="Z16" s="99">
        <v>75</v>
      </c>
      <c r="AA16" s="99">
        <v>13</v>
      </c>
      <c r="AB16" s="99">
        <v>23</v>
      </c>
      <c r="AC16" s="99">
        <v>15</v>
      </c>
      <c r="AD16" s="98" t="s">
        <v>89</v>
      </c>
      <c r="AE16" s="100">
        <v>0.21007221232298603</v>
      </c>
      <c r="AF16" s="100">
        <v>0.06</v>
      </c>
      <c r="AG16" s="98">
        <v>609.5845446872362</v>
      </c>
      <c r="AH16" s="98">
        <v>225.07737034605645</v>
      </c>
      <c r="AI16" s="100">
        <v>0.0235</v>
      </c>
      <c r="AJ16" s="100">
        <v>0.759294</v>
      </c>
      <c r="AK16" s="100">
        <v>0.681818</v>
      </c>
      <c r="AL16" s="100">
        <v>0.781476</v>
      </c>
      <c r="AM16" s="100">
        <v>0.680573</v>
      </c>
      <c r="AN16" s="100">
        <v>0.649331</v>
      </c>
      <c r="AO16" s="98">
        <v>2550.8768639219734</v>
      </c>
      <c r="AP16" s="157">
        <v>1.113</v>
      </c>
      <c r="AQ16" s="100">
        <v>0.07720588235294118</v>
      </c>
      <c r="AR16" s="100">
        <v>0.4117647058823529</v>
      </c>
      <c r="AS16" s="98">
        <v>609.5845446872362</v>
      </c>
      <c r="AT16" s="98">
        <v>375.12895057676076</v>
      </c>
      <c r="AU16" s="98">
        <v>121.91690893744725</v>
      </c>
      <c r="AV16" s="98">
        <v>403.2636218700178</v>
      </c>
      <c r="AW16" s="98">
        <v>478.28941198536995</v>
      </c>
      <c r="AX16" s="98">
        <v>553.3152021007221</v>
      </c>
      <c r="AY16" s="98">
        <v>1144.1432992591203</v>
      </c>
      <c r="AZ16" s="98">
        <v>703.3667823314264</v>
      </c>
      <c r="BA16" s="100">
        <v>0.2549019607843137</v>
      </c>
      <c r="BB16" s="100">
        <v>0.45098039215686275</v>
      </c>
      <c r="BC16" s="100">
        <v>0.29411764705882354</v>
      </c>
      <c r="BD16" s="157">
        <v>0.9845999999999999</v>
      </c>
      <c r="BE16" s="157">
        <v>1.2534</v>
      </c>
      <c r="BF16" s="161">
        <v>1587</v>
      </c>
      <c r="BG16" s="161">
        <v>22</v>
      </c>
      <c r="BH16" s="161">
        <v>2494</v>
      </c>
      <c r="BI16" s="161">
        <v>1606</v>
      </c>
      <c r="BJ16" s="161">
        <v>673</v>
      </c>
      <c r="BK16" s="97"/>
      <c r="BL16" s="97"/>
      <c r="BM16" s="97"/>
      <c r="BN16" s="97"/>
    </row>
    <row r="17" spans="1:66" ht="12.75">
      <c r="A17" s="79" t="s">
        <v>384</v>
      </c>
      <c r="B17" s="79" t="s">
        <v>86</v>
      </c>
      <c r="C17" s="79" t="s">
        <v>379</v>
      </c>
      <c r="D17" s="99">
        <v>5153</v>
      </c>
      <c r="E17" s="99">
        <v>871</v>
      </c>
      <c r="F17" s="99" t="s">
        <v>109</v>
      </c>
      <c r="G17" s="99">
        <v>14</v>
      </c>
      <c r="H17" s="99">
        <v>14</v>
      </c>
      <c r="I17" s="99">
        <v>97</v>
      </c>
      <c r="J17" s="99">
        <v>422</v>
      </c>
      <c r="K17" s="99">
        <v>21</v>
      </c>
      <c r="L17" s="99">
        <v>960</v>
      </c>
      <c r="M17" s="99">
        <v>343</v>
      </c>
      <c r="N17" s="99">
        <v>127</v>
      </c>
      <c r="O17" s="99">
        <v>48</v>
      </c>
      <c r="P17" s="158">
        <v>48</v>
      </c>
      <c r="Q17" s="99">
        <v>9</v>
      </c>
      <c r="R17" s="99">
        <v>24</v>
      </c>
      <c r="S17" s="99">
        <v>18</v>
      </c>
      <c r="T17" s="99">
        <v>7</v>
      </c>
      <c r="U17" s="99" t="s">
        <v>787</v>
      </c>
      <c r="V17" s="99" t="s">
        <v>787</v>
      </c>
      <c r="W17" s="99">
        <v>22</v>
      </c>
      <c r="X17" s="99">
        <v>20</v>
      </c>
      <c r="Y17" s="99">
        <v>35</v>
      </c>
      <c r="Z17" s="99">
        <v>26</v>
      </c>
      <c r="AA17" s="99" t="s">
        <v>787</v>
      </c>
      <c r="AB17" s="99" t="s">
        <v>787</v>
      </c>
      <c r="AC17" s="99" t="s">
        <v>787</v>
      </c>
      <c r="AD17" s="98" t="s">
        <v>89</v>
      </c>
      <c r="AE17" s="100">
        <v>0.16902775082476226</v>
      </c>
      <c r="AF17" s="100">
        <v>0.06</v>
      </c>
      <c r="AG17" s="98">
        <v>271.6863962740151</v>
      </c>
      <c r="AH17" s="98">
        <v>271.6863962740151</v>
      </c>
      <c r="AI17" s="100">
        <v>0.018799999999999997</v>
      </c>
      <c r="AJ17" s="100">
        <v>0.727586</v>
      </c>
      <c r="AK17" s="100">
        <v>0.875</v>
      </c>
      <c r="AL17" s="100">
        <v>0.784955</v>
      </c>
      <c r="AM17" s="100">
        <v>0.585324</v>
      </c>
      <c r="AN17" s="100">
        <v>0.552174</v>
      </c>
      <c r="AO17" s="98">
        <v>931.4962157966233</v>
      </c>
      <c r="AP17" s="157">
        <v>0.45770000000000005</v>
      </c>
      <c r="AQ17" s="100">
        <v>0.1875</v>
      </c>
      <c r="AR17" s="100">
        <v>0.375</v>
      </c>
      <c r="AS17" s="98">
        <v>349.31108092373375</v>
      </c>
      <c r="AT17" s="98">
        <v>135.84319813700756</v>
      </c>
      <c r="AU17" s="98" t="s">
        <v>787</v>
      </c>
      <c r="AV17" s="98" t="s">
        <v>787</v>
      </c>
      <c r="AW17" s="98">
        <v>426.9357655734524</v>
      </c>
      <c r="AX17" s="98">
        <v>388.12342324859304</v>
      </c>
      <c r="AY17" s="98">
        <v>679.2159906850378</v>
      </c>
      <c r="AZ17" s="98">
        <v>504.56045022317096</v>
      </c>
      <c r="BA17" s="100" t="s">
        <v>787</v>
      </c>
      <c r="BB17" s="100" t="s">
        <v>787</v>
      </c>
      <c r="BC17" s="100" t="s">
        <v>787</v>
      </c>
      <c r="BD17" s="157">
        <v>0.3375</v>
      </c>
      <c r="BE17" s="157">
        <v>0.6069</v>
      </c>
      <c r="BF17" s="161">
        <v>580</v>
      </c>
      <c r="BG17" s="161">
        <v>24</v>
      </c>
      <c r="BH17" s="161">
        <v>1223</v>
      </c>
      <c r="BI17" s="161">
        <v>586</v>
      </c>
      <c r="BJ17" s="161">
        <v>230</v>
      </c>
      <c r="BK17" s="97"/>
      <c r="BL17" s="97"/>
      <c r="BM17" s="97"/>
      <c r="BN17" s="97"/>
    </row>
    <row r="18" spans="1:66" ht="12.75">
      <c r="A18" s="79" t="s">
        <v>380</v>
      </c>
      <c r="B18" s="79" t="s">
        <v>59</v>
      </c>
      <c r="C18" s="79" t="s">
        <v>379</v>
      </c>
      <c r="D18" s="99">
        <v>23564</v>
      </c>
      <c r="E18" s="99">
        <v>4717</v>
      </c>
      <c r="F18" s="99" t="s">
        <v>109</v>
      </c>
      <c r="G18" s="99">
        <v>104</v>
      </c>
      <c r="H18" s="99">
        <v>74</v>
      </c>
      <c r="I18" s="99">
        <v>604</v>
      </c>
      <c r="J18" s="99">
        <v>2540</v>
      </c>
      <c r="K18" s="99">
        <v>2184</v>
      </c>
      <c r="L18" s="99">
        <v>4574</v>
      </c>
      <c r="M18" s="99">
        <v>1811</v>
      </c>
      <c r="N18" s="99">
        <v>677</v>
      </c>
      <c r="O18" s="99">
        <v>401</v>
      </c>
      <c r="P18" s="158">
        <v>401</v>
      </c>
      <c r="Q18" s="99">
        <v>54</v>
      </c>
      <c r="R18" s="99">
        <v>130</v>
      </c>
      <c r="S18" s="99">
        <v>102</v>
      </c>
      <c r="T18" s="99">
        <v>65</v>
      </c>
      <c r="U18" s="99">
        <v>26</v>
      </c>
      <c r="V18" s="99">
        <v>46</v>
      </c>
      <c r="W18" s="99">
        <v>88</v>
      </c>
      <c r="X18" s="99">
        <v>163</v>
      </c>
      <c r="Y18" s="99">
        <v>208</v>
      </c>
      <c r="Z18" s="99">
        <v>177</v>
      </c>
      <c r="AA18" s="99">
        <v>25</v>
      </c>
      <c r="AB18" s="99">
        <v>64</v>
      </c>
      <c r="AC18" s="99">
        <v>47</v>
      </c>
      <c r="AD18" s="98" t="s">
        <v>89</v>
      </c>
      <c r="AE18" s="100">
        <v>0.20017823799015447</v>
      </c>
      <c r="AF18" s="100">
        <v>0.07</v>
      </c>
      <c r="AG18" s="98">
        <v>441.35121371583773</v>
      </c>
      <c r="AH18" s="98">
        <v>314.0383636054999</v>
      </c>
      <c r="AI18" s="100">
        <v>0.0256</v>
      </c>
      <c r="AJ18" s="100">
        <v>0.821475</v>
      </c>
      <c r="AK18" s="100">
        <v>0.836141</v>
      </c>
      <c r="AL18" s="100">
        <v>0.810562</v>
      </c>
      <c r="AM18" s="100">
        <v>0.628165</v>
      </c>
      <c r="AN18" s="100">
        <v>0.590235</v>
      </c>
      <c r="AO18" s="98">
        <v>1701.748429808182</v>
      </c>
      <c r="AP18" s="157">
        <v>0.773</v>
      </c>
      <c r="AQ18" s="100">
        <v>0.13466334164588528</v>
      </c>
      <c r="AR18" s="100">
        <v>0.4153846153846154</v>
      </c>
      <c r="AS18" s="98">
        <v>432.8636903751485</v>
      </c>
      <c r="AT18" s="98">
        <v>275.8445085723986</v>
      </c>
      <c r="AU18" s="98">
        <v>110.33780342895943</v>
      </c>
      <c r="AV18" s="98">
        <v>195.2130368358513</v>
      </c>
      <c r="AW18" s="98">
        <v>373.45102699032424</v>
      </c>
      <c r="AX18" s="98">
        <v>691.7331522661688</v>
      </c>
      <c r="AY18" s="98">
        <v>882.7024274316755</v>
      </c>
      <c r="AZ18" s="98">
        <v>751.1458156509931</v>
      </c>
      <c r="BA18" s="100">
        <v>0.18382352941176472</v>
      </c>
      <c r="BB18" s="100">
        <v>0.47058823529411764</v>
      </c>
      <c r="BC18" s="100">
        <v>0.34558823529411764</v>
      </c>
      <c r="BD18" s="157">
        <v>0.6992</v>
      </c>
      <c r="BE18" s="157">
        <v>0.8525</v>
      </c>
      <c r="BF18" s="161">
        <v>3092</v>
      </c>
      <c r="BG18" s="161">
        <v>2612</v>
      </c>
      <c r="BH18" s="161">
        <v>5643</v>
      </c>
      <c r="BI18" s="161">
        <v>2883</v>
      </c>
      <c r="BJ18" s="161">
        <v>1147</v>
      </c>
      <c r="BK18" s="97"/>
      <c r="BL18" s="97"/>
      <c r="BM18" s="97"/>
      <c r="BN18" s="97"/>
    </row>
    <row r="19" spans="1:66" ht="12.75">
      <c r="A19" s="79" t="s">
        <v>207</v>
      </c>
      <c r="B19" s="79" t="s">
        <v>85</v>
      </c>
      <c r="C19" s="79" t="s">
        <v>379</v>
      </c>
      <c r="D19" s="99">
        <v>2396</v>
      </c>
      <c r="E19" s="99">
        <v>349</v>
      </c>
      <c r="F19" s="99" t="s">
        <v>108</v>
      </c>
      <c r="G19" s="99">
        <v>8</v>
      </c>
      <c r="H19" s="99" t="s">
        <v>787</v>
      </c>
      <c r="I19" s="99">
        <v>24</v>
      </c>
      <c r="J19" s="99">
        <v>203</v>
      </c>
      <c r="K19" s="99">
        <v>187</v>
      </c>
      <c r="L19" s="99">
        <v>422</v>
      </c>
      <c r="M19" s="99">
        <v>103</v>
      </c>
      <c r="N19" s="99">
        <v>39</v>
      </c>
      <c r="O19" s="99">
        <v>12</v>
      </c>
      <c r="P19" s="158">
        <v>12</v>
      </c>
      <c r="Q19" s="99" t="s">
        <v>787</v>
      </c>
      <c r="R19" s="99">
        <v>8</v>
      </c>
      <c r="S19" s="99" t="s">
        <v>787</v>
      </c>
      <c r="T19" s="99" t="s">
        <v>787</v>
      </c>
      <c r="U19" s="99" t="s">
        <v>787</v>
      </c>
      <c r="V19" s="99" t="s">
        <v>787</v>
      </c>
      <c r="W19" s="99">
        <v>8</v>
      </c>
      <c r="X19" s="99" t="s">
        <v>787</v>
      </c>
      <c r="Y19" s="99">
        <v>11</v>
      </c>
      <c r="Z19" s="99">
        <v>11</v>
      </c>
      <c r="AA19" s="99" t="s">
        <v>787</v>
      </c>
      <c r="AB19" s="99" t="s">
        <v>787</v>
      </c>
      <c r="AC19" s="99" t="s">
        <v>787</v>
      </c>
      <c r="AD19" s="98" t="s">
        <v>89</v>
      </c>
      <c r="AE19" s="100">
        <v>0.1456594323873122</v>
      </c>
      <c r="AF19" s="100">
        <v>0.13</v>
      </c>
      <c r="AG19" s="98">
        <v>333.889816360601</v>
      </c>
      <c r="AH19" s="98" t="s">
        <v>787</v>
      </c>
      <c r="AI19" s="100">
        <v>0.01</v>
      </c>
      <c r="AJ19" s="100">
        <v>0.771863</v>
      </c>
      <c r="AK19" s="100">
        <v>0.757085</v>
      </c>
      <c r="AL19" s="100">
        <v>0.708054</v>
      </c>
      <c r="AM19" s="100">
        <v>0.443966</v>
      </c>
      <c r="AN19" s="100">
        <v>0.414894</v>
      </c>
      <c r="AO19" s="98">
        <v>500.8347245409015</v>
      </c>
      <c r="AP19" s="157">
        <v>0.2615</v>
      </c>
      <c r="AQ19" s="100" t="s">
        <v>787</v>
      </c>
      <c r="AR19" s="100" t="s">
        <v>787</v>
      </c>
      <c r="AS19" s="98" t="s">
        <v>787</v>
      </c>
      <c r="AT19" s="98" t="s">
        <v>787</v>
      </c>
      <c r="AU19" s="98" t="s">
        <v>787</v>
      </c>
      <c r="AV19" s="98" t="s">
        <v>787</v>
      </c>
      <c r="AW19" s="98">
        <v>333.889816360601</v>
      </c>
      <c r="AX19" s="98" t="s">
        <v>787</v>
      </c>
      <c r="AY19" s="98">
        <v>459.0984974958264</v>
      </c>
      <c r="AZ19" s="98">
        <v>459.0984974958264</v>
      </c>
      <c r="BA19" s="101" t="s">
        <v>787</v>
      </c>
      <c r="BB19" s="101" t="s">
        <v>787</v>
      </c>
      <c r="BC19" s="101" t="s">
        <v>787</v>
      </c>
      <c r="BD19" s="157">
        <v>0.1351</v>
      </c>
      <c r="BE19" s="157">
        <v>0.4568</v>
      </c>
      <c r="BF19" s="161">
        <v>263</v>
      </c>
      <c r="BG19" s="161">
        <v>247</v>
      </c>
      <c r="BH19" s="161">
        <v>596</v>
      </c>
      <c r="BI19" s="161">
        <v>232</v>
      </c>
      <c r="BJ19" s="161">
        <v>94</v>
      </c>
      <c r="BK19" s="97"/>
      <c r="BL19" s="97"/>
      <c r="BM19" s="97"/>
      <c r="BN19" s="97"/>
    </row>
    <row r="20" spans="1:66" ht="12.75">
      <c r="A20" s="79" t="s">
        <v>198</v>
      </c>
      <c r="B20" s="79" t="s">
        <v>76</v>
      </c>
      <c r="C20" s="79" t="s">
        <v>379</v>
      </c>
      <c r="D20" s="99">
        <v>11244</v>
      </c>
      <c r="E20" s="99">
        <v>2386</v>
      </c>
      <c r="F20" s="99" t="s">
        <v>109</v>
      </c>
      <c r="G20" s="99">
        <v>88</v>
      </c>
      <c r="H20" s="99">
        <v>32</v>
      </c>
      <c r="I20" s="99">
        <v>321</v>
      </c>
      <c r="J20" s="99">
        <v>1251</v>
      </c>
      <c r="K20" s="99">
        <v>10</v>
      </c>
      <c r="L20" s="99">
        <v>2166</v>
      </c>
      <c r="M20" s="99">
        <v>965</v>
      </c>
      <c r="N20" s="99">
        <v>395</v>
      </c>
      <c r="O20" s="99">
        <v>328</v>
      </c>
      <c r="P20" s="158">
        <v>328</v>
      </c>
      <c r="Q20" s="99">
        <v>43</v>
      </c>
      <c r="R20" s="99">
        <v>68</v>
      </c>
      <c r="S20" s="99">
        <v>95</v>
      </c>
      <c r="T20" s="99">
        <v>43</v>
      </c>
      <c r="U20" s="99">
        <v>8</v>
      </c>
      <c r="V20" s="99">
        <v>38</v>
      </c>
      <c r="W20" s="99">
        <v>57</v>
      </c>
      <c r="X20" s="99">
        <v>72</v>
      </c>
      <c r="Y20" s="99">
        <v>137</v>
      </c>
      <c r="Z20" s="99">
        <v>122</v>
      </c>
      <c r="AA20" s="99">
        <v>13</v>
      </c>
      <c r="AB20" s="99">
        <v>26</v>
      </c>
      <c r="AC20" s="99">
        <v>14</v>
      </c>
      <c r="AD20" s="98" t="s">
        <v>89</v>
      </c>
      <c r="AE20" s="100">
        <v>0.21220206332266098</v>
      </c>
      <c r="AF20" s="100">
        <v>0.08</v>
      </c>
      <c r="AG20" s="98">
        <v>782.6396300249022</v>
      </c>
      <c r="AH20" s="98">
        <v>284.59622909996443</v>
      </c>
      <c r="AI20" s="100">
        <v>0.0285</v>
      </c>
      <c r="AJ20" s="100">
        <v>0.794286</v>
      </c>
      <c r="AK20" s="100">
        <v>0.588235</v>
      </c>
      <c r="AL20" s="100">
        <v>0.810629</v>
      </c>
      <c r="AM20" s="100">
        <v>0.630719</v>
      </c>
      <c r="AN20" s="100">
        <v>0.603053</v>
      </c>
      <c r="AO20" s="98">
        <v>2917.1113482746355</v>
      </c>
      <c r="AP20" s="157">
        <v>1.2858</v>
      </c>
      <c r="AQ20" s="100">
        <v>0.13109756097560976</v>
      </c>
      <c r="AR20" s="100">
        <v>0.6323529411764706</v>
      </c>
      <c r="AS20" s="98">
        <v>844.8950551405194</v>
      </c>
      <c r="AT20" s="98">
        <v>382.4261828530772</v>
      </c>
      <c r="AU20" s="98">
        <v>71.14905727499111</v>
      </c>
      <c r="AV20" s="98">
        <v>337.95802205620777</v>
      </c>
      <c r="AW20" s="98">
        <v>506.9370330843116</v>
      </c>
      <c r="AX20" s="98">
        <v>640.3415154749199</v>
      </c>
      <c r="AY20" s="98">
        <v>1218.4276058342227</v>
      </c>
      <c r="AZ20" s="98">
        <v>1085.0231234436144</v>
      </c>
      <c r="BA20" s="100">
        <v>0.24528301886792453</v>
      </c>
      <c r="BB20" s="100">
        <v>0.49056603773584906</v>
      </c>
      <c r="BC20" s="100">
        <v>0.2641509433962264</v>
      </c>
      <c r="BD20" s="157">
        <v>1.1504</v>
      </c>
      <c r="BE20" s="157">
        <v>1.4327</v>
      </c>
      <c r="BF20" s="161">
        <v>1575</v>
      </c>
      <c r="BG20" s="161">
        <v>17</v>
      </c>
      <c r="BH20" s="161">
        <v>2672</v>
      </c>
      <c r="BI20" s="161">
        <v>1530</v>
      </c>
      <c r="BJ20" s="161">
        <v>655</v>
      </c>
      <c r="BK20" s="97"/>
      <c r="BL20" s="97"/>
      <c r="BM20" s="97"/>
      <c r="BN20" s="97"/>
    </row>
    <row r="21" spans="1:66" ht="12.75">
      <c r="A21" s="79" t="s">
        <v>184</v>
      </c>
      <c r="B21" s="79" t="s">
        <v>60</v>
      </c>
      <c r="C21" s="79" t="s">
        <v>379</v>
      </c>
      <c r="D21" s="99">
        <v>16088</v>
      </c>
      <c r="E21" s="99">
        <v>3659</v>
      </c>
      <c r="F21" s="99" t="s">
        <v>109</v>
      </c>
      <c r="G21" s="99">
        <v>93</v>
      </c>
      <c r="H21" s="99">
        <v>38</v>
      </c>
      <c r="I21" s="99">
        <v>456</v>
      </c>
      <c r="J21" s="99">
        <v>1941</v>
      </c>
      <c r="K21" s="99">
        <v>1884</v>
      </c>
      <c r="L21" s="99">
        <v>2761</v>
      </c>
      <c r="M21" s="99">
        <v>1434</v>
      </c>
      <c r="N21" s="99">
        <v>557</v>
      </c>
      <c r="O21" s="99">
        <v>303</v>
      </c>
      <c r="P21" s="158">
        <v>303</v>
      </c>
      <c r="Q21" s="99">
        <v>36</v>
      </c>
      <c r="R21" s="99">
        <v>91</v>
      </c>
      <c r="S21" s="99">
        <v>76</v>
      </c>
      <c r="T21" s="99">
        <v>56</v>
      </c>
      <c r="U21" s="99">
        <v>15</v>
      </c>
      <c r="V21" s="99">
        <v>64</v>
      </c>
      <c r="W21" s="99">
        <v>53</v>
      </c>
      <c r="X21" s="99">
        <v>72</v>
      </c>
      <c r="Y21" s="99">
        <v>113</v>
      </c>
      <c r="Z21" s="99">
        <v>96</v>
      </c>
      <c r="AA21" s="99">
        <v>20</v>
      </c>
      <c r="AB21" s="99">
        <v>37</v>
      </c>
      <c r="AC21" s="99">
        <v>31</v>
      </c>
      <c r="AD21" s="98" t="s">
        <v>89</v>
      </c>
      <c r="AE21" s="100">
        <v>0.2274365987071109</v>
      </c>
      <c r="AF21" s="100">
        <v>0.06</v>
      </c>
      <c r="AG21" s="98">
        <v>578.070611636002</v>
      </c>
      <c r="AH21" s="98">
        <v>236.20089507707607</v>
      </c>
      <c r="AI21" s="100">
        <v>0.028300000000000002</v>
      </c>
      <c r="AJ21" s="100">
        <v>0.846489</v>
      </c>
      <c r="AK21" s="100">
        <v>0.850564</v>
      </c>
      <c r="AL21" s="100">
        <v>0.767158</v>
      </c>
      <c r="AM21" s="100">
        <v>0.665738</v>
      </c>
      <c r="AN21" s="100">
        <v>0.640967</v>
      </c>
      <c r="AO21" s="98">
        <v>1883.3913475882646</v>
      </c>
      <c r="AP21" s="157">
        <v>0.8181</v>
      </c>
      <c r="AQ21" s="100">
        <v>0.1188118811881188</v>
      </c>
      <c r="AR21" s="100">
        <v>0.3956043956043956</v>
      </c>
      <c r="AS21" s="98">
        <v>472.40179015415214</v>
      </c>
      <c r="AT21" s="98">
        <v>348.08552958727</v>
      </c>
      <c r="AU21" s="98">
        <v>93.23719542516162</v>
      </c>
      <c r="AV21" s="98">
        <v>397.81203381402287</v>
      </c>
      <c r="AW21" s="98">
        <v>329.4380905022377</v>
      </c>
      <c r="AX21" s="98">
        <v>447.53853804077573</v>
      </c>
      <c r="AY21" s="98">
        <v>702.3868722028841</v>
      </c>
      <c r="AZ21" s="98">
        <v>596.7180507210343</v>
      </c>
      <c r="BA21" s="100">
        <v>0.22727272727272727</v>
      </c>
      <c r="BB21" s="100">
        <v>0.42045454545454547</v>
      </c>
      <c r="BC21" s="100">
        <v>0.3522727272727273</v>
      </c>
      <c r="BD21" s="157">
        <v>0.7286</v>
      </c>
      <c r="BE21" s="157">
        <v>0.9156</v>
      </c>
      <c r="BF21" s="161">
        <v>2293</v>
      </c>
      <c r="BG21" s="161">
        <v>2215</v>
      </c>
      <c r="BH21" s="161">
        <v>3599</v>
      </c>
      <c r="BI21" s="161">
        <v>2154</v>
      </c>
      <c r="BJ21" s="161">
        <v>869</v>
      </c>
      <c r="BK21" s="97"/>
      <c r="BL21" s="97"/>
      <c r="BM21" s="97"/>
      <c r="BN21" s="97"/>
    </row>
    <row r="22" spans="1:66" ht="12.75">
      <c r="A22" s="79" t="s">
        <v>193</v>
      </c>
      <c r="B22" s="79" t="s">
        <v>71</v>
      </c>
      <c r="C22" s="79" t="s">
        <v>379</v>
      </c>
      <c r="D22" s="99">
        <v>3734</v>
      </c>
      <c r="E22" s="99">
        <v>969</v>
      </c>
      <c r="F22" s="99" t="s">
        <v>107</v>
      </c>
      <c r="G22" s="99">
        <v>28</v>
      </c>
      <c r="H22" s="99">
        <v>13</v>
      </c>
      <c r="I22" s="99">
        <v>93</v>
      </c>
      <c r="J22" s="99">
        <v>422</v>
      </c>
      <c r="K22" s="99" t="s">
        <v>787</v>
      </c>
      <c r="L22" s="99">
        <v>632</v>
      </c>
      <c r="M22" s="99">
        <v>334</v>
      </c>
      <c r="N22" s="99">
        <v>130</v>
      </c>
      <c r="O22" s="99">
        <v>59</v>
      </c>
      <c r="P22" s="158">
        <v>59</v>
      </c>
      <c r="Q22" s="99">
        <v>6</v>
      </c>
      <c r="R22" s="99">
        <v>18</v>
      </c>
      <c r="S22" s="99">
        <v>13</v>
      </c>
      <c r="T22" s="99">
        <v>12</v>
      </c>
      <c r="U22" s="99" t="s">
        <v>787</v>
      </c>
      <c r="V22" s="99" t="s">
        <v>787</v>
      </c>
      <c r="W22" s="99">
        <v>13</v>
      </c>
      <c r="X22" s="99">
        <v>19</v>
      </c>
      <c r="Y22" s="99">
        <v>51</v>
      </c>
      <c r="Z22" s="99">
        <v>33</v>
      </c>
      <c r="AA22" s="99">
        <v>8</v>
      </c>
      <c r="AB22" s="99">
        <v>6</v>
      </c>
      <c r="AC22" s="99">
        <v>9</v>
      </c>
      <c r="AD22" s="98" t="s">
        <v>89</v>
      </c>
      <c r="AE22" s="100">
        <v>0.25950723085163363</v>
      </c>
      <c r="AF22" s="100">
        <v>0.08</v>
      </c>
      <c r="AG22" s="98">
        <v>749.8660953401178</v>
      </c>
      <c r="AH22" s="98">
        <v>348.1521156936261</v>
      </c>
      <c r="AI22" s="100">
        <v>0.024900000000000002</v>
      </c>
      <c r="AJ22" s="100">
        <v>0.790262</v>
      </c>
      <c r="AK22" s="100" t="s">
        <v>787</v>
      </c>
      <c r="AL22" s="100">
        <v>0.767922</v>
      </c>
      <c r="AM22" s="100">
        <v>0.626642</v>
      </c>
      <c r="AN22" s="100">
        <v>0.59633</v>
      </c>
      <c r="AO22" s="98">
        <v>1580.074986609534</v>
      </c>
      <c r="AP22" s="157">
        <v>0.6395000000000001</v>
      </c>
      <c r="AQ22" s="100">
        <v>0.1016949152542373</v>
      </c>
      <c r="AR22" s="100">
        <v>0.3333333333333333</v>
      </c>
      <c r="AS22" s="98">
        <v>348.1521156936261</v>
      </c>
      <c r="AT22" s="98">
        <v>321.37118371719333</v>
      </c>
      <c r="AU22" s="98" t="s">
        <v>787</v>
      </c>
      <c r="AV22" s="98" t="s">
        <v>787</v>
      </c>
      <c r="AW22" s="98">
        <v>348.1521156936261</v>
      </c>
      <c r="AX22" s="98">
        <v>508.8377075522228</v>
      </c>
      <c r="AY22" s="98">
        <v>1365.8275307980718</v>
      </c>
      <c r="AZ22" s="98">
        <v>883.7707552222818</v>
      </c>
      <c r="BA22" s="100">
        <v>0.34782608695652173</v>
      </c>
      <c r="BB22" s="100">
        <v>0.2608695652173913</v>
      </c>
      <c r="BC22" s="100">
        <v>0.391304347826087</v>
      </c>
      <c r="BD22" s="157">
        <v>0.4868</v>
      </c>
      <c r="BE22" s="157">
        <v>0.8249</v>
      </c>
      <c r="BF22" s="161">
        <v>534</v>
      </c>
      <c r="BG22" s="161" t="s">
        <v>787</v>
      </c>
      <c r="BH22" s="161">
        <v>823</v>
      </c>
      <c r="BI22" s="161">
        <v>533</v>
      </c>
      <c r="BJ22" s="161">
        <v>218</v>
      </c>
      <c r="BK22" s="97"/>
      <c r="BL22" s="97"/>
      <c r="BM22" s="97"/>
      <c r="BN22" s="97"/>
    </row>
    <row r="23" spans="1:66" ht="12.75">
      <c r="A23" s="79" t="s">
        <v>206</v>
      </c>
      <c r="B23" s="79" t="s">
        <v>84</v>
      </c>
      <c r="C23" s="79" t="s">
        <v>379</v>
      </c>
      <c r="D23" s="99">
        <v>4334</v>
      </c>
      <c r="E23" s="99">
        <v>627</v>
      </c>
      <c r="F23" s="99" t="s">
        <v>109</v>
      </c>
      <c r="G23" s="99">
        <v>22</v>
      </c>
      <c r="H23" s="99">
        <v>9</v>
      </c>
      <c r="I23" s="99">
        <v>86</v>
      </c>
      <c r="J23" s="99">
        <v>415</v>
      </c>
      <c r="K23" s="99" t="s">
        <v>787</v>
      </c>
      <c r="L23" s="99">
        <v>820</v>
      </c>
      <c r="M23" s="99">
        <v>251</v>
      </c>
      <c r="N23" s="99">
        <v>91</v>
      </c>
      <c r="O23" s="99">
        <v>79</v>
      </c>
      <c r="P23" s="158">
        <v>79</v>
      </c>
      <c r="Q23" s="99">
        <v>7</v>
      </c>
      <c r="R23" s="99">
        <v>14</v>
      </c>
      <c r="S23" s="99">
        <v>15</v>
      </c>
      <c r="T23" s="99">
        <v>10</v>
      </c>
      <c r="U23" s="99" t="s">
        <v>787</v>
      </c>
      <c r="V23" s="99">
        <v>8</v>
      </c>
      <c r="W23" s="99">
        <v>15</v>
      </c>
      <c r="X23" s="99">
        <v>30</v>
      </c>
      <c r="Y23" s="99">
        <v>48</v>
      </c>
      <c r="Z23" s="99">
        <v>27</v>
      </c>
      <c r="AA23" s="99">
        <v>6</v>
      </c>
      <c r="AB23" s="99">
        <v>15</v>
      </c>
      <c r="AC23" s="99">
        <v>8</v>
      </c>
      <c r="AD23" s="98" t="s">
        <v>89</v>
      </c>
      <c r="AE23" s="100">
        <v>0.1446700507614213</v>
      </c>
      <c r="AF23" s="100">
        <v>0.07</v>
      </c>
      <c r="AG23" s="98">
        <v>507.61421319796955</v>
      </c>
      <c r="AH23" s="98">
        <v>207.6603599446239</v>
      </c>
      <c r="AI23" s="100">
        <v>0.019799999999999998</v>
      </c>
      <c r="AJ23" s="100">
        <v>0.731922</v>
      </c>
      <c r="AK23" s="100" t="s">
        <v>787</v>
      </c>
      <c r="AL23" s="100">
        <v>0.730187</v>
      </c>
      <c r="AM23" s="100">
        <v>0.567873</v>
      </c>
      <c r="AN23" s="100">
        <v>0.505556</v>
      </c>
      <c r="AO23" s="98">
        <v>1822.7964928472543</v>
      </c>
      <c r="AP23" s="157">
        <v>0.925</v>
      </c>
      <c r="AQ23" s="100">
        <v>0.08860759493670886</v>
      </c>
      <c r="AR23" s="100">
        <v>0.5</v>
      </c>
      <c r="AS23" s="98">
        <v>346.1005999077065</v>
      </c>
      <c r="AT23" s="98">
        <v>230.73373327180434</v>
      </c>
      <c r="AU23" s="98" t="s">
        <v>787</v>
      </c>
      <c r="AV23" s="98">
        <v>184.58698661744347</v>
      </c>
      <c r="AW23" s="98">
        <v>346.1005999077065</v>
      </c>
      <c r="AX23" s="98">
        <v>692.201199815413</v>
      </c>
      <c r="AY23" s="98">
        <v>1107.5219197046608</v>
      </c>
      <c r="AZ23" s="98">
        <v>622.9810798338717</v>
      </c>
      <c r="BA23" s="101">
        <v>0.20689655172413793</v>
      </c>
      <c r="BB23" s="101">
        <v>0.5172413793103449</v>
      </c>
      <c r="BC23" s="101">
        <v>0.27586206896551724</v>
      </c>
      <c r="BD23" s="157">
        <v>0.7323000000000001</v>
      </c>
      <c r="BE23" s="157">
        <v>1.1528</v>
      </c>
      <c r="BF23" s="161">
        <v>567</v>
      </c>
      <c r="BG23" s="161" t="s">
        <v>787</v>
      </c>
      <c r="BH23" s="161">
        <v>1123</v>
      </c>
      <c r="BI23" s="161">
        <v>442</v>
      </c>
      <c r="BJ23" s="161">
        <v>180</v>
      </c>
      <c r="BK23" s="97"/>
      <c r="BL23" s="97"/>
      <c r="BM23" s="97"/>
      <c r="BN23" s="97"/>
    </row>
    <row r="24" spans="1:66" ht="12.75">
      <c r="A24" s="79" t="s">
        <v>202</v>
      </c>
      <c r="B24" s="79" t="s">
        <v>80</v>
      </c>
      <c r="C24" s="79" t="s">
        <v>379</v>
      </c>
      <c r="D24" s="99">
        <v>9103</v>
      </c>
      <c r="E24" s="99">
        <v>1584</v>
      </c>
      <c r="F24" s="99" t="s">
        <v>108</v>
      </c>
      <c r="G24" s="99">
        <v>33</v>
      </c>
      <c r="H24" s="99">
        <v>30</v>
      </c>
      <c r="I24" s="99">
        <v>177</v>
      </c>
      <c r="J24" s="99">
        <v>774</v>
      </c>
      <c r="K24" s="99">
        <v>11</v>
      </c>
      <c r="L24" s="99">
        <v>1722</v>
      </c>
      <c r="M24" s="99">
        <v>529</v>
      </c>
      <c r="N24" s="99">
        <v>220</v>
      </c>
      <c r="O24" s="99">
        <v>193</v>
      </c>
      <c r="P24" s="158">
        <v>193</v>
      </c>
      <c r="Q24" s="99">
        <v>17</v>
      </c>
      <c r="R24" s="99">
        <v>36</v>
      </c>
      <c r="S24" s="99">
        <v>42</v>
      </c>
      <c r="T24" s="99">
        <v>32</v>
      </c>
      <c r="U24" s="99" t="s">
        <v>787</v>
      </c>
      <c r="V24" s="99">
        <v>13</v>
      </c>
      <c r="W24" s="99">
        <v>24</v>
      </c>
      <c r="X24" s="99">
        <v>53</v>
      </c>
      <c r="Y24" s="99">
        <v>108</v>
      </c>
      <c r="Z24" s="99">
        <v>57</v>
      </c>
      <c r="AA24" s="99">
        <v>15</v>
      </c>
      <c r="AB24" s="99">
        <v>23</v>
      </c>
      <c r="AC24" s="99">
        <v>14</v>
      </c>
      <c r="AD24" s="98" t="s">
        <v>89</v>
      </c>
      <c r="AE24" s="100">
        <v>0.174008568603757</v>
      </c>
      <c r="AF24" s="100">
        <v>0.12</v>
      </c>
      <c r="AG24" s="98">
        <v>362.5178512578271</v>
      </c>
      <c r="AH24" s="98">
        <v>329.561682961661</v>
      </c>
      <c r="AI24" s="100">
        <v>0.0194</v>
      </c>
      <c r="AJ24" s="100">
        <v>0.74209</v>
      </c>
      <c r="AK24" s="100">
        <v>0.6875</v>
      </c>
      <c r="AL24" s="100">
        <v>0.781307</v>
      </c>
      <c r="AM24" s="100">
        <v>0.589087</v>
      </c>
      <c r="AN24" s="100">
        <v>0.592992</v>
      </c>
      <c r="AO24" s="98">
        <v>2120.1801603866857</v>
      </c>
      <c r="AP24" s="157">
        <v>1.043</v>
      </c>
      <c r="AQ24" s="100">
        <v>0.08808290155440414</v>
      </c>
      <c r="AR24" s="100">
        <v>0.4722222222222222</v>
      </c>
      <c r="AS24" s="98">
        <v>461.3863561463254</v>
      </c>
      <c r="AT24" s="98">
        <v>351.53246182577175</v>
      </c>
      <c r="AU24" s="98" t="s">
        <v>787</v>
      </c>
      <c r="AV24" s="98">
        <v>142.81006261671976</v>
      </c>
      <c r="AW24" s="98">
        <v>263.6493463693288</v>
      </c>
      <c r="AX24" s="98">
        <v>582.2256398989344</v>
      </c>
      <c r="AY24" s="98">
        <v>1186.4220586619795</v>
      </c>
      <c r="AZ24" s="98">
        <v>626.1671976271559</v>
      </c>
      <c r="BA24" s="100">
        <v>0.28846153846153844</v>
      </c>
      <c r="BB24" s="100">
        <v>0.4423076923076923</v>
      </c>
      <c r="BC24" s="100">
        <v>0.2692307692307692</v>
      </c>
      <c r="BD24" s="157">
        <v>0.9009999999999999</v>
      </c>
      <c r="BE24" s="157">
        <v>1.2009</v>
      </c>
      <c r="BF24" s="161">
        <v>1043</v>
      </c>
      <c r="BG24" s="161">
        <v>16</v>
      </c>
      <c r="BH24" s="161">
        <v>2204</v>
      </c>
      <c r="BI24" s="161">
        <v>898</v>
      </c>
      <c r="BJ24" s="161">
        <v>371</v>
      </c>
      <c r="BK24" s="97"/>
      <c r="BL24" s="97"/>
      <c r="BM24" s="97"/>
      <c r="BN24" s="97"/>
    </row>
    <row r="25" spans="1:66" ht="12.75">
      <c r="A25" s="79" t="s">
        <v>209</v>
      </c>
      <c r="B25" s="79" t="s">
        <v>88</v>
      </c>
      <c r="C25" s="79" t="s">
        <v>379</v>
      </c>
      <c r="D25" s="99">
        <v>1914</v>
      </c>
      <c r="E25" s="99">
        <v>396</v>
      </c>
      <c r="F25" s="99" t="s">
        <v>107</v>
      </c>
      <c r="G25" s="99">
        <v>11</v>
      </c>
      <c r="H25" s="99">
        <v>11</v>
      </c>
      <c r="I25" s="99">
        <v>27</v>
      </c>
      <c r="J25" s="99">
        <v>197</v>
      </c>
      <c r="K25" s="99" t="s">
        <v>787</v>
      </c>
      <c r="L25" s="99">
        <v>359</v>
      </c>
      <c r="M25" s="99">
        <v>139</v>
      </c>
      <c r="N25" s="99">
        <v>66</v>
      </c>
      <c r="O25" s="99">
        <v>27</v>
      </c>
      <c r="P25" s="158">
        <v>27</v>
      </c>
      <c r="Q25" s="99" t="s">
        <v>787</v>
      </c>
      <c r="R25" s="99">
        <v>12</v>
      </c>
      <c r="S25" s="99" t="s">
        <v>787</v>
      </c>
      <c r="T25" s="99" t="s">
        <v>787</v>
      </c>
      <c r="U25" s="99" t="s">
        <v>787</v>
      </c>
      <c r="V25" s="99" t="s">
        <v>787</v>
      </c>
      <c r="W25" s="99">
        <v>9</v>
      </c>
      <c r="X25" s="99" t="s">
        <v>787</v>
      </c>
      <c r="Y25" s="99">
        <v>14</v>
      </c>
      <c r="Z25" s="99">
        <v>15</v>
      </c>
      <c r="AA25" s="99" t="s">
        <v>787</v>
      </c>
      <c r="AB25" s="99" t="s">
        <v>787</v>
      </c>
      <c r="AC25" s="99" t="s">
        <v>787</v>
      </c>
      <c r="AD25" s="98" t="s">
        <v>89</v>
      </c>
      <c r="AE25" s="100">
        <v>0.20689655172413793</v>
      </c>
      <c r="AF25" s="100">
        <v>0.11</v>
      </c>
      <c r="AG25" s="98">
        <v>574.7126436781609</v>
      </c>
      <c r="AH25" s="98">
        <v>574.7126436781609</v>
      </c>
      <c r="AI25" s="100">
        <v>0.0141</v>
      </c>
      <c r="AJ25" s="100">
        <v>0.772549</v>
      </c>
      <c r="AK25" s="100" t="s">
        <v>787</v>
      </c>
      <c r="AL25" s="100">
        <v>0.823394</v>
      </c>
      <c r="AM25" s="100">
        <v>0.542969</v>
      </c>
      <c r="AN25" s="100">
        <v>0.564103</v>
      </c>
      <c r="AO25" s="98">
        <v>1410.6583072100314</v>
      </c>
      <c r="AP25" s="157">
        <v>0.6227</v>
      </c>
      <c r="AQ25" s="100" t="s">
        <v>787</v>
      </c>
      <c r="AR25" s="100" t="s">
        <v>787</v>
      </c>
      <c r="AS25" s="98" t="s">
        <v>787</v>
      </c>
      <c r="AT25" s="98" t="s">
        <v>787</v>
      </c>
      <c r="AU25" s="98" t="s">
        <v>787</v>
      </c>
      <c r="AV25" s="98" t="s">
        <v>787</v>
      </c>
      <c r="AW25" s="98">
        <v>470.2194357366771</v>
      </c>
      <c r="AX25" s="98" t="s">
        <v>787</v>
      </c>
      <c r="AY25" s="98">
        <v>731.4524555903866</v>
      </c>
      <c r="AZ25" s="98">
        <v>783.6990595611285</v>
      </c>
      <c r="BA25" s="100" t="s">
        <v>787</v>
      </c>
      <c r="BB25" s="100" t="s">
        <v>787</v>
      </c>
      <c r="BC25" s="100" t="s">
        <v>787</v>
      </c>
      <c r="BD25" s="157">
        <v>0.4104</v>
      </c>
      <c r="BE25" s="157">
        <v>0.9059999999999999</v>
      </c>
      <c r="BF25" s="161">
        <v>255</v>
      </c>
      <c r="BG25" s="161" t="s">
        <v>787</v>
      </c>
      <c r="BH25" s="161">
        <v>436</v>
      </c>
      <c r="BI25" s="161">
        <v>256</v>
      </c>
      <c r="BJ25" s="161">
        <v>117</v>
      </c>
      <c r="BK25" s="97"/>
      <c r="BL25" s="97"/>
      <c r="BM25" s="97"/>
      <c r="BN25" s="97"/>
    </row>
    <row r="26" spans="1:66" ht="12.75">
      <c r="A26" s="79" t="s">
        <v>201</v>
      </c>
      <c r="B26" s="79" t="s">
        <v>79</v>
      </c>
      <c r="C26" s="79" t="s">
        <v>379</v>
      </c>
      <c r="D26" s="99">
        <v>11038</v>
      </c>
      <c r="E26" s="99">
        <v>2004</v>
      </c>
      <c r="F26" s="99" t="s">
        <v>109</v>
      </c>
      <c r="G26" s="99">
        <v>72</v>
      </c>
      <c r="H26" s="99">
        <v>32</v>
      </c>
      <c r="I26" s="99">
        <v>158</v>
      </c>
      <c r="J26" s="99">
        <v>1247</v>
      </c>
      <c r="K26" s="99" t="s">
        <v>787</v>
      </c>
      <c r="L26" s="99">
        <v>2273</v>
      </c>
      <c r="M26" s="99">
        <v>896</v>
      </c>
      <c r="N26" s="99">
        <v>355</v>
      </c>
      <c r="O26" s="99">
        <v>298</v>
      </c>
      <c r="P26" s="158">
        <v>298</v>
      </c>
      <c r="Q26" s="99">
        <v>29</v>
      </c>
      <c r="R26" s="99">
        <v>44</v>
      </c>
      <c r="S26" s="99">
        <v>76</v>
      </c>
      <c r="T26" s="99">
        <v>38</v>
      </c>
      <c r="U26" s="99">
        <v>8</v>
      </c>
      <c r="V26" s="99">
        <v>60</v>
      </c>
      <c r="W26" s="99">
        <v>37</v>
      </c>
      <c r="X26" s="99">
        <v>84</v>
      </c>
      <c r="Y26" s="99">
        <v>94</v>
      </c>
      <c r="Z26" s="99">
        <v>64</v>
      </c>
      <c r="AA26" s="99">
        <v>19</v>
      </c>
      <c r="AB26" s="99">
        <v>24</v>
      </c>
      <c r="AC26" s="99">
        <v>14</v>
      </c>
      <c r="AD26" s="98" t="s">
        <v>89</v>
      </c>
      <c r="AE26" s="100">
        <v>0.18155462946185905</v>
      </c>
      <c r="AF26" s="100">
        <v>0.08</v>
      </c>
      <c r="AG26" s="98">
        <v>652.2920818988947</v>
      </c>
      <c r="AH26" s="98">
        <v>289.90759195506433</v>
      </c>
      <c r="AI26" s="100">
        <v>0.0143</v>
      </c>
      <c r="AJ26" s="100">
        <v>0.807642</v>
      </c>
      <c r="AK26" s="100" t="s">
        <v>787</v>
      </c>
      <c r="AL26" s="100">
        <v>0.813238</v>
      </c>
      <c r="AM26" s="100">
        <v>0.642294</v>
      </c>
      <c r="AN26" s="100">
        <v>0.627208</v>
      </c>
      <c r="AO26" s="98">
        <v>2699.7644500815363</v>
      </c>
      <c r="AP26" s="157">
        <v>1.2583</v>
      </c>
      <c r="AQ26" s="100">
        <v>0.09731543624161074</v>
      </c>
      <c r="AR26" s="100">
        <v>0.6590909090909091</v>
      </c>
      <c r="AS26" s="98">
        <v>688.5305308932777</v>
      </c>
      <c r="AT26" s="98">
        <v>344.26526544663886</v>
      </c>
      <c r="AU26" s="98">
        <v>72.47689798876608</v>
      </c>
      <c r="AV26" s="98">
        <v>543.5767349157456</v>
      </c>
      <c r="AW26" s="98">
        <v>335.20565319804314</v>
      </c>
      <c r="AX26" s="98">
        <v>761.0074288820439</v>
      </c>
      <c r="AY26" s="98">
        <v>851.6035513680015</v>
      </c>
      <c r="AZ26" s="98">
        <v>579.8151839101287</v>
      </c>
      <c r="BA26" s="100">
        <v>0.3333333333333333</v>
      </c>
      <c r="BB26" s="100">
        <v>0.42105263157894735</v>
      </c>
      <c r="BC26" s="100">
        <v>0.24561403508771928</v>
      </c>
      <c r="BD26" s="157">
        <v>1.1195</v>
      </c>
      <c r="BE26" s="157">
        <v>1.4096000000000002</v>
      </c>
      <c r="BF26" s="161">
        <v>1544</v>
      </c>
      <c r="BG26" s="161" t="s">
        <v>787</v>
      </c>
      <c r="BH26" s="161">
        <v>2795</v>
      </c>
      <c r="BI26" s="161">
        <v>1395</v>
      </c>
      <c r="BJ26" s="161">
        <v>566</v>
      </c>
      <c r="BK26" s="97"/>
      <c r="BL26" s="97"/>
      <c r="BM26" s="97"/>
      <c r="BN26" s="97"/>
    </row>
    <row r="27" spans="1:66" ht="12.75">
      <c r="A27" s="79" t="s">
        <v>187</v>
      </c>
      <c r="B27" s="79" t="s">
        <v>64</v>
      </c>
      <c r="C27" s="79" t="s">
        <v>379</v>
      </c>
      <c r="D27" s="99">
        <v>6933</v>
      </c>
      <c r="E27" s="99">
        <v>1675</v>
      </c>
      <c r="F27" s="99" t="s">
        <v>109</v>
      </c>
      <c r="G27" s="99">
        <v>37</v>
      </c>
      <c r="H27" s="99">
        <v>17</v>
      </c>
      <c r="I27" s="99">
        <v>165</v>
      </c>
      <c r="J27" s="99">
        <v>808</v>
      </c>
      <c r="K27" s="99">
        <v>9</v>
      </c>
      <c r="L27" s="99">
        <v>1343</v>
      </c>
      <c r="M27" s="99">
        <v>709</v>
      </c>
      <c r="N27" s="99">
        <v>263</v>
      </c>
      <c r="O27" s="99">
        <v>92</v>
      </c>
      <c r="P27" s="158">
        <v>92</v>
      </c>
      <c r="Q27" s="99">
        <v>11</v>
      </c>
      <c r="R27" s="99">
        <v>24</v>
      </c>
      <c r="S27" s="99">
        <v>20</v>
      </c>
      <c r="T27" s="99">
        <v>13</v>
      </c>
      <c r="U27" s="99" t="s">
        <v>787</v>
      </c>
      <c r="V27" s="99">
        <v>27</v>
      </c>
      <c r="W27" s="99">
        <v>38</v>
      </c>
      <c r="X27" s="99">
        <v>36</v>
      </c>
      <c r="Y27" s="99">
        <v>44</v>
      </c>
      <c r="Z27" s="99">
        <v>39</v>
      </c>
      <c r="AA27" s="99">
        <v>9</v>
      </c>
      <c r="AB27" s="99">
        <v>14</v>
      </c>
      <c r="AC27" s="99">
        <v>12</v>
      </c>
      <c r="AD27" s="98" t="s">
        <v>89</v>
      </c>
      <c r="AE27" s="100">
        <v>0.2415981537573922</v>
      </c>
      <c r="AF27" s="100">
        <v>0.05</v>
      </c>
      <c r="AG27" s="98">
        <v>533.6795038222991</v>
      </c>
      <c r="AH27" s="98">
        <v>245.2040963507861</v>
      </c>
      <c r="AI27" s="100">
        <v>0.023799999999999998</v>
      </c>
      <c r="AJ27" s="100">
        <v>0.772467</v>
      </c>
      <c r="AK27" s="100">
        <v>0.642857</v>
      </c>
      <c r="AL27" s="100">
        <v>0.815422</v>
      </c>
      <c r="AM27" s="100">
        <v>0.667608</v>
      </c>
      <c r="AN27" s="100">
        <v>0.623223</v>
      </c>
      <c r="AO27" s="98">
        <v>1326.9868743689601</v>
      </c>
      <c r="AP27" s="157">
        <v>0.5418999999999999</v>
      </c>
      <c r="AQ27" s="100">
        <v>0.11956521739130435</v>
      </c>
      <c r="AR27" s="100">
        <v>0.4583333333333333</v>
      </c>
      <c r="AS27" s="98">
        <v>288.47540747151305</v>
      </c>
      <c r="AT27" s="98">
        <v>187.50901485648347</v>
      </c>
      <c r="AU27" s="98" t="s">
        <v>787</v>
      </c>
      <c r="AV27" s="98">
        <v>389.4418000865426</v>
      </c>
      <c r="AW27" s="98">
        <v>548.1032741958747</v>
      </c>
      <c r="AX27" s="98">
        <v>519.2557334487235</v>
      </c>
      <c r="AY27" s="98">
        <v>634.6458964373287</v>
      </c>
      <c r="AZ27" s="98">
        <v>562.5270445694505</v>
      </c>
      <c r="BA27" s="100">
        <v>0.2571428571428571</v>
      </c>
      <c r="BB27" s="100">
        <v>0.4</v>
      </c>
      <c r="BC27" s="100">
        <v>0.34285714285714286</v>
      </c>
      <c r="BD27" s="157">
        <v>0.4368</v>
      </c>
      <c r="BE27" s="157">
        <v>0.6646</v>
      </c>
      <c r="BF27" s="161">
        <v>1046</v>
      </c>
      <c r="BG27" s="161">
        <v>14</v>
      </c>
      <c r="BH27" s="161">
        <v>1647</v>
      </c>
      <c r="BI27" s="161">
        <v>1062</v>
      </c>
      <c r="BJ27" s="161">
        <v>422</v>
      </c>
      <c r="BK27" s="97"/>
      <c r="BL27" s="97"/>
      <c r="BM27" s="97"/>
      <c r="BN27" s="97"/>
    </row>
    <row r="28" spans="1:66" ht="12.75">
      <c r="A28" s="79" t="s">
        <v>186</v>
      </c>
      <c r="B28" s="79" t="s">
        <v>63</v>
      </c>
      <c r="C28" s="79" t="s">
        <v>379</v>
      </c>
      <c r="D28" s="99">
        <v>8497</v>
      </c>
      <c r="E28" s="99">
        <v>1776</v>
      </c>
      <c r="F28" s="99" t="s">
        <v>109</v>
      </c>
      <c r="G28" s="99">
        <v>44</v>
      </c>
      <c r="H28" s="99">
        <v>22</v>
      </c>
      <c r="I28" s="99">
        <v>168</v>
      </c>
      <c r="J28" s="99">
        <v>807</v>
      </c>
      <c r="K28" s="99">
        <v>6</v>
      </c>
      <c r="L28" s="99">
        <v>1571</v>
      </c>
      <c r="M28" s="99">
        <v>535</v>
      </c>
      <c r="N28" s="99">
        <v>193</v>
      </c>
      <c r="O28" s="99">
        <v>258</v>
      </c>
      <c r="P28" s="158">
        <v>258</v>
      </c>
      <c r="Q28" s="99">
        <v>17</v>
      </c>
      <c r="R28" s="99">
        <v>26</v>
      </c>
      <c r="S28" s="99">
        <v>61</v>
      </c>
      <c r="T28" s="99">
        <v>34</v>
      </c>
      <c r="U28" s="99" t="s">
        <v>787</v>
      </c>
      <c r="V28" s="99">
        <v>56</v>
      </c>
      <c r="W28" s="99">
        <v>30</v>
      </c>
      <c r="X28" s="99">
        <v>57</v>
      </c>
      <c r="Y28" s="99">
        <v>89</v>
      </c>
      <c r="Z28" s="99">
        <v>40</v>
      </c>
      <c r="AA28" s="99">
        <v>14</v>
      </c>
      <c r="AB28" s="99">
        <v>17</v>
      </c>
      <c r="AC28" s="99">
        <v>19</v>
      </c>
      <c r="AD28" s="98" t="s">
        <v>89</v>
      </c>
      <c r="AE28" s="100">
        <v>0.20901494645168883</v>
      </c>
      <c r="AF28" s="100">
        <v>0.08</v>
      </c>
      <c r="AG28" s="98">
        <v>517.82982229022</v>
      </c>
      <c r="AH28" s="98">
        <v>258.91491114511</v>
      </c>
      <c r="AI28" s="100">
        <v>0.019799999999999998</v>
      </c>
      <c r="AJ28" s="100">
        <v>0.76204</v>
      </c>
      <c r="AK28" s="100">
        <v>0.75</v>
      </c>
      <c r="AL28" s="100">
        <v>0.774655</v>
      </c>
      <c r="AM28" s="100">
        <v>0.577131</v>
      </c>
      <c r="AN28" s="100">
        <v>0.521622</v>
      </c>
      <c r="AO28" s="98">
        <v>3036.3657761562904</v>
      </c>
      <c r="AP28" s="157">
        <v>1.3578999999999999</v>
      </c>
      <c r="AQ28" s="100">
        <v>0.06589147286821706</v>
      </c>
      <c r="AR28" s="100">
        <v>0.6538461538461539</v>
      </c>
      <c r="AS28" s="98">
        <v>717.9004354478051</v>
      </c>
      <c r="AT28" s="98">
        <v>400.14122631517006</v>
      </c>
      <c r="AU28" s="98" t="s">
        <v>787</v>
      </c>
      <c r="AV28" s="98">
        <v>659.0561374602801</v>
      </c>
      <c r="AW28" s="98">
        <v>353.06578792515006</v>
      </c>
      <c r="AX28" s="98">
        <v>670.8249970577851</v>
      </c>
      <c r="AY28" s="98">
        <v>1047.4285041779451</v>
      </c>
      <c r="AZ28" s="98">
        <v>470.7543839002001</v>
      </c>
      <c r="BA28" s="100">
        <v>0.28</v>
      </c>
      <c r="BB28" s="100">
        <v>0.34</v>
      </c>
      <c r="BC28" s="100">
        <v>0.38</v>
      </c>
      <c r="BD28" s="157">
        <v>1.1973</v>
      </c>
      <c r="BE28" s="157">
        <v>1.5341999999999998</v>
      </c>
      <c r="BF28" s="161">
        <v>1059</v>
      </c>
      <c r="BG28" s="161">
        <v>8</v>
      </c>
      <c r="BH28" s="161">
        <v>2028</v>
      </c>
      <c r="BI28" s="161">
        <v>927</v>
      </c>
      <c r="BJ28" s="161">
        <v>370</v>
      </c>
      <c r="BK28" s="97"/>
      <c r="BL28" s="97"/>
      <c r="BM28" s="97"/>
      <c r="BN28" s="97"/>
    </row>
    <row r="29" spans="1:66" ht="12.75">
      <c r="A29" s="79" t="s">
        <v>197</v>
      </c>
      <c r="B29" s="79" t="s">
        <v>75</v>
      </c>
      <c r="C29" s="79" t="s">
        <v>379</v>
      </c>
      <c r="D29" s="99">
        <v>8463</v>
      </c>
      <c r="E29" s="99">
        <v>1901</v>
      </c>
      <c r="F29" s="99" t="s">
        <v>109</v>
      </c>
      <c r="G29" s="99">
        <v>43</v>
      </c>
      <c r="H29" s="99">
        <v>22</v>
      </c>
      <c r="I29" s="99">
        <v>172</v>
      </c>
      <c r="J29" s="99">
        <v>902</v>
      </c>
      <c r="K29" s="99" t="s">
        <v>787</v>
      </c>
      <c r="L29" s="99">
        <v>1682</v>
      </c>
      <c r="M29" s="99">
        <v>671</v>
      </c>
      <c r="N29" s="99">
        <v>252</v>
      </c>
      <c r="O29" s="99">
        <v>238</v>
      </c>
      <c r="P29" s="158">
        <v>238</v>
      </c>
      <c r="Q29" s="99">
        <v>29</v>
      </c>
      <c r="R29" s="99">
        <v>47</v>
      </c>
      <c r="S29" s="99">
        <v>52</v>
      </c>
      <c r="T29" s="99">
        <v>24</v>
      </c>
      <c r="U29" s="99">
        <v>14</v>
      </c>
      <c r="V29" s="99">
        <v>48</v>
      </c>
      <c r="W29" s="99">
        <v>30</v>
      </c>
      <c r="X29" s="99">
        <v>43</v>
      </c>
      <c r="Y29" s="99">
        <v>73</v>
      </c>
      <c r="Z29" s="99">
        <v>75</v>
      </c>
      <c r="AA29" s="99">
        <v>9</v>
      </c>
      <c r="AB29" s="99">
        <v>25</v>
      </c>
      <c r="AC29" s="99">
        <v>15</v>
      </c>
      <c r="AD29" s="98" t="s">
        <v>89</v>
      </c>
      <c r="AE29" s="100">
        <v>0.22462483752806334</v>
      </c>
      <c r="AF29" s="100">
        <v>0.07</v>
      </c>
      <c r="AG29" s="98">
        <v>508.09405648115325</v>
      </c>
      <c r="AH29" s="98">
        <v>259.9550986647761</v>
      </c>
      <c r="AI29" s="100">
        <v>0.0203</v>
      </c>
      <c r="AJ29" s="100">
        <v>0.781629</v>
      </c>
      <c r="AK29" s="100" t="s">
        <v>787</v>
      </c>
      <c r="AL29" s="100">
        <v>0.829798</v>
      </c>
      <c r="AM29" s="100">
        <v>0.666998</v>
      </c>
      <c r="AN29" s="100">
        <v>0.657963</v>
      </c>
      <c r="AO29" s="98">
        <v>2812.241521918941</v>
      </c>
      <c r="AP29" s="157">
        <v>1.2013</v>
      </c>
      <c r="AQ29" s="100">
        <v>0.12184873949579832</v>
      </c>
      <c r="AR29" s="100">
        <v>0.6170212765957447</v>
      </c>
      <c r="AS29" s="98">
        <v>614.4393241167435</v>
      </c>
      <c r="AT29" s="98">
        <v>283.58738036157393</v>
      </c>
      <c r="AU29" s="98">
        <v>165.42597187758477</v>
      </c>
      <c r="AV29" s="98">
        <v>567.1747607231479</v>
      </c>
      <c r="AW29" s="98">
        <v>354.4842254519674</v>
      </c>
      <c r="AX29" s="98">
        <v>508.09405648115325</v>
      </c>
      <c r="AY29" s="98">
        <v>862.5782819331206</v>
      </c>
      <c r="AZ29" s="98">
        <v>886.2105636299185</v>
      </c>
      <c r="BA29" s="100">
        <v>0.1836734693877551</v>
      </c>
      <c r="BB29" s="100">
        <v>0.5102040816326531</v>
      </c>
      <c r="BC29" s="100">
        <v>0.30612244897959184</v>
      </c>
      <c r="BD29" s="157">
        <v>1.0534999999999999</v>
      </c>
      <c r="BE29" s="157">
        <v>1.364</v>
      </c>
      <c r="BF29" s="161">
        <v>1154</v>
      </c>
      <c r="BG29" s="161" t="s">
        <v>787</v>
      </c>
      <c r="BH29" s="161">
        <v>2027</v>
      </c>
      <c r="BI29" s="161">
        <v>1006</v>
      </c>
      <c r="BJ29" s="161">
        <v>383</v>
      </c>
      <c r="BK29" s="97"/>
      <c r="BL29" s="97"/>
      <c r="BM29" s="97"/>
      <c r="BN29" s="97"/>
    </row>
    <row r="30" spans="1:66" ht="12.75">
      <c r="A30" s="79" t="s">
        <v>205</v>
      </c>
      <c r="B30" s="79" t="s">
        <v>83</v>
      </c>
      <c r="C30" s="79" t="s">
        <v>379</v>
      </c>
      <c r="D30" s="99">
        <v>3859</v>
      </c>
      <c r="E30" s="99">
        <v>838</v>
      </c>
      <c r="F30" s="99" t="s">
        <v>109</v>
      </c>
      <c r="G30" s="99">
        <v>22</v>
      </c>
      <c r="H30" s="99">
        <v>12</v>
      </c>
      <c r="I30" s="99">
        <v>100</v>
      </c>
      <c r="J30" s="99">
        <v>468</v>
      </c>
      <c r="K30" s="99">
        <v>262</v>
      </c>
      <c r="L30" s="99">
        <v>698</v>
      </c>
      <c r="M30" s="99">
        <v>360</v>
      </c>
      <c r="N30" s="99">
        <v>139</v>
      </c>
      <c r="O30" s="99">
        <v>69</v>
      </c>
      <c r="P30" s="158">
        <v>69</v>
      </c>
      <c r="Q30" s="99">
        <v>8</v>
      </c>
      <c r="R30" s="99">
        <v>23</v>
      </c>
      <c r="S30" s="99">
        <v>14</v>
      </c>
      <c r="T30" s="99">
        <v>8</v>
      </c>
      <c r="U30" s="99" t="s">
        <v>787</v>
      </c>
      <c r="V30" s="99">
        <v>16</v>
      </c>
      <c r="W30" s="99">
        <v>19</v>
      </c>
      <c r="X30" s="99">
        <v>23</v>
      </c>
      <c r="Y30" s="99">
        <v>31</v>
      </c>
      <c r="Z30" s="99">
        <v>38</v>
      </c>
      <c r="AA30" s="99">
        <v>7</v>
      </c>
      <c r="AB30" s="99">
        <v>10</v>
      </c>
      <c r="AC30" s="99">
        <v>10</v>
      </c>
      <c r="AD30" s="98" t="s">
        <v>89</v>
      </c>
      <c r="AE30" s="100">
        <v>0.21715470329100803</v>
      </c>
      <c r="AF30" s="100">
        <v>0.06</v>
      </c>
      <c r="AG30" s="98">
        <v>570.0958797615963</v>
      </c>
      <c r="AH30" s="98">
        <v>310.9613889608707</v>
      </c>
      <c r="AI30" s="100">
        <v>0.0259</v>
      </c>
      <c r="AJ30" s="100">
        <v>0.802744</v>
      </c>
      <c r="AK30" s="100">
        <v>0.803681</v>
      </c>
      <c r="AL30" s="100">
        <v>0.767033</v>
      </c>
      <c r="AM30" s="100">
        <v>0.598007</v>
      </c>
      <c r="AN30" s="100">
        <v>0.569672</v>
      </c>
      <c r="AO30" s="98">
        <v>1788.0279865250066</v>
      </c>
      <c r="AP30" s="157">
        <v>0.7683</v>
      </c>
      <c r="AQ30" s="100">
        <v>0.11594202898550725</v>
      </c>
      <c r="AR30" s="100">
        <v>0.34782608695652173</v>
      </c>
      <c r="AS30" s="98">
        <v>362.7882871210158</v>
      </c>
      <c r="AT30" s="98">
        <v>207.30759264058045</v>
      </c>
      <c r="AU30" s="98" t="s">
        <v>787</v>
      </c>
      <c r="AV30" s="98">
        <v>414.6151852811609</v>
      </c>
      <c r="AW30" s="98">
        <v>492.3555325213786</v>
      </c>
      <c r="AX30" s="98">
        <v>596.0093288416688</v>
      </c>
      <c r="AY30" s="98">
        <v>803.3169214822493</v>
      </c>
      <c r="AZ30" s="98">
        <v>984.7110650427572</v>
      </c>
      <c r="BA30" s="100">
        <v>0.25925925925925924</v>
      </c>
      <c r="BB30" s="100">
        <v>0.37037037037037035</v>
      </c>
      <c r="BC30" s="100">
        <v>0.37037037037037035</v>
      </c>
      <c r="BD30" s="157">
        <v>0.5978</v>
      </c>
      <c r="BE30" s="157">
        <v>0.9723999999999999</v>
      </c>
      <c r="BF30" s="161">
        <v>583</v>
      </c>
      <c r="BG30" s="161">
        <v>326</v>
      </c>
      <c r="BH30" s="161">
        <v>910</v>
      </c>
      <c r="BI30" s="161">
        <v>602</v>
      </c>
      <c r="BJ30" s="161">
        <v>244</v>
      </c>
      <c r="BK30" s="97"/>
      <c r="BL30" s="97"/>
      <c r="BM30" s="97"/>
      <c r="BN30" s="97"/>
    </row>
    <row r="31" spans="1:66" ht="12.75">
      <c r="A31" s="79" t="s">
        <v>194</v>
      </c>
      <c r="B31" s="79" t="s">
        <v>72</v>
      </c>
      <c r="C31" s="79" t="s">
        <v>379</v>
      </c>
      <c r="D31" s="99">
        <v>14427</v>
      </c>
      <c r="E31" s="99">
        <v>2500</v>
      </c>
      <c r="F31" s="99" t="s">
        <v>109</v>
      </c>
      <c r="G31" s="99">
        <v>69</v>
      </c>
      <c r="H31" s="99">
        <v>31</v>
      </c>
      <c r="I31" s="99">
        <v>223</v>
      </c>
      <c r="J31" s="99">
        <v>1632</v>
      </c>
      <c r="K31" s="99">
        <v>1520</v>
      </c>
      <c r="L31" s="99">
        <v>2987</v>
      </c>
      <c r="M31" s="99">
        <v>1182</v>
      </c>
      <c r="N31" s="99">
        <v>458</v>
      </c>
      <c r="O31" s="99">
        <v>269</v>
      </c>
      <c r="P31" s="158">
        <v>269</v>
      </c>
      <c r="Q31" s="99">
        <v>30</v>
      </c>
      <c r="R31" s="99">
        <v>73</v>
      </c>
      <c r="S31" s="99">
        <v>50</v>
      </c>
      <c r="T31" s="99">
        <v>39</v>
      </c>
      <c r="U31" s="99">
        <v>12</v>
      </c>
      <c r="V31" s="99">
        <v>40</v>
      </c>
      <c r="W31" s="99">
        <v>60</v>
      </c>
      <c r="X31" s="99">
        <v>69</v>
      </c>
      <c r="Y31" s="99">
        <v>136</v>
      </c>
      <c r="Z31" s="99">
        <v>101</v>
      </c>
      <c r="AA31" s="99">
        <v>13</v>
      </c>
      <c r="AB31" s="99">
        <v>32</v>
      </c>
      <c r="AC31" s="99">
        <v>22</v>
      </c>
      <c r="AD31" s="98" t="s">
        <v>89</v>
      </c>
      <c r="AE31" s="100">
        <v>0.17328619948707286</v>
      </c>
      <c r="AF31" s="100">
        <v>0.06</v>
      </c>
      <c r="AG31" s="98">
        <v>478.26991058432105</v>
      </c>
      <c r="AH31" s="98">
        <v>214.87488736397034</v>
      </c>
      <c r="AI31" s="100">
        <v>0.0155</v>
      </c>
      <c r="AJ31" s="100">
        <v>0.810328</v>
      </c>
      <c r="AK31" s="100">
        <v>0.815013</v>
      </c>
      <c r="AL31" s="100">
        <v>0.813896</v>
      </c>
      <c r="AM31" s="100">
        <v>0.654123</v>
      </c>
      <c r="AN31" s="100">
        <v>0.629986</v>
      </c>
      <c r="AO31" s="98">
        <v>1864.5595064809038</v>
      </c>
      <c r="AP31" s="157">
        <v>0.882</v>
      </c>
      <c r="AQ31" s="100">
        <v>0.11152416356877323</v>
      </c>
      <c r="AR31" s="100">
        <v>0.410958904109589</v>
      </c>
      <c r="AS31" s="98">
        <v>346.5723989741457</v>
      </c>
      <c r="AT31" s="98">
        <v>270.32647119983363</v>
      </c>
      <c r="AU31" s="98">
        <v>83.17737575379496</v>
      </c>
      <c r="AV31" s="98">
        <v>277.25791917931656</v>
      </c>
      <c r="AW31" s="98">
        <v>415.88687876897484</v>
      </c>
      <c r="AX31" s="98">
        <v>478.26991058432105</v>
      </c>
      <c r="AY31" s="98">
        <v>942.6769252096763</v>
      </c>
      <c r="AZ31" s="98">
        <v>700.0762459277743</v>
      </c>
      <c r="BA31" s="100">
        <v>0.19402985074626866</v>
      </c>
      <c r="BB31" s="100">
        <v>0.47761194029850745</v>
      </c>
      <c r="BC31" s="100">
        <v>0.3283582089552239</v>
      </c>
      <c r="BD31" s="157">
        <v>0.7797</v>
      </c>
      <c r="BE31" s="157">
        <v>0.9939</v>
      </c>
      <c r="BF31" s="161">
        <v>2014</v>
      </c>
      <c r="BG31" s="161">
        <v>1865</v>
      </c>
      <c r="BH31" s="161">
        <v>3670</v>
      </c>
      <c r="BI31" s="161">
        <v>1807</v>
      </c>
      <c r="BJ31" s="161">
        <v>727</v>
      </c>
      <c r="BK31" s="97"/>
      <c r="BL31" s="97"/>
      <c r="BM31" s="97"/>
      <c r="BN31" s="97"/>
    </row>
    <row r="32" spans="1:66" ht="12.75">
      <c r="A32" s="79" t="s">
        <v>385</v>
      </c>
      <c r="B32" s="79" t="s">
        <v>181</v>
      </c>
      <c r="C32" s="79" t="s">
        <v>379</v>
      </c>
      <c r="D32" s="99">
        <v>2942</v>
      </c>
      <c r="E32" s="99">
        <v>674</v>
      </c>
      <c r="F32" s="99" t="s">
        <v>109</v>
      </c>
      <c r="G32" s="99">
        <v>15</v>
      </c>
      <c r="H32" s="99" t="s">
        <v>787</v>
      </c>
      <c r="I32" s="99">
        <v>72</v>
      </c>
      <c r="J32" s="99">
        <v>393</v>
      </c>
      <c r="K32" s="99">
        <v>366</v>
      </c>
      <c r="L32" s="99">
        <v>616</v>
      </c>
      <c r="M32" s="99">
        <v>314</v>
      </c>
      <c r="N32" s="99">
        <v>134</v>
      </c>
      <c r="O32" s="99">
        <v>48</v>
      </c>
      <c r="P32" s="158">
        <v>48</v>
      </c>
      <c r="Q32" s="99" t="s">
        <v>787</v>
      </c>
      <c r="R32" s="99">
        <v>13</v>
      </c>
      <c r="S32" s="99">
        <v>8</v>
      </c>
      <c r="T32" s="99">
        <v>8</v>
      </c>
      <c r="U32" s="99" t="s">
        <v>787</v>
      </c>
      <c r="V32" s="99">
        <v>7</v>
      </c>
      <c r="W32" s="99">
        <v>13</v>
      </c>
      <c r="X32" s="99">
        <v>16</v>
      </c>
      <c r="Y32" s="99">
        <v>18</v>
      </c>
      <c r="Z32" s="99">
        <v>25</v>
      </c>
      <c r="AA32" s="99" t="s">
        <v>787</v>
      </c>
      <c r="AB32" s="99" t="s">
        <v>787</v>
      </c>
      <c r="AC32" s="99" t="s">
        <v>787</v>
      </c>
      <c r="AD32" s="98" t="s">
        <v>89</v>
      </c>
      <c r="AE32" s="100">
        <v>0.2290958531611149</v>
      </c>
      <c r="AF32" s="100">
        <v>0.05</v>
      </c>
      <c r="AG32" s="98">
        <v>509.85723997280763</v>
      </c>
      <c r="AH32" s="98" t="s">
        <v>787</v>
      </c>
      <c r="AI32" s="100">
        <v>0.0245</v>
      </c>
      <c r="AJ32" s="100">
        <v>0.813665</v>
      </c>
      <c r="AK32" s="100">
        <v>0.828054</v>
      </c>
      <c r="AL32" s="100">
        <v>0.811594</v>
      </c>
      <c r="AM32" s="100">
        <v>0.608527</v>
      </c>
      <c r="AN32" s="100">
        <v>0.614679</v>
      </c>
      <c r="AO32" s="98">
        <v>1631.5431679129845</v>
      </c>
      <c r="AP32" s="157">
        <v>0.6574</v>
      </c>
      <c r="AQ32" s="100" t="s">
        <v>787</v>
      </c>
      <c r="AR32" s="100" t="s">
        <v>787</v>
      </c>
      <c r="AS32" s="98">
        <v>271.92386131883075</v>
      </c>
      <c r="AT32" s="98">
        <v>271.92386131883075</v>
      </c>
      <c r="AU32" s="98" t="s">
        <v>787</v>
      </c>
      <c r="AV32" s="98">
        <v>237.9333786539769</v>
      </c>
      <c r="AW32" s="98">
        <v>441.8762746430999</v>
      </c>
      <c r="AX32" s="98">
        <v>543.8477226376615</v>
      </c>
      <c r="AY32" s="98">
        <v>611.8286879673691</v>
      </c>
      <c r="AZ32" s="98">
        <v>849.762066621346</v>
      </c>
      <c r="BA32" s="100" t="s">
        <v>787</v>
      </c>
      <c r="BB32" s="100" t="s">
        <v>787</v>
      </c>
      <c r="BC32" s="100" t="s">
        <v>787</v>
      </c>
      <c r="BD32" s="157">
        <v>0.48469999999999996</v>
      </c>
      <c r="BE32" s="157">
        <v>0.8715999999999999</v>
      </c>
      <c r="BF32" s="161">
        <v>483</v>
      </c>
      <c r="BG32" s="161">
        <v>442</v>
      </c>
      <c r="BH32" s="161">
        <v>759</v>
      </c>
      <c r="BI32" s="161">
        <v>516</v>
      </c>
      <c r="BJ32" s="161">
        <v>218</v>
      </c>
      <c r="BK32" s="97"/>
      <c r="BL32" s="97"/>
      <c r="BM32" s="97"/>
      <c r="BN32" s="97"/>
    </row>
    <row r="33" spans="1:66" ht="12.75">
      <c r="A33" s="79" t="s">
        <v>188</v>
      </c>
      <c r="B33" s="79" t="s">
        <v>66</v>
      </c>
      <c r="C33" s="79" t="s">
        <v>379</v>
      </c>
      <c r="D33" s="99">
        <v>13606</v>
      </c>
      <c r="E33" s="99">
        <v>2462</v>
      </c>
      <c r="F33" s="99" t="s">
        <v>109</v>
      </c>
      <c r="G33" s="99">
        <v>60</v>
      </c>
      <c r="H33" s="99">
        <v>32</v>
      </c>
      <c r="I33" s="99">
        <v>243</v>
      </c>
      <c r="J33" s="99">
        <v>1578</v>
      </c>
      <c r="K33" s="99">
        <v>1482</v>
      </c>
      <c r="L33" s="99">
        <v>2828</v>
      </c>
      <c r="M33" s="99">
        <v>1140</v>
      </c>
      <c r="N33" s="99">
        <v>467</v>
      </c>
      <c r="O33" s="99">
        <v>275</v>
      </c>
      <c r="P33" s="158">
        <v>275</v>
      </c>
      <c r="Q33" s="99">
        <v>23</v>
      </c>
      <c r="R33" s="99">
        <v>66</v>
      </c>
      <c r="S33" s="99">
        <v>74</v>
      </c>
      <c r="T33" s="99">
        <v>39</v>
      </c>
      <c r="U33" s="99">
        <v>9</v>
      </c>
      <c r="V33" s="99">
        <v>61</v>
      </c>
      <c r="W33" s="99">
        <v>48</v>
      </c>
      <c r="X33" s="99">
        <v>82</v>
      </c>
      <c r="Y33" s="99">
        <v>99</v>
      </c>
      <c r="Z33" s="99">
        <v>65</v>
      </c>
      <c r="AA33" s="99">
        <v>13</v>
      </c>
      <c r="AB33" s="99">
        <v>31</v>
      </c>
      <c r="AC33" s="99">
        <v>18</v>
      </c>
      <c r="AD33" s="98" t="s">
        <v>89</v>
      </c>
      <c r="AE33" s="100">
        <v>0.18094958106717624</v>
      </c>
      <c r="AF33" s="100">
        <v>0.07</v>
      </c>
      <c r="AG33" s="98">
        <v>440.9819197412906</v>
      </c>
      <c r="AH33" s="98">
        <v>235.19035719535498</v>
      </c>
      <c r="AI33" s="100">
        <v>0.0179</v>
      </c>
      <c r="AJ33" s="100">
        <v>0.824021</v>
      </c>
      <c r="AK33" s="100">
        <v>0.846374</v>
      </c>
      <c r="AL33" s="100">
        <v>0.818998</v>
      </c>
      <c r="AM33" s="100">
        <v>0.650314</v>
      </c>
      <c r="AN33" s="100">
        <v>0.637108</v>
      </c>
      <c r="AO33" s="98">
        <v>2021.167132147582</v>
      </c>
      <c r="AP33" s="157">
        <v>0.9389</v>
      </c>
      <c r="AQ33" s="100">
        <v>0.08363636363636363</v>
      </c>
      <c r="AR33" s="100">
        <v>0.3484848484848485</v>
      </c>
      <c r="AS33" s="98">
        <v>543.8777010142584</v>
      </c>
      <c r="AT33" s="98">
        <v>286.6382478318389</v>
      </c>
      <c r="AU33" s="98">
        <v>66.1472879611936</v>
      </c>
      <c r="AV33" s="98">
        <v>448.33161840364545</v>
      </c>
      <c r="AW33" s="98">
        <v>352.78553579303247</v>
      </c>
      <c r="AX33" s="98">
        <v>602.6752903130972</v>
      </c>
      <c r="AY33" s="98">
        <v>727.6201675731295</v>
      </c>
      <c r="AZ33" s="98">
        <v>477.7304130530648</v>
      </c>
      <c r="BA33" s="100">
        <v>0.20967741935483872</v>
      </c>
      <c r="BB33" s="100">
        <v>0.5</v>
      </c>
      <c r="BC33" s="100">
        <v>0.2903225806451613</v>
      </c>
      <c r="BD33" s="157">
        <v>0.8312</v>
      </c>
      <c r="BE33" s="157">
        <v>1.0567</v>
      </c>
      <c r="BF33" s="161">
        <v>1915</v>
      </c>
      <c r="BG33" s="161">
        <v>1751</v>
      </c>
      <c r="BH33" s="161">
        <v>3453</v>
      </c>
      <c r="BI33" s="161">
        <v>1753</v>
      </c>
      <c r="BJ33" s="161">
        <v>733</v>
      </c>
      <c r="BK33" s="97"/>
      <c r="BL33" s="97"/>
      <c r="BM33" s="97"/>
      <c r="BN33" s="97"/>
    </row>
    <row r="34" spans="1:66" ht="12.75">
      <c r="A34" s="79" t="s">
        <v>381</v>
      </c>
      <c r="B34" s="79" t="s">
        <v>62</v>
      </c>
      <c r="C34" s="79" t="s">
        <v>379</v>
      </c>
      <c r="D34" s="99">
        <v>6033</v>
      </c>
      <c r="E34" s="99">
        <v>1152</v>
      </c>
      <c r="F34" s="99" t="s">
        <v>109</v>
      </c>
      <c r="G34" s="99">
        <v>25</v>
      </c>
      <c r="H34" s="99">
        <v>16</v>
      </c>
      <c r="I34" s="99">
        <v>144</v>
      </c>
      <c r="J34" s="99">
        <v>723</v>
      </c>
      <c r="K34" s="99">
        <v>6</v>
      </c>
      <c r="L34" s="99">
        <v>1262</v>
      </c>
      <c r="M34" s="99">
        <v>493</v>
      </c>
      <c r="N34" s="99">
        <v>186</v>
      </c>
      <c r="O34" s="99">
        <v>99</v>
      </c>
      <c r="P34" s="158">
        <v>99</v>
      </c>
      <c r="Q34" s="99">
        <v>11</v>
      </c>
      <c r="R34" s="99">
        <v>27</v>
      </c>
      <c r="S34" s="99">
        <v>31</v>
      </c>
      <c r="T34" s="99" t="s">
        <v>787</v>
      </c>
      <c r="U34" s="99">
        <v>6</v>
      </c>
      <c r="V34" s="99">
        <v>16</v>
      </c>
      <c r="W34" s="99">
        <v>35</v>
      </c>
      <c r="X34" s="99">
        <v>19</v>
      </c>
      <c r="Y34" s="99">
        <v>46</v>
      </c>
      <c r="Z34" s="99">
        <v>38</v>
      </c>
      <c r="AA34" s="99">
        <v>6</v>
      </c>
      <c r="AB34" s="99">
        <v>13</v>
      </c>
      <c r="AC34" s="99">
        <v>23</v>
      </c>
      <c r="AD34" s="98" t="s">
        <v>89</v>
      </c>
      <c r="AE34" s="100">
        <v>0.19094977623073098</v>
      </c>
      <c r="AF34" s="100">
        <v>0.05</v>
      </c>
      <c r="AG34" s="98">
        <v>414.38753522294047</v>
      </c>
      <c r="AH34" s="98">
        <v>265.20802254268193</v>
      </c>
      <c r="AI34" s="100">
        <v>0.0239</v>
      </c>
      <c r="AJ34" s="100">
        <v>0.832949</v>
      </c>
      <c r="AK34" s="100">
        <v>0.5</v>
      </c>
      <c r="AL34" s="100">
        <v>0.817358</v>
      </c>
      <c r="AM34" s="100">
        <v>0.615481</v>
      </c>
      <c r="AN34" s="100">
        <v>0.57764</v>
      </c>
      <c r="AO34" s="98">
        <v>1640.9746394828444</v>
      </c>
      <c r="AP34" s="157">
        <v>0.7308</v>
      </c>
      <c r="AQ34" s="100">
        <v>0.1111111111111111</v>
      </c>
      <c r="AR34" s="100">
        <v>0.4074074074074074</v>
      </c>
      <c r="AS34" s="98">
        <v>513.8405436764463</v>
      </c>
      <c r="AT34" s="98" t="s">
        <v>787</v>
      </c>
      <c r="AU34" s="98">
        <v>99.45300845350572</v>
      </c>
      <c r="AV34" s="98">
        <v>265.20802254268193</v>
      </c>
      <c r="AW34" s="98">
        <v>580.1425493121167</v>
      </c>
      <c r="AX34" s="98">
        <v>314.9345267694348</v>
      </c>
      <c r="AY34" s="98">
        <v>762.4730648102105</v>
      </c>
      <c r="AZ34" s="98">
        <v>629.8690535388696</v>
      </c>
      <c r="BA34" s="100">
        <v>0.14285714285714285</v>
      </c>
      <c r="BB34" s="100">
        <v>0.30952380952380953</v>
      </c>
      <c r="BC34" s="100">
        <v>0.5476190476190477</v>
      </c>
      <c r="BD34" s="157">
        <v>0.594</v>
      </c>
      <c r="BE34" s="157">
        <v>0.8896999999999999</v>
      </c>
      <c r="BF34" s="161">
        <v>868</v>
      </c>
      <c r="BG34" s="161">
        <v>12</v>
      </c>
      <c r="BH34" s="161">
        <v>1544</v>
      </c>
      <c r="BI34" s="161">
        <v>801</v>
      </c>
      <c r="BJ34" s="161">
        <v>322</v>
      </c>
      <c r="BK34" s="97"/>
      <c r="BL34" s="97"/>
      <c r="BM34" s="97"/>
      <c r="BN34" s="97"/>
    </row>
    <row r="35" spans="1:66" ht="12.75">
      <c r="A35" s="79" t="s">
        <v>200</v>
      </c>
      <c r="B35" s="79" t="s">
        <v>78</v>
      </c>
      <c r="C35" s="79" t="s">
        <v>379</v>
      </c>
      <c r="D35" s="99">
        <v>10116</v>
      </c>
      <c r="E35" s="99">
        <v>2148</v>
      </c>
      <c r="F35" s="99" t="s">
        <v>109</v>
      </c>
      <c r="G35" s="99">
        <v>45</v>
      </c>
      <c r="H35" s="99">
        <v>23</v>
      </c>
      <c r="I35" s="99">
        <v>230</v>
      </c>
      <c r="J35" s="99">
        <v>1206</v>
      </c>
      <c r="K35" s="99">
        <v>1020</v>
      </c>
      <c r="L35" s="99">
        <v>1973</v>
      </c>
      <c r="M35" s="99">
        <v>878</v>
      </c>
      <c r="N35" s="99">
        <v>333</v>
      </c>
      <c r="O35" s="99">
        <v>225</v>
      </c>
      <c r="P35" s="158">
        <v>225</v>
      </c>
      <c r="Q35" s="99">
        <v>26</v>
      </c>
      <c r="R35" s="99">
        <v>54</v>
      </c>
      <c r="S35" s="99">
        <v>53</v>
      </c>
      <c r="T35" s="99">
        <v>49</v>
      </c>
      <c r="U35" s="99">
        <v>7</v>
      </c>
      <c r="V35" s="99">
        <v>26</v>
      </c>
      <c r="W35" s="99">
        <v>66</v>
      </c>
      <c r="X35" s="99">
        <v>62</v>
      </c>
      <c r="Y35" s="99">
        <v>123</v>
      </c>
      <c r="Z35" s="99">
        <v>55</v>
      </c>
      <c r="AA35" s="99">
        <v>9</v>
      </c>
      <c r="AB35" s="99">
        <v>21</v>
      </c>
      <c r="AC35" s="99">
        <v>12</v>
      </c>
      <c r="AD35" s="98" t="s">
        <v>89</v>
      </c>
      <c r="AE35" s="100">
        <v>0.21233689205219455</v>
      </c>
      <c r="AF35" s="100">
        <v>0.06</v>
      </c>
      <c r="AG35" s="98">
        <v>444.83985765124555</v>
      </c>
      <c r="AH35" s="98">
        <v>227.3625939106366</v>
      </c>
      <c r="AI35" s="100">
        <v>0.0227</v>
      </c>
      <c r="AJ35" s="100">
        <v>0.808853</v>
      </c>
      <c r="AK35" s="100">
        <v>0.830619</v>
      </c>
      <c r="AL35" s="100">
        <v>0.864592</v>
      </c>
      <c r="AM35" s="100">
        <v>0.627143</v>
      </c>
      <c r="AN35" s="100">
        <v>0.605455</v>
      </c>
      <c r="AO35" s="98">
        <v>2224.1992882562276</v>
      </c>
      <c r="AP35" s="157">
        <v>0.9864</v>
      </c>
      <c r="AQ35" s="100">
        <v>0.11555555555555555</v>
      </c>
      <c r="AR35" s="100">
        <v>0.48148148148148145</v>
      </c>
      <c r="AS35" s="98">
        <v>523.922499011467</v>
      </c>
      <c r="AT35" s="98">
        <v>484.3811783313563</v>
      </c>
      <c r="AU35" s="98">
        <v>69.19731119019376</v>
      </c>
      <c r="AV35" s="98">
        <v>257.01858442071966</v>
      </c>
      <c r="AW35" s="98">
        <v>652.4317912218268</v>
      </c>
      <c r="AX35" s="98">
        <v>612.8904705417161</v>
      </c>
      <c r="AY35" s="98">
        <v>1215.8956109134044</v>
      </c>
      <c r="AZ35" s="98">
        <v>543.6931593515224</v>
      </c>
      <c r="BA35" s="100">
        <v>0.21428571428571427</v>
      </c>
      <c r="BB35" s="100">
        <v>0.5</v>
      </c>
      <c r="BC35" s="100">
        <v>0.2857142857142857</v>
      </c>
      <c r="BD35" s="157">
        <v>0.8618000000000001</v>
      </c>
      <c r="BE35" s="157">
        <v>1.1240999999999999</v>
      </c>
      <c r="BF35" s="161">
        <v>1491</v>
      </c>
      <c r="BG35" s="161">
        <v>1228</v>
      </c>
      <c r="BH35" s="161">
        <v>2282</v>
      </c>
      <c r="BI35" s="161">
        <v>1400</v>
      </c>
      <c r="BJ35" s="161">
        <v>550</v>
      </c>
      <c r="BK35" s="97"/>
      <c r="BL35" s="97"/>
      <c r="BM35" s="97"/>
      <c r="BN35" s="97"/>
    </row>
    <row r="36" spans="1:66" ht="12.75">
      <c r="A36" s="79" t="s">
        <v>199</v>
      </c>
      <c r="B36" s="79" t="s">
        <v>77</v>
      </c>
      <c r="C36" s="79" t="s">
        <v>379</v>
      </c>
      <c r="D36" s="99">
        <v>8179</v>
      </c>
      <c r="E36" s="99">
        <v>1730</v>
      </c>
      <c r="F36" s="99" t="s">
        <v>107</v>
      </c>
      <c r="G36" s="99">
        <v>46</v>
      </c>
      <c r="H36" s="99">
        <v>25</v>
      </c>
      <c r="I36" s="99">
        <v>138</v>
      </c>
      <c r="J36" s="99">
        <v>812</v>
      </c>
      <c r="K36" s="99" t="s">
        <v>787</v>
      </c>
      <c r="L36" s="99">
        <v>1601</v>
      </c>
      <c r="M36" s="99">
        <v>560</v>
      </c>
      <c r="N36" s="99">
        <v>249</v>
      </c>
      <c r="O36" s="99">
        <v>295</v>
      </c>
      <c r="P36" s="158">
        <v>295</v>
      </c>
      <c r="Q36" s="99">
        <v>16</v>
      </c>
      <c r="R36" s="99">
        <v>39</v>
      </c>
      <c r="S36" s="99">
        <v>61</v>
      </c>
      <c r="T36" s="99">
        <v>58</v>
      </c>
      <c r="U36" s="99" t="s">
        <v>787</v>
      </c>
      <c r="V36" s="99">
        <v>46</v>
      </c>
      <c r="W36" s="99">
        <v>37</v>
      </c>
      <c r="X36" s="99">
        <v>64</v>
      </c>
      <c r="Y36" s="99">
        <v>121</v>
      </c>
      <c r="Z36" s="99">
        <v>45</v>
      </c>
      <c r="AA36" s="99">
        <v>13</v>
      </c>
      <c r="AB36" s="99">
        <v>15</v>
      </c>
      <c r="AC36" s="99">
        <v>13</v>
      </c>
      <c r="AD36" s="98" t="s">
        <v>89</v>
      </c>
      <c r="AE36" s="100">
        <v>0.2115173004034723</v>
      </c>
      <c r="AF36" s="100">
        <v>0.09</v>
      </c>
      <c r="AG36" s="98">
        <v>562.4159432693483</v>
      </c>
      <c r="AH36" s="98">
        <v>305.6608387333415</v>
      </c>
      <c r="AI36" s="100">
        <v>0.0169</v>
      </c>
      <c r="AJ36" s="100">
        <v>0.780769</v>
      </c>
      <c r="AK36" s="100" t="s">
        <v>787</v>
      </c>
      <c r="AL36" s="100">
        <v>0.826963</v>
      </c>
      <c r="AM36" s="100">
        <v>0.610022</v>
      </c>
      <c r="AN36" s="100">
        <v>0.62406</v>
      </c>
      <c r="AO36" s="98">
        <v>3606.7978970534296</v>
      </c>
      <c r="AP36" s="157">
        <v>1.6085</v>
      </c>
      <c r="AQ36" s="100">
        <v>0.05423728813559322</v>
      </c>
      <c r="AR36" s="100">
        <v>0.41025641025641024</v>
      </c>
      <c r="AS36" s="98">
        <v>745.8124465093532</v>
      </c>
      <c r="AT36" s="98">
        <v>709.1331458613522</v>
      </c>
      <c r="AU36" s="98" t="s">
        <v>787</v>
      </c>
      <c r="AV36" s="98">
        <v>562.4159432693483</v>
      </c>
      <c r="AW36" s="98">
        <v>452.3780413253454</v>
      </c>
      <c r="AX36" s="98">
        <v>782.4917471573542</v>
      </c>
      <c r="AY36" s="98">
        <v>1479.3984594693727</v>
      </c>
      <c r="AZ36" s="98">
        <v>550.1895097200147</v>
      </c>
      <c r="BA36" s="100">
        <v>0.3170731707317073</v>
      </c>
      <c r="BB36" s="100">
        <v>0.36585365853658536</v>
      </c>
      <c r="BC36" s="100">
        <v>0.3170731707317073</v>
      </c>
      <c r="BD36" s="157">
        <v>1.4302000000000001</v>
      </c>
      <c r="BE36" s="157">
        <v>1.8030000000000002</v>
      </c>
      <c r="BF36" s="161">
        <v>1040</v>
      </c>
      <c r="BG36" s="161" t="s">
        <v>787</v>
      </c>
      <c r="BH36" s="161">
        <v>1936</v>
      </c>
      <c r="BI36" s="161">
        <v>918</v>
      </c>
      <c r="BJ36" s="161">
        <v>399</v>
      </c>
      <c r="BK36" s="97"/>
      <c r="BL36" s="97"/>
      <c r="BM36" s="97"/>
      <c r="BN36" s="97"/>
    </row>
    <row r="37" spans="1:66" ht="12.75">
      <c r="A37" s="79" t="s">
        <v>619</v>
      </c>
      <c r="B37" s="94" t="s">
        <v>379</v>
      </c>
      <c r="C37" s="94" t="s">
        <v>7</v>
      </c>
      <c r="D37" s="99">
        <v>314664</v>
      </c>
      <c r="E37" s="99">
        <v>61982</v>
      </c>
      <c r="F37" s="99">
        <v>23447.790000000005</v>
      </c>
      <c r="G37" s="99">
        <v>1602</v>
      </c>
      <c r="H37" s="99">
        <v>842</v>
      </c>
      <c r="I37" s="99">
        <v>6629</v>
      </c>
      <c r="J37" s="99">
        <v>34716</v>
      </c>
      <c r="K37" s="99">
        <v>15005</v>
      </c>
      <c r="L37" s="99">
        <v>61306</v>
      </c>
      <c r="M37" s="99">
        <v>25454</v>
      </c>
      <c r="N37" s="99">
        <v>10071</v>
      </c>
      <c r="O37" s="99">
        <v>6457</v>
      </c>
      <c r="P37" s="99">
        <v>6457</v>
      </c>
      <c r="Q37" s="99">
        <v>673</v>
      </c>
      <c r="R37" s="99">
        <v>1503</v>
      </c>
      <c r="S37" s="99">
        <v>1516</v>
      </c>
      <c r="T37" s="99">
        <v>1011</v>
      </c>
      <c r="U37" s="99">
        <v>233</v>
      </c>
      <c r="V37" s="99">
        <v>1095</v>
      </c>
      <c r="W37" s="99">
        <v>1274</v>
      </c>
      <c r="X37" s="99">
        <v>1809</v>
      </c>
      <c r="Y37" s="99">
        <v>2974</v>
      </c>
      <c r="Z37" s="99">
        <v>2133</v>
      </c>
      <c r="AA37" s="99">
        <v>413</v>
      </c>
      <c r="AB37" s="99">
        <v>724</v>
      </c>
      <c r="AC37" s="99">
        <v>537</v>
      </c>
      <c r="AD37" s="98">
        <v>0</v>
      </c>
      <c r="AE37" s="101">
        <v>0.19697836422342563</v>
      </c>
      <c r="AF37" s="101">
        <v>0.07451691327892611</v>
      </c>
      <c r="AG37" s="98">
        <v>509.114484021051</v>
      </c>
      <c r="AH37" s="98">
        <v>267.5870134492665</v>
      </c>
      <c r="AI37" s="101">
        <v>0.02106691582132052</v>
      </c>
      <c r="AJ37" s="101">
        <v>0.8098348418400672</v>
      </c>
      <c r="AK37" s="101">
        <v>0.8332870550341533</v>
      </c>
      <c r="AL37" s="101">
        <v>0.8022875389326564</v>
      </c>
      <c r="AM37" s="101">
        <v>0.6353493248134189</v>
      </c>
      <c r="AN37" s="101">
        <v>0.6150604617075852</v>
      </c>
      <c r="AO37" s="98">
        <v>2052.0301019500166</v>
      </c>
      <c r="AP37" s="98">
        <v>0</v>
      </c>
      <c r="AQ37" s="101">
        <v>0.10422796964534614</v>
      </c>
      <c r="AR37" s="101">
        <v>0.447771124417831</v>
      </c>
      <c r="AS37" s="98">
        <v>481.7837439300333</v>
      </c>
      <c r="AT37" s="98">
        <v>321.2950957211502</v>
      </c>
      <c r="AU37" s="98">
        <v>74.04723768845498</v>
      </c>
      <c r="AV37" s="98">
        <v>347.99023720540004</v>
      </c>
      <c r="AW37" s="98">
        <v>404.876312511123</v>
      </c>
      <c r="AX37" s="98">
        <v>574.8989398215239</v>
      </c>
      <c r="AY37" s="98">
        <v>945.1351282637988</v>
      </c>
      <c r="AZ37" s="98">
        <v>677.8659141179163</v>
      </c>
      <c r="BA37" s="101">
        <v>0.24671445639187575</v>
      </c>
      <c r="BB37" s="101">
        <v>0.4324970131421744</v>
      </c>
      <c r="BC37" s="101">
        <v>0.3207885304659498</v>
      </c>
      <c r="BD37" s="98">
        <v>0</v>
      </c>
      <c r="BE37" s="98">
        <v>0</v>
      </c>
      <c r="BF37" s="99">
        <v>42868</v>
      </c>
      <c r="BG37" s="99">
        <v>18007</v>
      </c>
      <c r="BH37" s="99">
        <v>76414</v>
      </c>
      <c r="BI37" s="99">
        <v>40063</v>
      </c>
      <c r="BJ37" s="99">
        <v>16374</v>
      </c>
      <c r="BK37" s="97"/>
      <c r="BL37" s="97"/>
      <c r="BM37" s="97"/>
      <c r="BN37" s="97"/>
    </row>
    <row r="38" spans="1:66" ht="12.75">
      <c r="A38" s="79" t="s">
        <v>24</v>
      </c>
      <c r="B38" s="94" t="s">
        <v>7</v>
      </c>
      <c r="C38" s="94" t="s">
        <v>7</v>
      </c>
      <c r="D38" s="99">
        <v>55165362</v>
      </c>
      <c r="E38" s="99">
        <v>9048994</v>
      </c>
      <c r="F38" s="99">
        <v>8305264.179999999</v>
      </c>
      <c r="G38" s="99">
        <v>259770</v>
      </c>
      <c r="H38" s="99">
        <v>128954</v>
      </c>
      <c r="I38" s="99">
        <v>978426</v>
      </c>
      <c r="J38" s="99">
        <v>4727163</v>
      </c>
      <c r="K38" s="99">
        <v>1693161</v>
      </c>
      <c r="L38" s="99">
        <v>10175535</v>
      </c>
      <c r="M38" s="99">
        <v>3358821</v>
      </c>
      <c r="N38" s="99">
        <v>1654961</v>
      </c>
      <c r="O38" s="99">
        <v>1093346</v>
      </c>
      <c r="P38" s="99">
        <v>1093346</v>
      </c>
      <c r="Q38" s="99">
        <v>115539</v>
      </c>
      <c r="R38" s="99">
        <v>248587</v>
      </c>
      <c r="S38" s="99">
        <v>205061</v>
      </c>
      <c r="T38" s="99">
        <v>184806</v>
      </c>
      <c r="U38" s="99">
        <v>42802</v>
      </c>
      <c r="V38" s="99">
        <v>192402</v>
      </c>
      <c r="W38" s="99">
        <v>343839</v>
      </c>
      <c r="X38" s="99">
        <v>238616</v>
      </c>
      <c r="Y38" s="99">
        <v>553576</v>
      </c>
      <c r="Z38" s="99">
        <v>323780</v>
      </c>
      <c r="AA38" s="99">
        <v>58003</v>
      </c>
      <c r="AB38" s="99">
        <v>120283</v>
      </c>
      <c r="AC38" s="99">
        <v>66239</v>
      </c>
      <c r="AD38" s="98">
        <v>0</v>
      </c>
      <c r="AE38" s="101">
        <v>0.16403398204837302</v>
      </c>
      <c r="AF38" s="101">
        <v>0.1505521558981159</v>
      </c>
      <c r="AG38" s="98">
        <v>470.8933116400106</v>
      </c>
      <c r="AH38" s="98">
        <v>233.75900261472046</v>
      </c>
      <c r="AI38" s="101">
        <v>0.017736238185113332</v>
      </c>
      <c r="AJ38" s="101">
        <v>0.7246856648259642</v>
      </c>
      <c r="AK38" s="101">
        <v>0.7425503147315781</v>
      </c>
      <c r="AL38" s="101">
        <v>0.7530641252748632</v>
      </c>
      <c r="AM38" s="101">
        <v>0.5744521249276766</v>
      </c>
      <c r="AN38" s="101">
        <v>0.5565049054289257</v>
      </c>
      <c r="AO38" s="98">
        <v>1981.9429445600304</v>
      </c>
      <c r="AP38" s="98">
        <v>1</v>
      </c>
      <c r="AQ38" s="101">
        <v>0.10567469035419712</v>
      </c>
      <c r="AR38" s="101">
        <v>0.46478295325177904</v>
      </c>
      <c r="AS38" s="98">
        <v>371.7205735004512</v>
      </c>
      <c r="AT38" s="98">
        <v>335.00369307827617</v>
      </c>
      <c r="AU38" s="98">
        <v>77.58854188249504</v>
      </c>
      <c r="AV38" s="98">
        <v>348.7732030109763</v>
      </c>
      <c r="AW38" s="98">
        <v>623.2878522577265</v>
      </c>
      <c r="AX38" s="98">
        <v>432.5467854266958</v>
      </c>
      <c r="AY38" s="98">
        <v>1003.4847591501348</v>
      </c>
      <c r="AZ38" s="98">
        <v>586.9262672471904</v>
      </c>
      <c r="BA38" s="101">
        <v>0.2372068295675289</v>
      </c>
      <c r="BB38" s="101">
        <v>0.4919047132195072</v>
      </c>
      <c r="BC38" s="101">
        <v>0.2708884572129639</v>
      </c>
      <c r="BD38" s="98">
        <v>0</v>
      </c>
      <c r="BE38" s="98">
        <v>0</v>
      </c>
      <c r="BF38" s="99">
        <v>6523053</v>
      </c>
      <c r="BG38" s="99">
        <v>2280197</v>
      </c>
      <c r="BH38" s="99">
        <v>13512176</v>
      </c>
      <c r="BI38" s="99">
        <v>5846999</v>
      </c>
      <c r="BJ38" s="99">
        <v>2973848</v>
      </c>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142</v>
      </c>
      <c r="Q4" s="75" t="s">
        <v>143</v>
      </c>
      <c r="R4" s="75" t="s">
        <v>144</v>
      </c>
      <c r="S4" s="75" t="s">
        <v>145</v>
      </c>
      <c r="T4" s="39" t="s">
        <v>53</v>
      </c>
      <c r="U4" s="40" t="s">
        <v>54</v>
      </c>
      <c r="V4" s="41" t="s">
        <v>7</v>
      </c>
      <c r="W4" s="24" t="s">
        <v>2</v>
      </c>
      <c r="X4" s="24" t="s">
        <v>3</v>
      </c>
      <c r="Y4" s="75" t="s">
        <v>216</v>
      </c>
      <c r="Z4" s="75" t="s">
        <v>215</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763</v>
      </c>
      <c r="AZ4" s="102" t="s">
        <v>764</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364</v>
      </c>
      <c r="AZ5" s="103" t="s">
        <v>552</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363</v>
      </c>
      <c r="AZ6" s="103" t="s">
        <v>553</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2099</v>
      </c>
      <c r="E7" s="38">
        <f>IF(LEFT(VLOOKUP($B7,'Indicator chart'!$D$1:$J$36,5,FALSE),1)=" "," ",VLOOKUP($B7,'Indicator chart'!$D$1:$J$36,5,FALSE))</f>
        <v>0.21625798475169997</v>
      </c>
      <c r="F7" s="38">
        <f>IF(LEFT(VLOOKUP($B7,'Indicator chart'!$D$1:$J$36,6,FALSE),1)=" "," ",VLOOKUP($B7,'Indicator chart'!$D$1:$J$36,6,FALSE))</f>
        <v>0.208180630171143</v>
      </c>
      <c r="G7" s="38">
        <f>IF(LEFT(VLOOKUP($B7,'Indicator chart'!$D$1:$J$36,7,FALSE),1)=" "," ",VLOOKUP($B7,'Indicator chart'!$D$1:$J$36,7,FALSE))</f>
        <v>0.22455985861293765</v>
      </c>
      <c r="H7" s="50">
        <f aca="true" t="shared" si="0" ref="H7:H31">IF(LEFT(F7,1)=" ",4,IF(AND(ABS(N7-E7)&gt;SQRT((E7-G7)^2+(N7-R7)^2),E7&lt;N7),1,IF(AND(ABS(N7-E7)&gt;SQRT((E7-F7)^2+(N7-S7)^2),E7&gt;N7),3,2)))</f>
        <v>3</v>
      </c>
      <c r="I7" s="300" t="s">
        <v>459</v>
      </c>
      <c r="J7" s="300" t="s">
        <v>470</v>
      </c>
      <c r="K7" s="300" t="s">
        <v>489</v>
      </c>
      <c r="L7" s="300" t="s">
        <v>512</v>
      </c>
      <c r="M7" s="300" t="s">
        <v>534</v>
      </c>
      <c r="N7" s="80">
        <f>VLOOKUP('Hide - Control'!B$3,'All practice data'!A:CA,A7+29,FALSE)</f>
        <v>0.19697836422342563</v>
      </c>
      <c r="O7" s="80">
        <f>VLOOKUP('Hide - Control'!C$3,'All practice data'!A:CA,A7+29,FALSE)</f>
        <v>0.16403398204837302</v>
      </c>
      <c r="P7" s="38">
        <f>VLOOKUP('Hide - Control'!$B$4,'All practice data'!B:BC,A7+2,FALSE)</f>
        <v>61982</v>
      </c>
      <c r="Q7" s="38">
        <f>VLOOKUP('Hide - Control'!$B$4,'All practice data'!B:BC,3,FALSE)</f>
        <v>314664</v>
      </c>
      <c r="R7" s="38">
        <f>+((2*P7+1.96^2-1.96*SQRT(1.96^2+4*P7*(1-P7/Q7)))/(2*(Q7+1.96^2)))</f>
        <v>0.19559241721083545</v>
      </c>
      <c r="S7" s="38">
        <f>+((2*P7+1.96^2+1.96*SQRT(1.96^2+4*P7*(1-P7/Q7)))/(2*(Q7+1.96^2)))</f>
        <v>0.1983717100722622</v>
      </c>
      <c r="T7" s="53" t="str">
        <f>IF($C7=1,M7,I7)</f>
        <v>0.259507231</v>
      </c>
      <c r="U7" s="51" t="str">
        <f aca="true" t="shared" si="1" ref="U7:U15">IF($C7=1,I7,M7)</f>
        <v>0.115652665</v>
      </c>
      <c r="V7" s="7">
        <v>1</v>
      </c>
      <c r="W7" s="27" t="str">
        <f aca="true" t="shared" si="2" ref="W7:W31">IF((K7-I7)&gt;(M7-K7),I7,(K7-(M7-K7)))</f>
        <v>0.115652665</v>
      </c>
      <c r="X7" s="27">
        <f aca="true" t="shared" si="3" ref="X7:X31">IF(W7=I7,K7+(K7-I7),M7)</f>
        <v>0.286620667</v>
      </c>
      <c r="Y7" s="27" t="str">
        <f aca="true" t="shared" si="4" ref="Y7:Y31">IF(C7=1,W7,X7)</f>
        <v>0.115652665</v>
      </c>
      <c r="Z7" s="27">
        <f aca="true" t="shared" si="5" ref="Z7:Z31">IF(C7=1,X7,W7)</f>
        <v>0.286620667</v>
      </c>
      <c r="AA7" s="32">
        <f aca="true" t="shared" si="6" ref="AA7:AA31">IF(ISERROR(IF(C7=1,(I7-$Y7)/($Z7-$Y7),(U7-$Y7)/($Z7-$Y7))),"",IF(C7=1,(I7-$Y7)/($Z7-$Y7),(U7-$Y7)/($Z7-$Y7)))</f>
        <v>0</v>
      </c>
      <c r="AB7" s="33">
        <f aca="true" t="shared" si="7" ref="AB7:AB31">IF(ISERROR(IF(C7=1,(J7-$Y7)/($Z7-$Y7),(L7-$Y7)/($Z7-$Y7))),"",IF(C7=1,(J7-$Y7)/($Z7-$Y7),(L7-$Y7)/($Z7-$Y7)))</f>
        <v>0.38192477677782066</v>
      </c>
      <c r="AC7" s="33">
        <v>0.5</v>
      </c>
      <c r="AD7" s="33">
        <f aca="true" t="shared" si="8" ref="AD7:AD31">IF(ISERROR(IF(C7=1,(L7-$Y7)/($Z7-$Y7),(J7-$Y7)/($Z7-$Y7))),"",IF(C7=1,(L7-$Y7)/($Z7-$Y7),(J7-$Y7)/($Z7-$Y7)))</f>
        <v>0.5936902625790761</v>
      </c>
      <c r="AE7" s="33">
        <f aca="true" t="shared" si="9" ref="AE7:AE31">IF(ISERROR(IF(C7=1,(M7-$Y7)/($Z7-$Y7),(I7-$Y7)/($Z7-$Y7))),"",IF(C7=1,(M7-$Y7)/($Z7-$Y7),(I7-$Y7)/($Z7-$Y7)))</f>
        <v>0.8414122193461675</v>
      </c>
      <c r="AF7" s="33">
        <f aca="true" t="shared" si="10" ref="AF7:AF30">IF(E7=" ",-999,IF(H7=4,(E7-$Y7)/($Z7-$Y7),-999))</f>
        <v>-999</v>
      </c>
      <c r="AG7" s="33">
        <f aca="true" t="shared" si="11" ref="AG7:AG31">IF(E7=" ",-999,IF(H7=2,(E7-$Y7)/($Z7-$Y7),-999))</f>
        <v>-999</v>
      </c>
      <c r="AH7" s="33">
        <f aca="true" t="shared" si="12" ref="AH7:AH31">IF(E7=" ",-999,IF(MAX(AK7:AL7)&gt;-999,MAX(AK7:AL7),-999))</f>
        <v>0.5884453147653907</v>
      </c>
      <c r="AI7" s="34">
        <f aca="true" t="shared" si="13" ref="AI7:AI31">IF(ISERROR((O7-$Y7)/($Z7-$Y7)),-999,(O7-$Y7)/($Z7-$Y7))</f>
        <v>0.28298463152404985</v>
      </c>
      <c r="AJ7" s="4">
        <v>2.7020512924389086</v>
      </c>
      <c r="AK7" s="32">
        <f aca="true" t="shared" si="14" ref="AK7:AK31">IF(H7=1,(E7-$Y7)/($Z7-$Y7),-999)</f>
        <v>-999</v>
      </c>
      <c r="AL7" s="34">
        <f aca="true" t="shared" si="15" ref="AL7:AL31">IF(H7=3,(E7-$Y7)/($Z7-$Y7),-999)</f>
        <v>0.5884453147653907</v>
      </c>
      <c r="AQ7" s="103">
        <v>2</v>
      </c>
      <c r="AR7" s="103">
        <v>0.2422</v>
      </c>
      <c r="AS7" s="103">
        <v>7.2247</v>
      </c>
      <c r="AY7" s="103" t="s">
        <v>354</v>
      </c>
      <c r="AZ7" s="103" t="s">
        <v>554</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0.08446754690728431</v>
      </c>
      <c r="G8" s="38">
        <f>IF(LEFT(VLOOKUP($B8,'Indicator chart'!$D$1:$J$36,7,FALSE),1)=" "," ",VLOOKUP($B8,'Indicator chart'!$D$1:$J$36,7,FALSE))</f>
        <v>0.0958568777465638</v>
      </c>
      <c r="H8" s="50">
        <f t="shared" si="0"/>
        <v>3</v>
      </c>
      <c r="I8" s="300" t="s">
        <v>446</v>
      </c>
      <c r="J8" s="300" t="s">
        <v>448</v>
      </c>
      <c r="K8" s="300" t="s">
        <v>440</v>
      </c>
      <c r="L8" s="300" t="s">
        <v>433</v>
      </c>
      <c r="M8" s="300" t="s">
        <v>449</v>
      </c>
      <c r="N8" s="80">
        <f>VLOOKUP('Hide - Control'!B$3,'All practice data'!A:CA,A8+29,FALSE)</f>
        <v>0.07451691327892611</v>
      </c>
      <c r="O8" s="80">
        <f>VLOOKUP('Hide - Control'!C$3,'All practice data'!A:CA,A8+29,FALSE)</f>
        <v>0.1505521558981159</v>
      </c>
      <c r="P8" s="38">
        <f>VLOOKUP('Hide - Control'!$B$4,'All practice data'!B:BC,A8+2,FALSE)</f>
        <v>23447.790000000005</v>
      </c>
      <c r="Q8" s="38">
        <f>VLOOKUP('Hide - Control'!$B$4,'All practice data'!B:BC,3,FALSE)</f>
        <v>314664</v>
      </c>
      <c r="R8" s="38">
        <f>+((2*P8+1.96^2-1.96*SQRT(1.96^2+4*P8*(1-P8/Q8)))/(2*(Q8+1.96^2)))</f>
        <v>0.0736045180770748</v>
      </c>
      <c r="S8" s="38">
        <f>+((2*P8+1.96^2+1.96*SQRT(1.96^2+4*P8*(1-P8/Q8)))/(2*(Q8+1.96^2)))</f>
        <v>0.07543969744087983</v>
      </c>
      <c r="T8" s="53" t="str">
        <f aca="true" t="shared" si="16" ref="T8:T15">IF($C8=1,M8,I8)</f>
        <v>0.13</v>
      </c>
      <c r="U8" s="51" t="str">
        <f t="shared" si="1"/>
        <v>0.05</v>
      </c>
      <c r="V8" s="7"/>
      <c r="W8" s="27">
        <f t="shared" si="2"/>
        <v>0.010000000000000009</v>
      </c>
      <c r="X8" s="27" t="str">
        <f t="shared" si="3"/>
        <v>0.13</v>
      </c>
      <c r="Y8" s="27">
        <f t="shared" si="4"/>
        <v>0.010000000000000009</v>
      </c>
      <c r="Z8" s="27" t="str">
        <f t="shared" si="5"/>
        <v>0.13</v>
      </c>
      <c r="AA8" s="32">
        <f t="shared" si="6"/>
        <v>0.3333333333333333</v>
      </c>
      <c r="AB8" s="33">
        <f t="shared" si="7"/>
        <v>0.4166666666666666</v>
      </c>
      <c r="AC8" s="33">
        <v>0.5</v>
      </c>
      <c r="AD8" s="33">
        <f t="shared" si="8"/>
        <v>0.5833333333333333</v>
      </c>
      <c r="AE8" s="33">
        <f t="shared" si="9"/>
        <v>1</v>
      </c>
      <c r="AF8" s="33">
        <f t="shared" si="10"/>
        <v>-999</v>
      </c>
      <c r="AG8" s="33">
        <f t="shared" si="11"/>
        <v>-999</v>
      </c>
      <c r="AH8" s="33">
        <f t="shared" si="12"/>
        <v>0.6666666666666666</v>
      </c>
      <c r="AI8" s="34">
        <f t="shared" si="13"/>
        <v>1.1712679658176326</v>
      </c>
      <c r="AJ8" s="4">
        <v>3.778046717820832</v>
      </c>
      <c r="AK8" s="32">
        <f t="shared" si="14"/>
        <v>-999</v>
      </c>
      <c r="AL8" s="34">
        <f t="shared" si="15"/>
        <v>0.6666666666666666</v>
      </c>
      <c r="AQ8" s="103">
        <v>3</v>
      </c>
      <c r="AR8" s="103">
        <v>0.6187</v>
      </c>
      <c r="AS8" s="103">
        <v>8.7673</v>
      </c>
      <c r="AY8" s="103" t="s">
        <v>366</v>
      </c>
      <c r="AZ8" s="103" t="s">
        <v>555</v>
      </c>
      <c r="BA8" s="103" t="s">
        <v>89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50</v>
      </c>
      <c r="E9" s="38">
        <f>IF(LEFT(VLOOKUP($B9,'Indicator chart'!$D$1:$J$36,5,FALSE),1)=" "," ",VLOOKUP($B9,'Indicator chart'!$D$1:$J$36,5,FALSE))</f>
        <v>515.1452709664126</v>
      </c>
      <c r="F9" s="38">
        <f>IF(LEFT(VLOOKUP($B9,'Indicator chart'!$D$1:$J$36,6,FALSE),1)=" "," ",VLOOKUP($B9,'Indicator chart'!$D$1:$J$36,6,FALSE))</f>
        <v>382.3190980118963</v>
      </c>
      <c r="G9" s="38">
        <f>IF(LEFT(VLOOKUP($B9,'Indicator chart'!$D$1:$J$36,7,FALSE),1)=" "," ",VLOOKUP($B9,'Indicator chart'!$D$1:$J$36,7,FALSE))</f>
        <v>679.1722840114949</v>
      </c>
      <c r="H9" s="50">
        <f t="shared" si="0"/>
        <v>2</v>
      </c>
      <c r="I9" s="300" t="s">
        <v>460</v>
      </c>
      <c r="J9" s="300" t="s">
        <v>471</v>
      </c>
      <c r="K9" s="300" t="s">
        <v>490</v>
      </c>
      <c r="L9" s="300" t="s">
        <v>513</v>
      </c>
      <c r="M9" s="300" t="s">
        <v>535</v>
      </c>
      <c r="N9" s="80">
        <f>VLOOKUP('Hide - Control'!B$3,'All practice data'!A:CA,A9+29,FALSE)</f>
        <v>509.114484021051</v>
      </c>
      <c r="O9" s="80">
        <f>VLOOKUP('Hide - Control'!C$3,'All practice data'!A:CA,A9+29,FALSE)</f>
        <v>470.8933116400106</v>
      </c>
      <c r="P9" s="38">
        <f>VLOOKUP('Hide - Control'!$B$4,'All practice data'!B:BC,A9+2,FALSE)</f>
        <v>1602</v>
      </c>
      <c r="Q9" s="38">
        <f>VLOOKUP('Hide - Control'!$B$4,'All practice data'!B:BC,3,FALSE)</f>
        <v>314664</v>
      </c>
      <c r="R9" s="38">
        <f>100000*(P9*(1-1/(9*P9)-1.96/(3*SQRT(P9)))^3)/Q9</f>
        <v>484.48569390834984</v>
      </c>
      <c r="S9" s="38">
        <f>100000*((P9+1)*(1-1/(9*(P9+1))+1.96/(3*SQRT(P9+1)))^3)/Q9</f>
        <v>534.6708510893459</v>
      </c>
      <c r="T9" s="53" t="str">
        <f t="shared" si="16"/>
        <v>782.63963</v>
      </c>
      <c r="U9" s="51" t="str">
        <f t="shared" si="1"/>
        <v>271.6863963</v>
      </c>
      <c r="V9" s="7"/>
      <c r="W9" s="27">
        <f t="shared" si="2"/>
        <v>234.11369179999997</v>
      </c>
      <c r="X9" s="27" t="str">
        <f t="shared" si="3"/>
        <v>782.63963</v>
      </c>
      <c r="Y9" s="27">
        <f t="shared" si="4"/>
        <v>234.11369179999997</v>
      </c>
      <c r="Z9" s="27" t="str">
        <f t="shared" si="5"/>
        <v>782.63963</v>
      </c>
      <c r="AA9" s="32">
        <f t="shared" si="6"/>
        <v>0.06849758941809699</v>
      </c>
      <c r="AB9" s="33">
        <f t="shared" si="7"/>
        <v>0.37780806242281734</v>
      </c>
      <c r="AC9" s="33">
        <v>0.5</v>
      </c>
      <c r="AD9" s="33">
        <f t="shared" si="8"/>
        <v>0.6125183233860062</v>
      </c>
      <c r="AE9" s="33">
        <f t="shared" si="9"/>
        <v>1</v>
      </c>
      <c r="AF9" s="33">
        <f t="shared" si="10"/>
        <v>-999</v>
      </c>
      <c r="AG9" s="33">
        <f t="shared" si="11"/>
        <v>0.5123396353664221</v>
      </c>
      <c r="AH9" s="33">
        <f t="shared" si="12"/>
        <v>-999</v>
      </c>
      <c r="AI9" s="34">
        <f t="shared" si="13"/>
        <v>0.4316653112467355</v>
      </c>
      <c r="AJ9" s="4">
        <v>4.854042143202755</v>
      </c>
      <c r="AK9" s="32">
        <f t="shared" si="14"/>
        <v>-999</v>
      </c>
      <c r="AL9" s="34">
        <f t="shared" si="15"/>
        <v>-999</v>
      </c>
      <c r="AQ9" s="103">
        <v>4</v>
      </c>
      <c r="AR9" s="103">
        <v>1.0899</v>
      </c>
      <c r="AS9" s="103">
        <v>10.2416</v>
      </c>
      <c r="AY9" s="103" t="s">
        <v>300</v>
      </c>
      <c r="AZ9" s="103" t="s">
        <v>556</v>
      </c>
      <c r="BA9" s="103" t="s">
        <v>89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350.2987842571605</v>
      </c>
      <c r="F10" s="38">
        <f>IF(LEFT(VLOOKUP($B10,'Indicator chart'!$D$1:$J$36,6,FALSE),1)=" "," ",VLOOKUP($B10,'Indicator chart'!$D$1:$J$36,6,FALSE))</f>
        <v>242.5529227216182</v>
      </c>
      <c r="G10" s="38">
        <f>IF(LEFT(VLOOKUP($B10,'Indicator chart'!$D$1:$J$36,7,FALSE),1)=" "," ",VLOOKUP($B10,'Indicator chart'!$D$1:$J$36,7,FALSE))</f>
        <v>489.5254556664542</v>
      </c>
      <c r="H10" s="50">
        <f t="shared" si="0"/>
        <v>2</v>
      </c>
      <c r="I10" s="300" t="s">
        <v>441</v>
      </c>
      <c r="J10" s="300" t="s">
        <v>472</v>
      </c>
      <c r="K10" s="300" t="s">
        <v>491</v>
      </c>
      <c r="L10" s="300" t="s">
        <v>514</v>
      </c>
      <c r="M10" s="300" t="s">
        <v>536</v>
      </c>
      <c r="N10" s="80">
        <f>VLOOKUP('Hide - Control'!B$3,'All practice data'!A:CA,A10+29,FALSE)</f>
        <v>267.5870134492665</v>
      </c>
      <c r="O10" s="80">
        <f>VLOOKUP('Hide - Control'!C$3,'All practice data'!A:CA,A10+29,FALSE)</f>
        <v>233.75900261472046</v>
      </c>
      <c r="P10" s="38">
        <f>VLOOKUP('Hide - Control'!$B$4,'All practice data'!B:BC,A10+2,FALSE)</f>
        <v>842</v>
      </c>
      <c r="Q10" s="38">
        <f>VLOOKUP('Hide - Control'!$B$4,'All practice data'!B:BC,3,FALSE)</f>
        <v>314664</v>
      </c>
      <c r="R10" s="38">
        <f>100000*(P10*(1-1/(9*P10)-1.96/(3*SQRT(P10)))^3)/Q10</f>
        <v>249.81526028795764</v>
      </c>
      <c r="S10" s="38">
        <f>100000*((P10+1)*(1-1/(9*(P10+1))+1.96/(3*SQRT(P10+1)))^3)/Q10</f>
        <v>286.28925639272444</v>
      </c>
      <c r="T10" s="53" t="str">
        <f t="shared" si="16"/>
        <v>574.7126437</v>
      </c>
      <c r="U10" s="51" t="str">
        <f t="shared" si="1"/>
        <v>61.6589</v>
      </c>
      <c r="V10" s="7"/>
      <c r="W10" s="27">
        <f t="shared" si="2"/>
        <v>-44.29659869999989</v>
      </c>
      <c r="X10" s="27" t="str">
        <f t="shared" si="3"/>
        <v>574.7126437</v>
      </c>
      <c r="Y10" s="27">
        <f t="shared" si="4"/>
        <v>-44.29659869999989</v>
      </c>
      <c r="Z10" s="27" t="str">
        <f t="shared" si="5"/>
        <v>574.7126437</v>
      </c>
      <c r="AA10" s="32">
        <f t="shared" si="6"/>
        <v>0.17116949383371585</v>
      </c>
      <c r="AB10" s="33">
        <f t="shared" si="7"/>
        <v>0.4388612867018477</v>
      </c>
      <c r="AC10" s="33">
        <v>0.5</v>
      </c>
      <c r="AD10" s="33">
        <f t="shared" si="8"/>
        <v>0.5715944550814351</v>
      </c>
      <c r="AE10" s="33">
        <f t="shared" si="9"/>
        <v>1</v>
      </c>
      <c r="AF10" s="33">
        <f t="shared" si="10"/>
        <v>-999</v>
      </c>
      <c r="AG10" s="33">
        <f t="shared" si="11"/>
        <v>0.6374628291933893</v>
      </c>
      <c r="AH10" s="33">
        <f t="shared" si="12"/>
        <v>-999</v>
      </c>
      <c r="AI10" s="34">
        <f t="shared" si="13"/>
        <v>0.44919458752611413</v>
      </c>
      <c r="AJ10" s="4">
        <v>5.930037568584676</v>
      </c>
      <c r="AK10" s="32">
        <f t="shared" si="14"/>
        <v>-999</v>
      </c>
      <c r="AL10" s="34">
        <f t="shared" si="15"/>
        <v>-999</v>
      </c>
      <c r="AY10" s="103" t="s">
        <v>365</v>
      </c>
      <c r="AZ10" s="103" t="s">
        <v>557</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234</v>
      </c>
      <c r="E11" s="38">
        <f>IF(LEFT(VLOOKUP($B11,'Indicator chart'!$D$1:$J$36,5,FALSE),1)=" "," ",VLOOKUP($B11,'Indicator chart'!$D$1:$J$36,5,FALSE))</f>
        <v>0.0241</v>
      </c>
      <c r="F11" s="38">
        <f>IF(LEFT(VLOOKUP($B11,'Indicator chart'!$D$1:$J$36,6,FALSE),1)=" "," ",VLOOKUP($B11,'Indicator chart'!$D$1:$J$36,6,FALSE))</f>
        <v>0.02124030225443031</v>
      </c>
      <c r="G11" s="38">
        <f>IF(LEFT(VLOOKUP($B11,'Indicator chart'!$D$1:$J$36,7,FALSE),1)=" "," ",VLOOKUP($B11,'Indicator chart'!$D$1:$J$36,7,FALSE))</f>
        <v>0.027353858128165424</v>
      </c>
      <c r="H11" s="50">
        <f t="shared" si="0"/>
        <v>3</v>
      </c>
      <c r="I11" s="300" t="s">
        <v>461</v>
      </c>
      <c r="J11" s="300" t="s">
        <v>473</v>
      </c>
      <c r="K11" s="300" t="s">
        <v>492</v>
      </c>
      <c r="L11" s="300" t="s">
        <v>515</v>
      </c>
      <c r="M11" s="300" t="s">
        <v>451</v>
      </c>
      <c r="N11" s="80">
        <f>VLOOKUP('Hide - Control'!B$3,'All practice data'!A:CA,A11+29,FALSE)</f>
        <v>0.02106691582132052</v>
      </c>
      <c r="O11" s="80">
        <f>VLOOKUP('Hide - Control'!C$3,'All practice data'!A:CA,A11+29,FALSE)</f>
        <v>0.017736238185113332</v>
      </c>
      <c r="P11" s="38">
        <f>VLOOKUP('Hide - Control'!$B$4,'All practice data'!B:BC,A11+2,FALSE)</f>
        <v>6629</v>
      </c>
      <c r="Q11" s="38">
        <f>VLOOKUP('Hide - Control'!$B$4,'All practice data'!B:BC,3,FALSE)</f>
        <v>314664</v>
      </c>
      <c r="R11" s="80">
        <f aca="true" t="shared" si="17" ref="R11:R16">+((2*P11+1.96^2-1.96*SQRT(1.96^2+4*P11*(1-P11/Q11)))/(2*(Q11+1.96^2)))</f>
        <v>0.020570956255314323</v>
      </c>
      <c r="S11" s="80">
        <f aca="true" t="shared" si="18" ref="S11:S16">+((2*P11+1.96^2+1.96*SQRT(1.96^2+4*P11*(1-P11/Q11)))/(2*(Q11+1.96^2)))</f>
        <v>0.02157456942842622</v>
      </c>
      <c r="T11" s="53" t="str">
        <f t="shared" si="16"/>
        <v>0.0285</v>
      </c>
      <c r="U11" s="51" t="str">
        <f t="shared" si="1"/>
        <v>0.01</v>
      </c>
      <c r="V11" s="7"/>
      <c r="W11" s="27" t="str">
        <f t="shared" si="2"/>
        <v>0.01</v>
      </c>
      <c r="X11" s="27">
        <f t="shared" si="3"/>
        <v>0.030399999999999996</v>
      </c>
      <c r="Y11" s="27" t="str">
        <f t="shared" si="4"/>
        <v>0.01</v>
      </c>
      <c r="Z11" s="27">
        <f t="shared" si="5"/>
        <v>0.030399999999999996</v>
      </c>
      <c r="AA11" s="32">
        <f t="shared" si="6"/>
        <v>0</v>
      </c>
      <c r="AB11" s="33">
        <f t="shared" si="7"/>
        <v>0.37254901960784326</v>
      </c>
      <c r="AC11" s="33">
        <v>0.5</v>
      </c>
      <c r="AD11" s="33">
        <f t="shared" si="8"/>
        <v>0.6911764705882355</v>
      </c>
      <c r="AE11" s="33">
        <f t="shared" si="9"/>
        <v>0.9068627450980395</v>
      </c>
      <c r="AF11" s="33">
        <f t="shared" si="10"/>
        <v>-999</v>
      </c>
      <c r="AG11" s="33">
        <f t="shared" si="11"/>
        <v>-999</v>
      </c>
      <c r="AH11" s="33">
        <f t="shared" si="12"/>
        <v>0.6911764705882355</v>
      </c>
      <c r="AI11" s="34">
        <f t="shared" si="13"/>
        <v>0.3792273620153595</v>
      </c>
      <c r="AJ11" s="4">
        <v>7.0060329939666</v>
      </c>
      <c r="AK11" s="32">
        <f t="shared" si="14"/>
        <v>-999</v>
      </c>
      <c r="AL11" s="34">
        <f t="shared" si="15"/>
        <v>0.6911764705882355</v>
      </c>
      <c r="AY11" s="103" t="s">
        <v>217</v>
      </c>
      <c r="AZ11" s="103" t="s">
        <v>558</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1133</v>
      </c>
      <c r="E12" s="38">
        <f>IF(LEFT(VLOOKUP($B12,'Indicator chart'!$D$1:$J$36,5,FALSE),1)=" "," ",VLOOKUP($B12,'Indicator chart'!$D$1:$J$36,5,FALSE))</f>
        <v>0.795646</v>
      </c>
      <c r="F12" s="38">
        <f>IF(LEFT(VLOOKUP($B12,'Indicator chart'!$D$1:$J$36,6,FALSE),1)=" "," ",VLOOKUP($B12,'Indicator chart'!$D$1:$J$36,6,FALSE))</f>
        <v>0.7739200486198249</v>
      </c>
      <c r="G12" s="38">
        <f>IF(LEFT(VLOOKUP($B12,'Indicator chart'!$D$1:$J$36,7,FALSE),1)=" "," ",VLOOKUP($B12,'Indicator chart'!$D$1:$J$36,7,FALSE))</f>
        <v>0.8157812179632472</v>
      </c>
      <c r="H12" s="50">
        <f t="shared" si="0"/>
        <v>2</v>
      </c>
      <c r="I12" s="300" t="s">
        <v>462</v>
      </c>
      <c r="J12" s="300" t="s">
        <v>474</v>
      </c>
      <c r="K12" s="300" t="s">
        <v>493</v>
      </c>
      <c r="L12" s="300" t="s">
        <v>516</v>
      </c>
      <c r="M12" s="300" t="s">
        <v>537</v>
      </c>
      <c r="N12" s="80">
        <f>VLOOKUP('Hide - Control'!B$3,'All practice data'!A:CA,A12+29,FALSE)</f>
        <v>0.8098348418400672</v>
      </c>
      <c r="O12" s="80">
        <f>VLOOKUP('Hide - Control'!C$3,'All practice data'!A:CA,A12+29,FALSE)</f>
        <v>0.7246856648259642</v>
      </c>
      <c r="P12" s="38">
        <f>VLOOKUP('Hide - Control'!$B$4,'All practice data'!B:BC,A12+2,FALSE)</f>
        <v>34716</v>
      </c>
      <c r="Q12" s="38">
        <f>VLOOKUP('Hide - Control'!$B$4,'All practice data'!B:BJ,57,FALSE)</f>
        <v>42868</v>
      </c>
      <c r="R12" s="38">
        <f t="shared" si="17"/>
        <v>0.8060921896614884</v>
      </c>
      <c r="S12" s="38">
        <f t="shared" si="18"/>
        <v>0.8135219675246119</v>
      </c>
      <c r="T12" s="53" t="str">
        <f t="shared" si="16"/>
        <v>0.877475</v>
      </c>
      <c r="U12" s="51" t="str">
        <f t="shared" si="1"/>
        <v>0.727586</v>
      </c>
      <c r="V12" s="7"/>
      <c r="W12" s="27">
        <f t="shared" si="2"/>
        <v>0.712769</v>
      </c>
      <c r="X12" s="27" t="str">
        <f t="shared" si="3"/>
        <v>0.877475</v>
      </c>
      <c r="Y12" s="27">
        <f t="shared" si="4"/>
        <v>0.712769</v>
      </c>
      <c r="Z12" s="27" t="str">
        <f t="shared" si="5"/>
        <v>0.877475</v>
      </c>
      <c r="AA12" s="32">
        <f t="shared" si="6"/>
        <v>0.08996029288550489</v>
      </c>
      <c r="AB12" s="33">
        <f t="shared" si="7"/>
        <v>0.3926754338032619</v>
      </c>
      <c r="AC12" s="33">
        <v>0.5</v>
      </c>
      <c r="AD12" s="33">
        <f t="shared" si="8"/>
        <v>0.6405898995786429</v>
      </c>
      <c r="AE12" s="33">
        <f t="shared" si="9"/>
        <v>1</v>
      </c>
      <c r="AF12" s="33">
        <f t="shared" si="10"/>
        <v>-999</v>
      </c>
      <c r="AG12" s="33">
        <f t="shared" si="11"/>
        <v>0.503181426298981</v>
      </c>
      <c r="AH12" s="33">
        <f t="shared" si="12"/>
        <v>-999</v>
      </c>
      <c r="AI12" s="34">
        <f t="shared" si="13"/>
        <v>0.07235112762112009</v>
      </c>
      <c r="AJ12" s="4">
        <v>8.082028419348523</v>
      </c>
      <c r="AK12" s="32">
        <f t="shared" si="14"/>
        <v>-999</v>
      </c>
      <c r="AL12" s="34">
        <f t="shared" si="15"/>
        <v>-999</v>
      </c>
      <c r="AY12" s="103" t="s">
        <v>297</v>
      </c>
      <c r="AZ12" s="103" t="s">
        <v>559</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0.888889</v>
      </c>
      <c r="F13" s="38">
        <f>IF(LEFT(VLOOKUP($B13,'Indicator chart'!$D$1:$J$36,6,FALSE),1)=" "," ",VLOOKUP($B13,'Indicator chart'!$D$1:$J$36,6,FALSE))</f>
        <v>0.5649937852319399</v>
      </c>
      <c r="G13" s="38">
        <f>IF(LEFT(VLOOKUP($B13,'Indicator chart'!$D$1:$J$36,7,FALSE),1)=" "," ",VLOOKUP($B13,'Indicator chart'!$D$1:$J$36,7,FALSE))</f>
        <v>0.9801096286728695</v>
      </c>
      <c r="H13" s="50">
        <f t="shared" si="0"/>
        <v>2</v>
      </c>
      <c r="I13" s="300" t="s">
        <v>212</v>
      </c>
      <c r="J13" s="300" t="s">
        <v>475</v>
      </c>
      <c r="K13" s="300" t="s">
        <v>494</v>
      </c>
      <c r="L13" s="300" t="s">
        <v>517</v>
      </c>
      <c r="M13" s="300" t="s">
        <v>456</v>
      </c>
      <c r="N13" s="80">
        <f>VLOOKUP('Hide - Control'!B$3,'All practice data'!A:CA,A13+29,FALSE)</f>
        <v>0.8332870550341533</v>
      </c>
      <c r="O13" s="80">
        <f>VLOOKUP('Hide - Control'!C$3,'All practice data'!A:CA,A13+29,FALSE)</f>
        <v>0.7425503147315781</v>
      </c>
      <c r="P13" s="38">
        <f>VLOOKUP('Hide - Control'!$B$4,'All practice data'!B:BC,A13+2,FALSE)</f>
        <v>15005</v>
      </c>
      <c r="Q13" s="38">
        <f>VLOOKUP('Hide - Control'!$B$4,'All practice data'!B:BJ,58,FALSE)</f>
        <v>18007</v>
      </c>
      <c r="R13" s="38">
        <f t="shared" si="17"/>
        <v>0.827772092815443</v>
      </c>
      <c r="S13" s="38">
        <f t="shared" si="18"/>
        <v>0.8386598411592582</v>
      </c>
      <c r="T13" s="53" t="str">
        <f t="shared" si="16"/>
        <v>0.909091</v>
      </c>
      <c r="U13" s="51" t="str">
        <f t="shared" si="1"/>
        <v>0</v>
      </c>
      <c r="V13" s="7"/>
      <c r="W13" s="27" t="str">
        <f t="shared" si="2"/>
        <v>0</v>
      </c>
      <c r="X13" s="27">
        <f t="shared" si="3"/>
        <v>1.507085</v>
      </c>
      <c r="Y13" s="27" t="str">
        <f t="shared" si="4"/>
        <v>0</v>
      </c>
      <c r="Z13" s="27">
        <f t="shared" si="5"/>
        <v>1.507085</v>
      </c>
      <c r="AA13" s="32">
        <f t="shared" si="6"/>
        <v>0</v>
      </c>
      <c r="AB13" s="33">
        <f t="shared" si="7"/>
        <v>0.40860916935673836</v>
      </c>
      <c r="AC13" s="33">
        <v>0.5</v>
      </c>
      <c r="AD13" s="33">
        <f t="shared" si="8"/>
        <v>0.5557670934287051</v>
      </c>
      <c r="AE13" s="33">
        <f t="shared" si="9"/>
        <v>0.6032114976925654</v>
      </c>
      <c r="AF13" s="33">
        <f t="shared" si="10"/>
        <v>-999</v>
      </c>
      <c r="AG13" s="33">
        <f t="shared" si="11"/>
        <v>0.5898068124890102</v>
      </c>
      <c r="AH13" s="33">
        <f t="shared" si="12"/>
        <v>-999</v>
      </c>
      <c r="AI13" s="34">
        <f t="shared" si="13"/>
        <v>0.4927063269368205</v>
      </c>
      <c r="AJ13" s="4">
        <v>9.158023844730446</v>
      </c>
      <c r="AK13" s="32">
        <f t="shared" si="14"/>
        <v>-999</v>
      </c>
      <c r="AL13" s="34">
        <f t="shared" si="15"/>
        <v>-999</v>
      </c>
      <c r="AY13" s="103" t="s">
        <v>218</v>
      </c>
      <c r="AZ13" s="103" t="s">
        <v>560</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1831</v>
      </c>
      <c r="E14" s="38">
        <f>IF(LEFT(VLOOKUP($B14,'Indicator chart'!$D$1:$J$36,5,FALSE),1)=" "," ",VLOOKUP($B14,'Indicator chart'!$D$1:$J$36,5,FALSE))</f>
        <v>0.791955</v>
      </c>
      <c r="F14" s="38">
        <f>IF(LEFT(VLOOKUP($B14,'Indicator chart'!$D$1:$J$36,6,FALSE),1)=" "," ",VLOOKUP($B14,'Indicator chart'!$D$1:$J$36,6,FALSE))</f>
        <v>0.7749314244487382</v>
      </c>
      <c r="G14" s="38">
        <f>IF(LEFT(VLOOKUP($B14,'Indicator chart'!$D$1:$J$36,7,FALSE),1)=" "," ",VLOOKUP($B14,'Indicator chart'!$D$1:$J$36,7,FALSE))</f>
        <v>0.8080099995243003</v>
      </c>
      <c r="H14" s="50">
        <f t="shared" si="0"/>
        <v>2</v>
      </c>
      <c r="I14" s="300" t="s">
        <v>463</v>
      </c>
      <c r="J14" s="300" t="s">
        <v>476</v>
      </c>
      <c r="K14" s="300" t="s">
        <v>495</v>
      </c>
      <c r="L14" s="300" t="s">
        <v>518</v>
      </c>
      <c r="M14" s="300" t="s">
        <v>538</v>
      </c>
      <c r="N14" s="80">
        <f>VLOOKUP('Hide - Control'!B$3,'All practice data'!A:CA,A14+29,FALSE)</f>
        <v>0.8022875389326564</v>
      </c>
      <c r="O14" s="80">
        <f>VLOOKUP('Hide - Control'!C$3,'All practice data'!A:CA,A14+29,FALSE)</f>
        <v>0.7530641252748632</v>
      </c>
      <c r="P14" s="38">
        <f>VLOOKUP('Hide - Control'!$B$4,'All practice data'!B:BC,A14+2,FALSE)</f>
        <v>61306</v>
      </c>
      <c r="Q14" s="38">
        <f>VLOOKUP('Hide - Control'!$B$4,'All practice data'!B:BJ,59,FALSE)</f>
        <v>76414</v>
      </c>
      <c r="R14" s="38">
        <f t="shared" si="17"/>
        <v>0.7994484575484387</v>
      </c>
      <c r="S14" s="38">
        <f t="shared" si="18"/>
        <v>0.8050962277335386</v>
      </c>
      <c r="T14" s="53" t="str">
        <f t="shared" si="16"/>
        <v>0.864592</v>
      </c>
      <c r="U14" s="51" t="str">
        <f t="shared" si="1"/>
        <v>0.708054</v>
      </c>
      <c r="V14" s="7"/>
      <c r="W14" s="27" t="str">
        <f t="shared" si="2"/>
        <v>0.708054</v>
      </c>
      <c r="X14" s="27">
        <f t="shared" si="3"/>
        <v>0.91307</v>
      </c>
      <c r="Y14" s="27" t="str">
        <f t="shared" si="4"/>
        <v>0.708054</v>
      </c>
      <c r="Z14" s="27">
        <f t="shared" si="5"/>
        <v>0.91307</v>
      </c>
      <c r="AA14" s="32">
        <f t="shared" si="6"/>
        <v>0</v>
      </c>
      <c r="AB14" s="33">
        <f t="shared" si="7"/>
        <v>0.35730382018964363</v>
      </c>
      <c r="AC14" s="33">
        <v>0.5</v>
      </c>
      <c r="AD14" s="33">
        <f t="shared" si="8"/>
        <v>0.5625902368595619</v>
      </c>
      <c r="AE14" s="33">
        <f t="shared" si="9"/>
        <v>0.7635404066024115</v>
      </c>
      <c r="AF14" s="33">
        <f t="shared" si="10"/>
        <v>-999</v>
      </c>
      <c r="AG14" s="33">
        <f t="shared" si="11"/>
        <v>0.409241229952784</v>
      </c>
      <c r="AH14" s="33">
        <f t="shared" si="12"/>
        <v>-999</v>
      </c>
      <c r="AI14" s="34">
        <f t="shared" si="13"/>
        <v>0.21954445152994514</v>
      </c>
      <c r="AJ14" s="4">
        <v>10.234019270112368</v>
      </c>
      <c r="AK14" s="32">
        <f t="shared" si="14"/>
        <v>-999</v>
      </c>
      <c r="AL14" s="34">
        <f t="shared" si="15"/>
        <v>-999</v>
      </c>
      <c r="AY14" s="103" t="s">
        <v>323</v>
      </c>
      <c r="AZ14" s="103" t="s">
        <v>561</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876</v>
      </c>
      <c r="E15" s="38">
        <f>IF(LEFT(VLOOKUP($B15,'Indicator chart'!$D$1:$J$36,5,FALSE),1)=" "," ",VLOOKUP($B15,'Indicator chart'!$D$1:$J$36,5,FALSE))</f>
        <v>0.653244</v>
      </c>
      <c r="F15" s="38">
        <f>IF(LEFT(VLOOKUP($B15,'Indicator chart'!$D$1:$J$36,6,FALSE),1)=" "," ",VLOOKUP($B15,'Indicator chart'!$D$1:$J$36,6,FALSE))</f>
        <v>0.6273650779780564</v>
      </c>
      <c r="G15" s="38">
        <f>IF(LEFT(VLOOKUP($B15,'Indicator chart'!$D$1:$J$36,7,FALSE),1)=" "," ",VLOOKUP($B15,'Indicator chart'!$D$1:$J$36,7,FALSE))</f>
        <v>0.6782471220014803</v>
      </c>
      <c r="H15" s="50">
        <f t="shared" si="0"/>
        <v>2</v>
      </c>
      <c r="I15" s="300" t="s">
        <v>464</v>
      </c>
      <c r="J15" s="300" t="s">
        <v>477</v>
      </c>
      <c r="K15" s="300" t="s">
        <v>496</v>
      </c>
      <c r="L15" s="300" t="s">
        <v>519</v>
      </c>
      <c r="M15" s="300" t="s">
        <v>539</v>
      </c>
      <c r="N15" s="80">
        <f>VLOOKUP('Hide - Control'!B$3,'All practice data'!A:CA,A15+29,FALSE)</f>
        <v>0.6353493248134189</v>
      </c>
      <c r="O15" s="80">
        <f>VLOOKUP('Hide - Control'!C$3,'All practice data'!A:CA,A15+29,FALSE)</f>
        <v>0.5744521249276766</v>
      </c>
      <c r="P15" s="38">
        <f>VLOOKUP('Hide - Control'!$B$4,'All practice data'!B:BC,A15+2,FALSE)</f>
        <v>25454</v>
      </c>
      <c r="Q15" s="38">
        <f>VLOOKUP('Hide - Control'!$B$4,'All practice data'!B:BJ,60,FALSE)</f>
        <v>40063</v>
      </c>
      <c r="R15" s="38">
        <f t="shared" si="17"/>
        <v>0.6306232116720546</v>
      </c>
      <c r="S15" s="38">
        <f t="shared" si="18"/>
        <v>0.6400494834275262</v>
      </c>
      <c r="T15" s="53" t="str">
        <f t="shared" si="16"/>
        <v>0.680573</v>
      </c>
      <c r="U15" s="51" t="str">
        <f t="shared" si="1"/>
        <v>0.443966</v>
      </c>
      <c r="V15" s="7"/>
      <c r="W15" s="27" t="str">
        <f t="shared" si="2"/>
        <v>0.443966</v>
      </c>
      <c r="X15" s="27">
        <f t="shared" si="3"/>
        <v>0.817472</v>
      </c>
      <c r="Y15" s="27" t="str">
        <f t="shared" si="4"/>
        <v>0.443966</v>
      </c>
      <c r="Z15" s="27">
        <f t="shared" si="5"/>
        <v>0.817472</v>
      </c>
      <c r="AA15" s="32">
        <f t="shared" si="6"/>
        <v>0</v>
      </c>
      <c r="AB15" s="33">
        <f t="shared" si="7"/>
        <v>0.4405846224692509</v>
      </c>
      <c r="AC15" s="33">
        <v>0.5</v>
      </c>
      <c r="AD15" s="33">
        <f t="shared" si="8"/>
        <v>0.56030692947369</v>
      </c>
      <c r="AE15" s="33">
        <f t="shared" si="9"/>
        <v>0.6334757674575509</v>
      </c>
      <c r="AF15" s="33">
        <f t="shared" si="10"/>
        <v>-999</v>
      </c>
      <c r="AG15" s="33">
        <f t="shared" si="11"/>
        <v>0.56030692947369</v>
      </c>
      <c r="AH15" s="33">
        <f t="shared" si="12"/>
        <v>-999</v>
      </c>
      <c r="AI15" s="34">
        <f t="shared" si="13"/>
        <v>0.34935482944765706</v>
      </c>
      <c r="AJ15" s="4">
        <v>11.310014695494289</v>
      </c>
      <c r="AK15" s="32">
        <f t="shared" si="14"/>
        <v>-999</v>
      </c>
      <c r="AL15" s="34">
        <f t="shared" si="15"/>
        <v>-999</v>
      </c>
      <c r="AY15" s="103" t="s">
        <v>367</v>
      </c>
      <c r="AZ15" s="103" t="s">
        <v>562</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327</v>
      </c>
      <c r="E16" s="38">
        <f>IF(LEFT(VLOOKUP($B16,'Indicator chart'!$D$1:$J$36,5,FALSE),1)=" "," ",VLOOKUP($B16,'Indicator chart'!$D$1:$J$36,5,FALSE))</f>
        <v>0.614662</v>
      </c>
      <c r="F16" s="38">
        <f>IF(LEFT(VLOOKUP($B16,'Indicator chart'!$D$1:$J$36,6,FALSE),1)=" "," ",VLOOKUP($B16,'Indicator chart'!$D$1:$J$36,6,FALSE))</f>
        <v>0.5726238411444464</v>
      </c>
      <c r="G16" s="38">
        <f>IF(LEFT(VLOOKUP($B16,'Indicator chart'!$D$1:$J$36,7,FALSE),1)=" "," ",VLOOKUP($B16,'Indicator chart'!$D$1:$J$36,7,FALSE))</f>
        <v>0.6550553834622284</v>
      </c>
      <c r="H16" s="50">
        <f t="shared" si="0"/>
        <v>2</v>
      </c>
      <c r="I16" s="300" t="s">
        <v>465</v>
      </c>
      <c r="J16" s="300" t="s">
        <v>478</v>
      </c>
      <c r="K16" s="300" t="s">
        <v>497</v>
      </c>
      <c r="L16" s="300" t="s">
        <v>520</v>
      </c>
      <c r="M16" s="300" t="s">
        <v>540</v>
      </c>
      <c r="N16" s="80">
        <f>VLOOKUP('Hide - Control'!B$3,'All practice data'!A:CA,A16+29,FALSE)</f>
        <v>0.6150604617075852</v>
      </c>
      <c r="O16" s="80">
        <f>VLOOKUP('Hide - Control'!C$3,'All practice data'!A:CA,A16+29,FALSE)</f>
        <v>0.5565049054289257</v>
      </c>
      <c r="P16" s="38">
        <f>VLOOKUP('Hide - Control'!$B$4,'All practice data'!B:BC,A16+2,FALSE)</f>
        <v>10071</v>
      </c>
      <c r="Q16" s="38">
        <f>VLOOKUP('Hide - Control'!$B$4,'All practice data'!B:BJ,61,FALSE)</f>
        <v>16374</v>
      </c>
      <c r="R16" s="38">
        <f t="shared" si="17"/>
        <v>0.6075812515849294</v>
      </c>
      <c r="S16" s="38">
        <f t="shared" si="18"/>
        <v>0.6224856944771207</v>
      </c>
      <c r="T16" s="53" t="str">
        <f aca="true" t="shared" si="19" ref="T16:T31">IF($C16=1,M16,I16)</f>
        <v>0.675485</v>
      </c>
      <c r="U16" s="51" t="str">
        <f aca="true" t="shared" si="20" ref="U16:U31">IF($C16=1,I16,M16)</f>
        <v>0.414894</v>
      </c>
      <c r="V16" s="7"/>
      <c r="W16" s="27" t="str">
        <f t="shared" si="2"/>
        <v>0.414894</v>
      </c>
      <c r="X16" s="27">
        <f t="shared" si="3"/>
        <v>0.8144300000000001</v>
      </c>
      <c r="Y16" s="27" t="str">
        <f t="shared" si="4"/>
        <v>0.414894</v>
      </c>
      <c r="Z16" s="27">
        <f t="shared" si="5"/>
        <v>0.8144300000000001</v>
      </c>
      <c r="AA16" s="32">
        <f t="shared" si="6"/>
        <v>0</v>
      </c>
      <c r="AB16" s="33">
        <f t="shared" si="7"/>
        <v>0.4073375115133555</v>
      </c>
      <c r="AC16" s="33">
        <v>0.5</v>
      </c>
      <c r="AD16" s="33">
        <f t="shared" si="8"/>
        <v>0.5383544912098034</v>
      </c>
      <c r="AE16" s="33">
        <f t="shared" si="9"/>
        <v>0.6522340915461935</v>
      </c>
      <c r="AF16" s="33">
        <f t="shared" si="10"/>
        <v>-999</v>
      </c>
      <c r="AG16" s="33">
        <f t="shared" si="11"/>
        <v>0.5</v>
      </c>
      <c r="AH16" s="33">
        <f t="shared" si="12"/>
        <v>-999</v>
      </c>
      <c r="AI16" s="34">
        <f t="shared" si="13"/>
        <v>0.3544384121303855</v>
      </c>
      <c r="AJ16" s="4">
        <v>12.386010120876215</v>
      </c>
      <c r="AK16" s="32">
        <f t="shared" si="14"/>
        <v>-999</v>
      </c>
      <c r="AL16" s="34">
        <f t="shared" si="15"/>
        <v>-999</v>
      </c>
      <c r="AY16" s="103" t="s">
        <v>266</v>
      </c>
      <c r="AZ16" s="103" t="s">
        <v>563</v>
      </c>
      <c r="BA16" s="103" t="s">
        <v>89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286</v>
      </c>
      <c r="E17" s="38">
        <f>IF(LEFT(VLOOKUP($B17,'Indicator chart'!$D$1:$J$36,5,FALSE),1)=" "," ",VLOOKUP($B17,'Indicator chart'!$D$1:$J$36,5,FALSE))</f>
        <v>2946.6309499278796</v>
      </c>
      <c r="F17" s="38">
        <f>IF(LEFT(VLOOKUP($B17,'Indicator chart'!$D$1:$J$36,6,FALSE),1)=" "," ",VLOOKUP($B17,'Indicator chart'!$D$1:$J$36,6,FALSE))</f>
        <v>2614.9751105870682</v>
      </c>
      <c r="G17" s="38">
        <f>IF(LEFT(VLOOKUP($B17,'Indicator chart'!$D$1:$J$36,7,FALSE),1)=" "," ",VLOOKUP($B17,'Indicator chart'!$D$1:$J$36,7,FALSE))</f>
        <v>3308.6966331934027</v>
      </c>
      <c r="H17" s="50">
        <f t="shared" si="0"/>
        <v>3</v>
      </c>
      <c r="I17" s="300" t="s">
        <v>466</v>
      </c>
      <c r="J17" s="300" t="s">
        <v>479</v>
      </c>
      <c r="K17" s="300" t="s">
        <v>498</v>
      </c>
      <c r="L17" s="300" t="s">
        <v>521</v>
      </c>
      <c r="M17" s="300" t="s">
        <v>541</v>
      </c>
      <c r="N17" s="80">
        <f>VLOOKUP('Hide - Control'!B$3,'All practice data'!A:CA,A17+29,FALSE)</f>
        <v>2052.0301019500166</v>
      </c>
      <c r="O17" s="80">
        <f>VLOOKUP('Hide - Control'!C$3,'All practice data'!A:CA,A17+29,FALSE)</f>
        <v>1981.9429445600304</v>
      </c>
      <c r="P17" s="38">
        <f>VLOOKUP('Hide - Control'!$B$4,'All practice data'!B:BC,A17+2,FALSE)</f>
        <v>6457</v>
      </c>
      <c r="Q17" s="38">
        <f>VLOOKUP('Hide - Control'!$B$4,'All practice data'!B:BC,3,FALSE)</f>
        <v>314664</v>
      </c>
      <c r="R17" s="38">
        <f>100000*(P17*(1-1/(9*P17)-1.96/(3*SQRT(P17)))^3)/Q17</f>
        <v>2002.2793936868127</v>
      </c>
      <c r="S17" s="38">
        <f>100000*((P17+1)*(1-1/(9*(P17+1))+1.96/(3*SQRT(P17+1)))^3)/Q17</f>
        <v>2102.704513876056</v>
      </c>
      <c r="T17" s="53" t="str">
        <f t="shared" si="19"/>
        <v>3606.797897</v>
      </c>
      <c r="U17" s="51" t="str">
        <f t="shared" si="20"/>
        <v>500.8347245</v>
      </c>
      <c r="V17" s="7"/>
      <c r="W17" s="27">
        <f t="shared" si="2"/>
        <v>122.32111500000019</v>
      </c>
      <c r="X17" s="27" t="str">
        <f t="shared" si="3"/>
        <v>3606.797897</v>
      </c>
      <c r="Y17" s="27">
        <f t="shared" si="4"/>
        <v>122.32111500000019</v>
      </c>
      <c r="Z17" s="27" t="str">
        <f t="shared" si="5"/>
        <v>3606.797897</v>
      </c>
      <c r="AA17" s="32">
        <f t="shared" si="6"/>
        <v>0.10862853541034151</v>
      </c>
      <c r="AB17" s="33">
        <f t="shared" si="7"/>
        <v>0.41835660364575217</v>
      </c>
      <c r="AC17" s="33">
        <v>0.5</v>
      </c>
      <c r="AD17" s="33">
        <f t="shared" si="8"/>
        <v>0.7105064050904616</v>
      </c>
      <c r="AE17" s="33">
        <f t="shared" si="9"/>
        <v>1</v>
      </c>
      <c r="AF17" s="33">
        <f t="shared" si="10"/>
        <v>-999</v>
      </c>
      <c r="AG17" s="33">
        <f t="shared" si="11"/>
        <v>-999</v>
      </c>
      <c r="AH17" s="33">
        <f t="shared" si="12"/>
        <v>0.8105405808750427</v>
      </c>
      <c r="AI17" s="34">
        <f t="shared" si="13"/>
        <v>0.5336875364377246</v>
      </c>
      <c r="AJ17" s="4">
        <v>13.462005546258133</v>
      </c>
      <c r="AK17" s="32">
        <f t="shared" si="14"/>
        <v>-999</v>
      </c>
      <c r="AL17" s="34">
        <f t="shared" si="15"/>
        <v>0.8105405808750427</v>
      </c>
      <c r="AY17" s="103" t="s">
        <v>265</v>
      </c>
      <c r="AZ17" s="103" t="s">
        <v>564</v>
      </c>
      <c r="BA17" s="103" t="s">
        <v>89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286</v>
      </c>
      <c r="E18" s="80">
        <f>IF(LEFT(VLOOKUP($B18,'Indicator chart'!$D$1:$J$36,5,FALSE),1)=" "," ",VLOOKUP($B18,'Indicator chart'!$D$1:$J$36,5,FALSE))</f>
        <v>1.2818</v>
      </c>
      <c r="F18" s="81">
        <f>IF(LEFT(VLOOKUP($B18,'Indicator chart'!$D$1:$J$36,6,FALSE),1)=" "," ",VLOOKUP($B18,'Indicator chart'!$D$1:$J$36,6,FALSE))</f>
        <v>1.1376</v>
      </c>
      <c r="G18" s="38">
        <f>IF(LEFT(VLOOKUP($B18,'Indicator chart'!$D$1:$J$36,7,FALSE),1)=" "," ",VLOOKUP($B18,'Indicator chart'!$D$1:$J$36,7,FALSE))</f>
        <v>1.4393</v>
      </c>
      <c r="H18" s="50">
        <f>IF(LEFT(F18,1)=" ",4,IF(AND(ABS(N18-E18)&gt;SQRT((E18-G18)^2+(N18-R18)^2),E18&lt;N18),1,IF(AND(ABS(N18-E18)&gt;SQRT((E18-F18)^2+(N18-S18)^2),E18&gt;N18),3,2)))</f>
        <v>3</v>
      </c>
      <c r="I18" s="300" t="s">
        <v>467</v>
      </c>
      <c r="J18" s="300"/>
      <c r="K18" s="300" t="s">
        <v>213</v>
      </c>
      <c r="L18" s="300"/>
      <c r="M18" s="300" t="s">
        <v>542</v>
      </c>
      <c r="N18" s="80">
        <v>1</v>
      </c>
      <c r="O18" s="80">
        <f>VLOOKUP('Hide - Control'!C$3,'All practice data'!A:CA,A18+29,FALSE)</f>
        <v>1</v>
      </c>
      <c r="P18" s="38">
        <f>VLOOKUP('Hide - Control'!$B$4,'All practice data'!B:BC,A18+2,FALSE)</f>
        <v>6457</v>
      </c>
      <c r="Q18" s="38">
        <f>VLOOKUP('Hide - Control'!$B$4,'All practice data'!B:BC,14,FALSE)</f>
        <v>6457</v>
      </c>
      <c r="R18" s="81">
        <v>1</v>
      </c>
      <c r="S18" s="38">
        <v>1</v>
      </c>
      <c r="T18" s="53" t="str">
        <f t="shared" si="19"/>
        <v>1.6085</v>
      </c>
      <c r="U18" s="51" t="str">
        <f t="shared" si="20"/>
        <v>0.2615</v>
      </c>
      <c r="V18" s="7"/>
      <c r="W18" s="27" t="str">
        <f>IF((K18-I18)&gt;(M18-K18),I18,(K18-(M18-K18)))</f>
        <v>0.2615</v>
      </c>
      <c r="X18" s="27">
        <f t="shared" si="3"/>
        <v>1.7385</v>
      </c>
      <c r="Y18" s="27" t="str">
        <f t="shared" si="4"/>
        <v>0.2615</v>
      </c>
      <c r="Z18" s="27">
        <f t="shared" si="5"/>
        <v>1.7385</v>
      </c>
      <c r="AA18" s="32" t="s">
        <v>89</v>
      </c>
      <c r="AB18" s="33" t="s">
        <v>89</v>
      </c>
      <c r="AC18" s="33">
        <v>0.5</v>
      </c>
      <c r="AD18" s="33" t="s">
        <v>89</v>
      </c>
      <c r="AE18" s="33" t="s">
        <v>89</v>
      </c>
      <c r="AF18" s="33">
        <f t="shared" si="10"/>
        <v>-999</v>
      </c>
      <c r="AG18" s="33">
        <f t="shared" si="11"/>
        <v>-999</v>
      </c>
      <c r="AH18" s="33">
        <f t="shared" si="12"/>
        <v>0.6907921462423833</v>
      </c>
      <c r="AI18" s="34">
        <v>0.5</v>
      </c>
      <c r="AJ18" s="4">
        <v>14.538000971640056</v>
      </c>
      <c r="AK18" s="32">
        <f t="shared" si="14"/>
        <v>-999</v>
      </c>
      <c r="AL18" s="34">
        <f t="shared" si="15"/>
        <v>0.6907921462423833</v>
      </c>
      <c r="AY18" s="103" t="s">
        <v>271</v>
      </c>
      <c r="AZ18" s="103" t="s">
        <v>565</v>
      </c>
      <c r="BA18" s="103" t="s">
        <v>89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24</v>
      </c>
      <c r="E19" s="38">
        <f>IF(LEFT(VLOOKUP($B19,'Indicator chart'!$D$1:$J$36,5,FALSE),1)=" "," ",VLOOKUP($B19,'Indicator chart'!$D$1:$J$36,5,FALSE))</f>
        <v>0.08391608391608392</v>
      </c>
      <c r="F19" s="38">
        <f>IF(LEFT(VLOOKUP($B19,'Indicator chart'!$D$1:$J$36,6,FALSE),1)=" "," ",VLOOKUP($B19,'Indicator chart'!$D$1:$J$36,6,FALSE))</f>
        <v>0.0570377978413813</v>
      </c>
      <c r="G19" s="38">
        <f>IF(LEFT(VLOOKUP($B19,'Indicator chart'!$D$1:$J$36,7,FALSE),1)=" "," ",VLOOKUP($B19,'Indicator chart'!$D$1:$J$36,7,FALSE))</f>
        <v>0.12182403565663971</v>
      </c>
      <c r="H19" s="50">
        <f t="shared" si="0"/>
        <v>2</v>
      </c>
      <c r="I19" s="300" t="s">
        <v>442</v>
      </c>
      <c r="J19" s="300" t="s">
        <v>452</v>
      </c>
      <c r="K19" s="300" t="s">
        <v>499</v>
      </c>
      <c r="L19" s="300" t="s">
        <v>522</v>
      </c>
      <c r="M19" s="300" t="s">
        <v>450</v>
      </c>
      <c r="N19" s="80">
        <f>VLOOKUP('Hide - Control'!B$3,'All practice data'!A:CA,A19+29,FALSE)</f>
        <v>0.10422796964534614</v>
      </c>
      <c r="O19" s="80">
        <f>VLOOKUP('Hide - Control'!C$3,'All practice data'!A:CA,A19+29,FALSE)</f>
        <v>0.10567469035419712</v>
      </c>
      <c r="P19" s="38">
        <f>VLOOKUP('Hide - Control'!$B$4,'All practice data'!B:BC,A19+2,FALSE)</f>
        <v>673</v>
      </c>
      <c r="Q19" s="38">
        <f>VLOOKUP('Hide - Control'!$B$4,'All practice data'!B:BC,15,FALSE)</f>
        <v>6457</v>
      </c>
      <c r="R19" s="38">
        <f>+((2*P19+1.96^2-1.96*SQRT(1.96^2+4*P19*(1-P19/Q19)))/(2*(Q19+1.96^2)))</f>
        <v>0.09700878784055399</v>
      </c>
      <c r="S19" s="38">
        <f>+((2*P19+1.96^2+1.96*SQRT(1.96^2+4*P19*(1-P19/Q19)))/(2*(Q19+1.96^2)))</f>
        <v>0.11191780153752331</v>
      </c>
      <c r="T19" s="53" t="str">
        <f t="shared" si="19"/>
        <v>0.1875</v>
      </c>
      <c r="U19" s="51" t="str">
        <f t="shared" si="20"/>
        <v>0.0302492</v>
      </c>
      <c r="V19" s="7"/>
      <c r="W19" s="27">
        <f t="shared" si="2"/>
        <v>0.02083333400000001</v>
      </c>
      <c r="X19" s="27" t="str">
        <f t="shared" si="3"/>
        <v>0.1875</v>
      </c>
      <c r="Y19" s="27">
        <f t="shared" si="4"/>
        <v>0.02083333400000001</v>
      </c>
      <c r="Z19" s="27" t="str">
        <f t="shared" si="5"/>
        <v>0.1875</v>
      </c>
      <c r="AA19" s="32">
        <f t="shared" si="6"/>
        <v>0.05649519622598074</v>
      </c>
      <c r="AB19" s="33">
        <f t="shared" si="7"/>
        <v>0.3749999954999999</v>
      </c>
      <c r="AC19" s="33">
        <v>0.5</v>
      </c>
      <c r="AD19" s="33">
        <f t="shared" si="8"/>
        <v>0.6030334704121338</v>
      </c>
      <c r="AE19" s="33">
        <f t="shared" si="9"/>
        <v>1</v>
      </c>
      <c r="AF19" s="33">
        <f t="shared" si="10"/>
        <v>-999</v>
      </c>
      <c r="AG19" s="33">
        <f t="shared" si="11"/>
        <v>0.3784965010104895</v>
      </c>
      <c r="AH19" s="33">
        <f t="shared" si="12"/>
        <v>-999</v>
      </c>
      <c r="AI19" s="34">
        <f t="shared" si="13"/>
        <v>0.5090481401613752</v>
      </c>
      <c r="AJ19" s="4">
        <v>15.61399639702198</v>
      </c>
      <c r="AK19" s="32">
        <f t="shared" si="14"/>
        <v>-999</v>
      </c>
      <c r="AL19" s="34">
        <f t="shared" si="15"/>
        <v>-999</v>
      </c>
      <c r="AY19" s="103" t="s">
        <v>272</v>
      </c>
      <c r="AZ19" s="103" t="s">
        <v>566</v>
      </c>
      <c r="BA19" s="103" t="s">
        <v>89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42</v>
      </c>
      <c r="E20" s="38">
        <f>IF(LEFT(VLOOKUP($B20,'Indicator chart'!$D$1:$J$36,5,FALSE),1)=" "," ",VLOOKUP($B20,'Indicator chart'!$D$1:$J$36,5,FALSE))</f>
        <v>0.5714285714285714</v>
      </c>
      <c r="F20" s="38">
        <f>IF(LEFT(VLOOKUP($B20,'Indicator chart'!$D$1:$J$36,6,FALSE),1)=" "," ",VLOOKUP($B20,'Indicator chart'!$D$1:$J$36,6,FALSE))</f>
        <v>0.42205977911874476</v>
      </c>
      <c r="G20" s="38">
        <f>IF(LEFT(VLOOKUP($B20,'Indicator chart'!$D$1:$J$36,7,FALSE),1)=" "," ",VLOOKUP($B20,'Indicator chart'!$D$1:$J$36,7,FALSE))</f>
        <v>0.7088257048085178</v>
      </c>
      <c r="H20" s="50">
        <f t="shared" si="0"/>
        <v>2</v>
      </c>
      <c r="I20" s="300" t="s">
        <v>443</v>
      </c>
      <c r="J20" s="300" t="s">
        <v>455</v>
      </c>
      <c r="K20" s="300" t="s">
        <v>500</v>
      </c>
      <c r="L20" s="300" t="s">
        <v>523</v>
      </c>
      <c r="M20" s="300" t="s">
        <v>454</v>
      </c>
      <c r="N20" s="80">
        <f>VLOOKUP('Hide - Control'!B$3,'All practice data'!A:CA,A20+29,FALSE)</f>
        <v>0.447771124417831</v>
      </c>
      <c r="O20" s="80">
        <f>VLOOKUP('Hide - Control'!C$3,'All practice data'!A:CA,A20+29,FALSE)</f>
        <v>0.46478295325177904</v>
      </c>
      <c r="P20" s="38">
        <f>VLOOKUP('Hide - Control'!$B$4,'All practice data'!B:BC,A20+1,FALSE)</f>
        <v>673</v>
      </c>
      <c r="Q20" s="38">
        <f>VLOOKUP('Hide - Control'!$B$4,'All practice data'!B:BC,A20+2,FALSE)</f>
        <v>1503</v>
      </c>
      <c r="R20" s="38">
        <f>+((2*P20+1.96^2-1.96*SQRT(1.96^2+4*P20*(1-P20/Q20)))/(2*(Q20+1.96^2)))</f>
        <v>0.4227960558229157</v>
      </c>
      <c r="S20" s="38">
        <f>+((2*P20+1.96^2+1.96*SQRT(1.96^2+4*P20*(1-P20/Q20)))/(2*(Q20+1.96^2)))</f>
        <v>0.47301250162598935</v>
      </c>
      <c r="T20" s="53" t="str">
        <f t="shared" si="19"/>
        <v>0.659091</v>
      </c>
      <c r="U20" s="51" t="str">
        <f t="shared" si="20"/>
        <v>0.148231</v>
      </c>
      <c r="V20" s="7"/>
      <c r="W20" s="27" t="str">
        <f t="shared" si="2"/>
        <v>0.148231</v>
      </c>
      <c r="X20" s="27">
        <f t="shared" si="3"/>
        <v>0.675298412</v>
      </c>
      <c r="Y20" s="27" t="str">
        <f t="shared" si="4"/>
        <v>0.148231</v>
      </c>
      <c r="Z20" s="27">
        <f t="shared" si="5"/>
        <v>0.675298412</v>
      </c>
      <c r="AA20" s="32">
        <f t="shared" si="6"/>
        <v>0</v>
      </c>
      <c r="AB20" s="33">
        <f t="shared" si="7"/>
        <v>0.3883946746455272</v>
      </c>
      <c r="AC20" s="33">
        <v>0.5</v>
      </c>
      <c r="AD20" s="33">
        <f t="shared" si="8"/>
        <v>0.6147054714891006</v>
      </c>
      <c r="AE20" s="33">
        <f t="shared" si="9"/>
        <v>0.969249830987464</v>
      </c>
      <c r="AF20" s="33">
        <f t="shared" si="10"/>
        <v>-999</v>
      </c>
      <c r="AG20" s="33">
        <f t="shared" si="11"/>
        <v>0.8029287369953569</v>
      </c>
      <c r="AH20" s="33">
        <f t="shared" si="12"/>
        <v>-999</v>
      </c>
      <c r="AI20" s="34">
        <f t="shared" si="13"/>
        <v>0.6005910174764876</v>
      </c>
      <c r="AJ20" s="4">
        <v>16.689991822403904</v>
      </c>
      <c r="AK20" s="32">
        <f t="shared" si="14"/>
        <v>-999</v>
      </c>
      <c r="AL20" s="34">
        <f t="shared" si="15"/>
        <v>-999</v>
      </c>
      <c r="AY20" s="103" t="s">
        <v>274</v>
      </c>
      <c r="AZ20" s="103" t="s">
        <v>567</v>
      </c>
      <c r="BA20" s="103" t="s">
        <v>89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55</v>
      </c>
      <c r="E21" s="38">
        <f>IF(LEFT(VLOOKUP($B21,'Indicator chart'!$D$1:$J$36,5,FALSE),1)=" "," ",VLOOKUP($B21,'Indicator chart'!$D$1:$J$36,5,FALSE))</f>
        <v>566.6597980630538</v>
      </c>
      <c r="F21" s="38">
        <f>IF(LEFT(VLOOKUP($B21,'Indicator chart'!$D$1:$J$36,6,FALSE),1)=" "," ",VLOOKUP($B21,'Indicator chart'!$D$1:$J$36,6,FALSE))</f>
        <v>426.85560374211593</v>
      </c>
      <c r="G21" s="38">
        <f>IF(LEFT(VLOOKUP($B21,'Indicator chart'!$D$1:$J$36,7,FALSE),1)=" "," ",VLOOKUP($B21,'Indicator chart'!$D$1:$J$36,7,FALSE))</f>
        <v>737.6028965059376</v>
      </c>
      <c r="H21" s="50">
        <f t="shared" si="0"/>
        <v>2</v>
      </c>
      <c r="I21" s="300" t="s">
        <v>444</v>
      </c>
      <c r="J21" s="300" t="s">
        <v>480</v>
      </c>
      <c r="K21" s="300" t="s">
        <v>501</v>
      </c>
      <c r="L21" s="300" t="s">
        <v>524</v>
      </c>
      <c r="M21" s="300" t="s">
        <v>543</v>
      </c>
      <c r="N21" s="80">
        <f>VLOOKUP('Hide - Control'!B$3,'All practice data'!A:CA,A21+29,FALSE)</f>
        <v>481.7837439300333</v>
      </c>
      <c r="O21" s="80">
        <f>VLOOKUP('Hide - Control'!C$3,'All practice data'!A:CA,A21+29,FALSE)</f>
        <v>371.7205735004512</v>
      </c>
      <c r="P21" s="38">
        <f>VLOOKUP('Hide - Control'!$B$4,'All practice data'!B:BC,A21+2,FALSE)</f>
        <v>1516</v>
      </c>
      <c r="Q21" s="38">
        <f>VLOOKUP('Hide - Control'!$B$4,'All practice data'!B:BC,3,FALSE)</f>
        <v>314664</v>
      </c>
      <c r="R21" s="38">
        <f aca="true" t="shared" si="21" ref="R21:R27">100000*(P21*(1-1/(9*P21)-1.96/(3*SQRT(P21)))^3)/Q21</f>
        <v>457.83340285905706</v>
      </c>
      <c r="S21" s="38">
        <f aca="true" t="shared" si="22" ref="S21:S27">100000*((P21+1)*(1-1/(9*(P21+1))+1.96/(3*SQRT(P21+1)))^3)/Q21</f>
        <v>506.6618771812019</v>
      </c>
      <c r="T21" s="53" t="str">
        <f t="shared" si="19"/>
        <v>844.8950551</v>
      </c>
      <c r="U21" s="51" t="str">
        <f t="shared" si="20"/>
        <v>91.7192</v>
      </c>
      <c r="V21" s="7"/>
      <c r="W21" s="27">
        <f t="shared" si="2"/>
        <v>77.87765709999996</v>
      </c>
      <c r="X21" s="27" t="str">
        <f t="shared" si="3"/>
        <v>844.8950551</v>
      </c>
      <c r="Y21" s="27">
        <f t="shared" si="4"/>
        <v>77.87765709999996</v>
      </c>
      <c r="Z21" s="27" t="str">
        <f t="shared" si="5"/>
        <v>844.8950551</v>
      </c>
      <c r="AA21" s="32">
        <f t="shared" si="6"/>
        <v>0.018045930817334646</v>
      </c>
      <c r="AB21" s="33">
        <f t="shared" si="7"/>
        <v>0.35031114365935156</v>
      </c>
      <c r="AC21" s="33">
        <v>0.5</v>
      </c>
      <c r="AD21" s="33">
        <f t="shared" si="8"/>
        <v>0.6905921694621064</v>
      </c>
      <c r="AE21" s="33">
        <f t="shared" si="9"/>
        <v>1</v>
      </c>
      <c r="AF21" s="33">
        <f t="shared" si="10"/>
        <v>-999</v>
      </c>
      <c r="AG21" s="33">
        <f t="shared" si="11"/>
        <v>0.6372503964545714</v>
      </c>
      <c r="AH21" s="33">
        <f t="shared" si="12"/>
        <v>-999</v>
      </c>
      <c r="AI21" s="34">
        <f t="shared" si="13"/>
        <v>0.38309811115973047</v>
      </c>
      <c r="AJ21" s="4">
        <v>17.765987247785823</v>
      </c>
      <c r="AK21" s="32">
        <f t="shared" si="14"/>
        <v>-999</v>
      </c>
      <c r="AL21" s="34">
        <f t="shared" si="15"/>
        <v>-999</v>
      </c>
      <c r="AY21" s="103" t="s">
        <v>267</v>
      </c>
      <c r="AZ21" s="103" t="s">
        <v>568</v>
      </c>
      <c r="BA21" s="103" t="s">
        <v>89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56</v>
      </c>
      <c r="E22" s="38">
        <f>IF(LEFT(VLOOKUP($B22,'Indicator chart'!$D$1:$J$36,5,FALSE),1)=" "," ",VLOOKUP($B22,'Indicator chart'!$D$1:$J$36,5,FALSE))</f>
        <v>576.962703482382</v>
      </c>
      <c r="F22" s="38">
        <f>IF(LEFT(VLOOKUP($B22,'Indicator chart'!$D$1:$J$36,6,FALSE),1)=" "," ",VLOOKUP($B22,'Indicator chart'!$D$1:$J$36,6,FALSE))</f>
        <v>435.8015996305322</v>
      </c>
      <c r="G22" s="38">
        <f>IF(LEFT(VLOOKUP($B22,'Indicator chart'!$D$1:$J$36,7,FALSE),1)=" "," ",VLOOKUP($B22,'Indicator chart'!$D$1:$J$36,7,FALSE))</f>
        <v>749.251304582705</v>
      </c>
      <c r="H22" s="50">
        <f t="shared" si="0"/>
        <v>3</v>
      </c>
      <c r="I22" s="300" t="s">
        <v>434</v>
      </c>
      <c r="J22" s="300" t="s">
        <v>481</v>
      </c>
      <c r="K22" s="300" t="s">
        <v>502</v>
      </c>
      <c r="L22" s="300" t="s">
        <v>525</v>
      </c>
      <c r="M22" s="300" t="s">
        <v>544</v>
      </c>
      <c r="N22" s="80">
        <f>VLOOKUP('Hide - Control'!B$3,'All practice data'!A:CA,A22+29,FALSE)</f>
        <v>321.2950957211502</v>
      </c>
      <c r="O22" s="80">
        <f>VLOOKUP('Hide - Control'!C$3,'All practice data'!A:CA,A22+29,FALSE)</f>
        <v>335.00369307827617</v>
      </c>
      <c r="P22" s="38">
        <f>VLOOKUP('Hide - Control'!$B$4,'All practice data'!B:BC,A22+2,FALSE)</f>
        <v>1011</v>
      </c>
      <c r="Q22" s="38">
        <f>VLOOKUP('Hide - Control'!$B$4,'All practice data'!B:BC,3,FALSE)</f>
        <v>314664</v>
      </c>
      <c r="R22" s="38">
        <f t="shared" si="21"/>
        <v>301.7922036082362</v>
      </c>
      <c r="S22" s="38">
        <f t="shared" si="22"/>
        <v>341.7275533342912</v>
      </c>
      <c r="T22" s="53" t="str">
        <f t="shared" si="19"/>
        <v>709.1331459</v>
      </c>
      <c r="U22" s="51" t="str">
        <f t="shared" si="20"/>
        <v>46.7199</v>
      </c>
      <c r="V22" s="7"/>
      <c r="W22" s="27">
        <f t="shared" si="2"/>
        <v>-135.85665030000007</v>
      </c>
      <c r="X22" s="27" t="str">
        <f t="shared" si="3"/>
        <v>709.1331459</v>
      </c>
      <c r="Y22" s="27">
        <f t="shared" si="4"/>
        <v>-135.85665030000007</v>
      </c>
      <c r="Z22" s="27" t="str">
        <f t="shared" si="5"/>
        <v>709.1331459</v>
      </c>
      <c r="AA22" s="32">
        <f t="shared" si="6"/>
        <v>0.21606953258023265</v>
      </c>
      <c r="AB22" s="33">
        <f t="shared" si="7"/>
        <v>0.4441314287908557</v>
      </c>
      <c r="AC22" s="33">
        <v>0.5</v>
      </c>
      <c r="AD22" s="33">
        <f t="shared" si="8"/>
        <v>0.6133598719543923</v>
      </c>
      <c r="AE22" s="33">
        <f t="shared" si="9"/>
        <v>1</v>
      </c>
      <c r="AF22" s="33">
        <f t="shared" si="10"/>
        <v>-999</v>
      </c>
      <c r="AG22" s="33">
        <f t="shared" si="11"/>
        <v>-999</v>
      </c>
      <c r="AH22" s="33">
        <f t="shared" si="12"/>
        <v>0.8435833864361426</v>
      </c>
      <c r="AI22" s="34">
        <f t="shared" si="13"/>
        <v>0.5572379045235578</v>
      </c>
      <c r="AJ22" s="4">
        <v>18.841982673167745</v>
      </c>
      <c r="AK22" s="32">
        <f t="shared" si="14"/>
        <v>-999</v>
      </c>
      <c r="AL22" s="34">
        <f t="shared" si="15"/>
        <v>0.8435833864361426</v>
      </c>
      <c r="AY22" s="103" t="s">
        <v>276</v>
      </c>
      <c r="AZ22" s="103" t="s">
        <v>569</v>
      </c>
      <c r="BA22" s="103" t="s">
        <v>89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72.12033793529775</v>
      </c>
      <c r="F23" s="38">
        <f>IF(LEFT(VLOOKUP($B23,'Indicator chart'!$D$1:$J$36,6,FALSE),1)=" "," ",VLOOKUP($B23,'Indicator chart'!$D$1:$J$36,6,FALSE))</f>
        <v>28.893250572619188</v>
      </c>
      <c r="G23" s="38">
        <f>IF(LEFT(VLOOKUP($B23,'Indicator chart'!$D$1:$J$36,7,FALSE),1)=" "," ",VLOOKUP($B23,'Indicator chart'!$D$1:$J$36,7,FALSE))</f>
        <v>148.6030646846091</v>
      </c>
      <c r="H23" s="50">
        <f t="shared" si="0"/>
        <v>2</v>
      </c>
      <c r="I23" s="300" t="s">
        <v>435</v>
      </c>
      <c r="J23" s="300" t="s">
        <v>482</v>
      </c>
      <c r="K23" s="300" t="s">
        <v>503</v>
      </c>
      <c r="L23" s="300" t="s">
        <v>526</v>
      </c>
      <c r="M23" s="300" t="s">
        <v>545</v>
      </c>
      <c r="N23" s="80">
        <f>VLOOKUP('Hide - Control'!B$3,'All practice data'!A:CA,A23+29,FALSE)</f>
        <v>74.04723768845498</v>
      </c>
      <c r="O23" s="80">
        <f>VLOOKUP('Hide - Control'!C$3,'All practice data'!A:CA,A23+29,FALSE)</f>
        <v>77.58854188249504</v>
      </c>
      <c r="P23" s="38">
        <f>VLOOKUP('Hide - Control'!$B$4,'All practice data'!B:BC,A23+2,FALSE)</f>
        <v>233</v>
      </c>
      <c r="Q23" s="38">
        <f>VLOOKUP('Hide - Control'!$B$4,'All practice data'!B:BC,3,FALSE)</f>
        <v>314664</v>
      </c>
      <c r="R23" s="38">
        <f t="shared" si="21"/>
        <v>64.84342175610792</v>
      </c>
      <c r="S23" s="38">
        <f t="shared" si="22"/>
        <v>84.19099387552377</v>
      </c>
      <c r="T23" s="53" t="str">
        <f t="shared" si="19"/>
        <v>165.4259719</v>
      </c>
      <c r="U23" s="51" t="str">
        <f t="shared" si="20"/>
        <v>4.27442</v>
      </c>
      <c r="V23" s="7"/>
      <c r="W23" s="27">
        <f t="shared" si="2"/>
        <v>-33.13139598000001</v>
      </c>
      <c r="X23" s="27" t="str">
        <f t="shared" si="3"/>
        <v>165.4259719</v>
      </c>
      <c r="Y23" s="27">
        <f t="shared" si="4"/>
        <v>-33.13139598000001</v>
      </c>
      <c r="Z23" s="27" t="str">
        <f t="shared" si="5"/>
        <v>165.4259719</v>
      </c>
      <c r="AA23" s="32">
        <f t="shared" si="6"/>
        <v>0.18838795245617154</v>
      </c>
      <c r="AB23" s="33">
        <f t="shared" si="7"/>
        <v>0.34467607775381637</v>
      </c>
      <c r="AC23" s="33">
        <v>0.5</v>
      </c>
      <c r="AD23" s="33">
        <f t="shared" si="8"/>
        <v>0.5714932320143324</v>
      </c>
      <c r="AE23" s="33">
        <f t="shared" si="9"/>
        <v>1</v>
      </c>
      <c r="AF23" s="33">
        <f t="shared" si="10"/>
        <v>-999</v>
      </c>
      <c r="AG23" s="33">
        <f t="shared" si="11"/>
        <v>0.5300822378895939</v>
      </c>
      <c r="AH23" s="33">
        <f t="shared" si="12"/>
        <v>-999</v>
      </c>
      <c r="AI23" s="34">
        <f t="shared" si="13"/>
        <v>0.5576219056721665</v>
      </c>
      <c r="AJ23" s="4">
        <v>19.917978098549675</v>
      </c>
      <c r="AK23" s="32">
        <f t="shared" si="14"/>
        <v>-999</v>
      </c>
      <c r="AL23" s="34">
        <f t="shared" si="15"/>
        <v>-999</v>
      </c>
      <c r="AY23" s="103" t="s">
        <v>264</v>
      </c>
      <c r="AZ23" s="103" t="s">
        <v>570</v>
      </c>
      <c r="BA23" s="103" t="s">
        <v>89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60</v>
      </c>
      <c r="E24" s="38">
        <f>IF(LEFT(VLOOKUP($B24,'Indicator chart'!$D$1:$J$36,5,FALSE),1)=" "," ",VLOOKUP($B24,'Indicator chart'!$D$1:$J$36,5,FALSE))</f>
        <v>618.1743251596951</v>
      </c>
      <c r="F24" s="38">
        <f>IF(LEFT(VLOOKUP($B24,'Indicator chart'!$D$1:$J$36,6,FALSE),1)=" "," ",VLOOKUP($B24,'Indicator chart'!$D$1:$J$36,6,FALSE))</f>
        <v>471.703343923876</v>
      </c>
      <c r="G24" s="38">
        <f>IF(LEFT(VLOOKUP($B24,'Indicator chart'!$D$1:$J$36,7,FALSE),1)=" "," ",VLOOKUP($B24,'Indicator chart'!$D$1:$J$36,7,FALSE))</f>
        <v>795.7299933609744</v>
      </c>
      <c r="H24" s="50">
        <f t="shared" si="0"/>
        <v>3</v>
      </c>
      <c r="I24" s="300" t="s">
        <v>436</v>
      </c>
      <c r="J24" s="300" t="s">
        <v>483</v>
      </c>
      <c r="K24" s="300" t="s">
        <v>504</v>
      </c>
      <c r="L24" s="300" t="s">
        <v>527</v>
      </c>
      <c r="M24" s="300" t="s">
        <v>546</v>
      </c>
      <c r="N24" s="80">
        <f>VLOOKUP('Hide - Control'!B$3,'All practice data'!A:CA,A24+29,FALSE)</f>
        <v>347.99023720540004</v>
      </c>
      <c r="O24" s="80">
        <f>VLOOKUP('Hide - Control'!C$3,'All practice data'!A:CA,A24+29,FALSE)</f>
        <v>348.7732030109763</v>
      </c>
      <c r="P24" s="38">
        <f>VLOOKUP('Hide - Control'!$B$4,'All practice data'!B:BC,A24+2,FALSE)</f>
        <v>1095</v>
      </c>
      <c r="Q24" s="38">
        <f>VLOOKUP('Hide - Control'!$B$4,'All practice data'!B:BC,3,FALSE)</f>
        <v>314664</v>
      </c>
      <c r="R24" s="38">
        <f t="shared" si="21"/>
        <v>327.68092350073823</v>
      </c>
      <c r="S24" s="38">
        <f t="shared" si="22"/>
        <v>369.2287384738565</v>
      </c>
      <c r="T24" s="53" t="str">
        <f t="shared" si="19"/>
        <v>923.8451935</v>
      </c>
      <c r="U24" s="51" t="str">
        <f t="shared" si="20"/>
        <v>51.2058</v>
      </c>
      <c r="V24" s="7"/>
      <c r="W24" s="27">
        <f t="shared" si="2"/>
        <v>-369.3293551</v>
      </c>
      <c r="X24" s="27" t="str">
        <f t="shared" si="3"/>
        <v>923.8451935</v>
      </c>
      <c r="Y24" s="27">
        <f t="shared" si="4"/>
        <v>-369.3293551</v>
      </c>
      <c r="Z24" s="27" t="str">
        <f t="shared" si="5"/>
        <v>923.8451935</v>
      </c>
      <c r="AA24" s="32">
        <f t="shared" si="6"/>
        <v>0.32519597262045896</v>
      </c>
      <c r="AB24" s="33">
        <f t="shared" si="7"/>
        <v>0.42833841904766357</v>
      </c>
      <c r="AC24" s="33">
        <v>0.5</v>
      </c>
      <c r="AD24" s="33">
        <f t="shared" si="8"/>
        <v>0.632289720196864</v>
      </c>
      <c r="AE24" s="33">
        <f t="shared" si="9"/>
        <v>1</v>
      </c>
      <c r="AF24" s="33">
        <f t="shared" si="10"/>
        <v>-999</v>
      </c>
      <c r="AG24" s="33">
        <f t="shared" si="11"/>
        <v>-999</v>
      </c>
      <c r="AH24" s="33">
        <f t="shared" si="12"/>
        <v>0.7636275252469</v>
      </c>
      <c r="AI24" s="34">
        <f t="shared" si="13"/>
        <v>0.5553021120686293</v>
      </c>
      <c r="AJ24" s="4">
        <v>20.99397352393159</v>
      </c>
      <c r="AK24" s="32">
        <f t="shared" si="14"/>
        <v>-999</v>
      </c>
      <c r="AL24" s="34">
        <f t="shared" si="15"/>
        <v>0.7636275252469</v>
      </c>
      <c r="AY24" s="103" t="s">
        <v>252</v>
      </c>
      <c r="AZ24" s="103" t="s">
        <v>571</v>
      </c>
      <c r="BA24" s="103" t="s">
        <v>89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329.69297341850404</v>
      </c>
      <c r="F25" s="38">
        <f>IF(LEFT(VLOOKUP($B25,'Indicator chart'!$D$1:$J$36,6,FALSE),1)=" "," ",VLOOKUP($B25,'Indicator chart'!$D$1:$J$36,6,FALSE))</f>
        <v>225.46919248212672</v>
      </c>
      <c r="G25" s="38">
        <f>IF(LEFT(VLOOKUP($B25,'Indicator chart'!$D$1:$J$36,7,FALSE),1)=" "," ",VLOOKUP($B25,'Indicator chart'!$D$1:$J$36,7,FALSE))</f>
        <v>465.44616513761594</v>
      </c>
      <c r="H25" s="50">
        <f t="shared" si="0"/>
        <v>2</v>
      </c>
      <c r="I25" s="300" t="s">
        <v>468</v>
      </c>
      <c r="J25" s="300" t="s">
        <v>484</v>
      </c>
      <c r="K25" s="300" t="s">
        <v>505</v>
      </c>
      <c r="L25" s="300" t="s">
        <v>528</v>
      </c>
      <c r="M25" s="300" t="s">
        <v>547</v>
      </c>
      <c r="N25" s="80">
        <f>VLOOKUP('Hide - Control'!B$3,'All practice data'!A:CA,A25+29,FALSE)</f>
        <v>404.876312511123</v>
      </c>
      <c r="O25" s="80">
        <f>VLOOKUP('Hide - Control'!C$3,'All practice data'!A:CA,A25+29,FALSE)</f>
        <v>623.2878522577265</v>
      </c>
      <c r="P25" s="38">
        <f>VLOOKUP('Hide - Control'!$B$4,'All practice data'!B:BC,A25+2,FALSE)</f>
        <v>1274</v>
      </c>
      <c r="Q25" s="38">
        <f>VLOOKUP('Hide - Control'!$B$4,'All practice data'!B:BC,3,FALSE)</f>
        <v>314664</v>
      </c>
      <c r="R25" s="38">
        <f t="shared" si="21"/>
        <v>382.94592291410225</v>
      </c>
      <c r="S25" s="38">
        <f t="shared" si="22"/>
        <v>427.7352123408372</v>
      </c>
      <c r="T25" s="53" t="str">
        <f t="shared" si="19"/>
        <v>832.0597725</v>
      </c>
      <c r="U25" s="51" t="str">
        <f t="shared" si="20"/>
        <v>263.6493464</v>
      </c>
      <c r="V25" s="7"/>
      <c r="W25" s="27">
        <f t="shared" si="2"/>
        <v>-0.2860149000000547</v>
      </c>
      <c r="X25" s="27" t="str">
        <f t="shared" si="3"/>
        <v>832.0597725</v>
      </c>
      <c r="Y25" s="27">
        <f t="shared" si="4"/>
        <v>-0.2860149000000547</v>
      </c>
      <c r="Z25" s="27" t="str">
        <f t="shared" si="5"/>
        <v>832.0597725</v>
      </c>
      <c r="AA25" s="32">
        <f t="shared" si="6"/>
        <v>0.31709821242017144</v>
      </c>
      <c r="AB25" s="33">
        <f t="shared" si="7"/>
        <v>0.40306765911313847</v>
      </c>
      <c r="AC25" s="33">
        <v>0.5</v>
      </c>
      <c r="AD25" s="33">
        <f t="shared" si="8"/>
        <v>0.5652764244409991</v>
      </c>
      <c r="AE25" s="33">
        <f t="shared" si="9"/>
        <v>1</v>
      </c>
      <c r="AF25" s="33">
        <f t="shared" si="10"/>
        <v>-999</v>
      </c>
      <c r="AG25" s="33">
        <f t="shared" si="11"/>
        <v>0.39644459467892545</v>
      </c>
      <c r="AH25" s="33">
        <f t="shared" si="12"/>
        <v>-999</v>
      </c>
      <c r="AI25" s="34">
        <f t="shared" si="13"/>
        <v>0.7491764559842193</v>
      </c>
      <c r="AJ25" s="4">
        <v>22.06996894931352</v>
      </c>
      <c r="AK25" s="32">
        <f t="shared" si="14"/>
        <v>-999</v>
      </c>
      <c r="AL25" s="34">
        <f t="shared" si="15"/>
        <v>-999</v>
      </c>
      <c r="AY25" s="103" t="s">
        <v>277</v>
      </c>
      <c r="AZ25" s="103" t="s">
        <v>572</v>
      </c>
      <c r="BA25" s="103" t="s">
        <v>89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68</v>
      </c>
      <c r="E26" s="38">
        <f>IF(LEFT(VLOOKUP($B26,'Indicator chart'!$D$1:$J$36,5,FALSE),1)=" "," ",VLOOKUP($B26,'Indicator chart'!$D$1:$J$36,5,FALSE))</f>
        <v>700.597568514321</v>
      </c>
      <c r="F26" s="38">
        <f>IF(LEFT(VLOOKUP($B26,'Indicator chart'!$D$1:$J$36,6,FALSE),1)=" "," ",VLOOKUP($B26,'Indicator chart'!$D$1:$J$36,6,FALSE))</f>
        <v>544.0143776406688</v>
      </c>
      <c r="G26" s="38">
        <f>IF(LEFT(VLOOKUP($B26,'Indicator chart'!$D$1:$J$36,7,FALSE),1)=" "," ",VLOOKUP($B26,'Indicator chart'!$D$1:$J$36,7,FALSE))</f>
        <v>888.1911899876583</v>
      </c>
      <c r="H26" s="50">
        <f t="shared" si="0"/>
        <v>2</v>
      </c>
      <c r="I26" s="300" t="s">
        <v>445</v>
      </c>
      <c r="J26" s="300" t="s">
        <v>485</v>
      </c>
      <c r="K26" s="300" t="s">
        <v>506</v>
      </c>
      <c r="L26" s="300" t="s">
        <v>529</v>
      </c>
      <c r="M26" s="300" t="s">
        <v>548</v>
      </c>
      <c r="N26" s="80">
        <f>VLOOKUP('Hide - Control'!B$3,'All practice data'!A:CA,A26+29,FALSE)</f>
        <v>574.8989398215239</v>
      </c>
      <c r="O26" s="80">
        <f>VLOOKUP('Hide - Control'!C$3,'All practice data'!A:CA,A26+29,FALSE)</f>
        <v>432.5467854266958</v>
      </c>
      <c r="P26" s="38">
        <f>VLOOKUP('Hide - Control'!$B$4,'All practice data'!B:BC,A26+2,FALSE)</f>
        <v>1809</v>
      </c>
      <c r="Q26" s="38">
        <f>VLOOKUP('Hide - Control'!$B$4,'All practice data'!B:BC,3,FALSE)</f>
        <v>314664</v>
      </c>
      <c r="R26" s="38">
        <f t="shared" si="21"/>
        <v>548.7082849437319</v>
      </c>
      <c r="S26" s="38">
        <f t="shared" si="22"/>
        <v>602.0167178526099</v>
      </c>
      <c r="T26" s="53" t="str">
        <f t="shared" si="19"/>
        <v>832.2929671</v>
      </c>
      <c r="U26" s="51" t="str">
        <f t="shared" si="20"/>
        <v>156.947</v>
      </c>
      <c r="V26" s="7"/>
      <c r="W26" s="27" t="str">
        <f t="shared" si="2"/>
        <v>156.947</v>
      </c>
      <c r="X26" s="27">
        <f t="shared" si="3"/>
        <v>1007.5042798000001</v>
      </c>
      <c r="Y26" s="27" t="str">
        <f t="shared" si="4"/>
        <v>156.947</v>
      </c>
      <c r="Z26" s="27">
        <f t="shared" si="5"/>
        <v>1007.5042798000001</v>
      </c>
      <c r="AA26" s="32">
        <f t="shared" si="6"/>
        <v>0</v>
      </c>
      <c r="AB26" s="33">
        <f t="shared" si="7"/>
        <v>0.3891086041587013</v>
      </c>
      <c r="AC26" s="33">
        <v>0.5</v>
      </c>
      <c r="AD26" s="33">
        <f t="shared" si="8"/>
        <v>0.6041662440662823</v>
      </c>
      <c r="AE26" s="33">
        <f t="shared" si="9"/>
        <v>0.7940040995931524</v>
      </c>
      <c r="AF26" s="33">
        <f t="shared" si="10"/>
        <v>-999</v>
      </c>
      <c r="AG26" s="33">
        <f t="shared" si="11"/>
        <v>0.6391698494922704</v>
      </c>
      <c r="AH26" s="33">
        <f t="shared" si="12"/>
        <v>-999</v>
      </c>
      <c r="AI26" s="34">
        <f t="shared" si="13"/>
        <v>0.3240226049108654</v>
      </c>
      <c r="AJ26" s="4">
        <v>23.145964374695435</v>
      </c>
      <c r="AK26" s="32">
        <f t="shared" si="14"/>
        <v>-999</v>
      </c>
      <c r="AL26" s="34">
        <f t="shared" si="15"/>
        <v>-999</v>
      </c>
      <c r="AY26" s="103" t="s">
        <v>269</v>
      </c>
      <c r="AZ26" s="103" t="s">
        <v>573</v>
      </c>
      <c r="BA26" s="103" t="s">
        <v>89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114</v>
      </c>
      <c r="E27" s="38">
        <f>IF(LEFT(VLOOKUP($B27,'Indicator chart'!$D$1:$J$36,5,FALSE),1)=" "," ",VLOOKUP($B27,'Indicator chart'!$D$1:$J$36,5,FALSE))</f>
        <v>1174.5312178034205</v>
      </c>
      <c r="F27" s="38">
        <f>IF(LEFT(VLOOKUP($B27,'Indicator chart'!$D$1:$J$36,6,FALSE),1)=" "," ",VLOOKUP($B27,'Indicator chart'!$D$1:$J$36,6,FALSE))</f>
        <v>968.8219475681074</v>
      </c>
      <c r="G27" s="38">
        <f>IF(LEFT(VLOOKUP($B27,'Indicator chart'!$D$1:$J$36,7,FALSE),1)=" "," ",VLOOKUP($B27,'Indicator chart'!$D$1:$J$36,7,FALSE))</f>
        <v>1410.9865225793435</v>
      </c>
      <c r="H27" s="50">
        <f t="shared" si="0"/>
        <v>3</v>
      </c>
      <c r="I27" s="300" t="s">
        <v>469</v>
      </c>
      <c r="J27" s="300" t="s">
        <v>486</v>
      </c>
      <c r="K27" s="300" t="s">
        <v>507</v>
      </c>
      <c r="L27" s="300" t="s">
        <v>530</v>
      </c>
      <c r="M27" s="300" t="s">
        <v>549</v>
      </c>
      <c r="N27" s="80">
        <f>VLOOKUP('Hide - Control'!B$3,'All practice data'!A:CA,A27+29,FALSE)</f>
        <v>945.1351282637988</v>
      </c>
      <c r="O27" s="80">
        <f>VLOOKUP('Hide - Control'!C$3,'All practice data'!A:CA,A27+29,FALSE)</f>
        <v>1003.4847591501348</v>
      </c>
      <c r="P27" s="38">
        <f>VLOOKUP('Hide - Control'!$B$4,'All practice data'!B:BC,A27+2,FALSE)</f>
        <v>2974</v>
      </c>
      <c r="Q27" s="38">
        <f>VLOOKUP('Hide - Control'!$B$4,'All practice data'!B:BC,3,FALSE)</f>
        <v>314664</v>
      </c>
      <c r="R27" s="38">
        <f t="shared" si="21"/>
        <v>911.4683051317082</v>
      </c>
      <c r="S27" s="38">
        <f t="shared" si="22"/>
        <v>979.7274778363853</v>
      </c>
      <c r="T27" s="53" t="str">
        <f t="shared" si="19"/>
        <v>1479.398459</v>
      </c>
      <c r="U27" s="51" t="str">
        <f t="shared" si="20"/>
        <v>459.0984975</v>
      </c>
      <c r="V27" s="7"/>
      <c r="W27" s="27">
        <f t="shared" si="2"/>
        <v>405.95539140000005</v>
      </c>
      <c r="X27" s="27" t="str">
        <f t="shared" si="3"/>
        <v>1479.398459</v>
      </c>
      <c r="Y27" s="27">
        <f t="shared" si="4"/>
        <v>405.95539140000005</v>
      </c>
      <c r="Z27" s="27" t="str">
        <f t="shared" si="5"/>
        <v>1479.398459</v>
      </c>
      <c r="AA27" s="32">
        <f t="shared" si="6"/>
        <v>0.04950714919498909</v>
      </c>
      <c r="AB27" s="33">
        <f t="shared" si="7"/>
        <v>0.33212536757734235</v>
      </c>
      <c r="AC27" s="33">
        <v>0.5</v>
      </c>
      <c r="AD27" s="33">
        <f t="shared" si="8"/>
        <v>0.6876824024309345</v>
      </c>
      <c r="AE27" s="33">
        <f t="shared" si="9"/>
        <v>1</v>
      </c>
      <c r="AF27" s="33">
        <f t="shared" si="10"/>
        <v>-999</v>
      </c>
      <c r="AG27" s="33">
        <f t="shared" si="11"/>
        <v>-999</v>
      </c>
      <c r="AH27" s="33">
        <f t="shared" si="12"/>
        <v>0.7159912338171781</v>
      </c>
      <c r="AI27" s="34">
        <f t="shared" si="13"/>
        <v>0.5566474699828177</v>
      </c>
      <c r="AJ27" s="4">
        <v>24.221959800077364</v>
      </c>
      <c r="AK27" s="32">
        <f t="shared" si="14"/>
        <v>-999</v>
      </c>
      <c r="AL27" s="34">
        <f t="shared" si="15"/>
        <v>0.7159912338171781</v>
      </c>
      <c r="AY27" s="103" t="s">
        <v>255</v>
      </c>
      <c r="AZ27" s="103" t="s">
        <v>574</v>
      </c>
      <c r="BA27" s="103" t="s">
        <v>89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69</v>
      </c>
      <c r="E28" s="38">
        <f>IF(LEFT(VLOOKUP($B28,'Indicator chart'!$D$1:$J$36,5,FALSE),1)=" "," ",VLOOKUP($B28,'Indicator chart'!$D$1:$J$36,5,FALSE))</f>
        <v>710.9004739336493</v>
      </c>
      <c r="F28" s="38">
        <f>IF(LEFT(VLOOKUP($B28,'Indicator chart'!$D$1:$J$36,6,FALSE),1)=" "," ",VLOOKUP($B28,'Indicator chart'!$D$1:$J$36,6,FALSE))</f>
        <v>553.0961463007382</v>
      </c>
      <c r="G28" s="38">
        <f>IF(LEFT(VLOOKUP($B28,'Indicator chart'!$D$1:$J$36,7,FALSE),1)=" "," ",VLOOKUP($B28,'Indicator chart'!$D$1:$J$36,7,FALSE))</f>
        <v>899.7068489837843</v>
      </c>
      <c r="H28" s="50">
        <f t="shared" si="0"/>
        <v>2</v>
      </c>
      <c r="I28" s="300" t="s">
        <v>469</v>
      </c>
      <c r="J28" s="300" t="s">
        <v>487</v>
      </c>
      <c r="K28" s="300" t="s">
        <v>508</v>
      </c>
      <c r="L28" s="300" t="s">
        <v>531</v>
      </c>
      <c r="M28" s="300" t="s">
        <v>550</v>
      </c>
      <c r="N28" s="80">
        <f>VLOOKUP('Hide - Control'!B$3,'All practice data'!A:CA,A28+29,FALSE)</f>
        <v>677.8659141179163</v>
      </c>
      <c r="O28" s="80">
        <f>VLOOKUP('Hide - Control'!C$3,'All practice data'!A:CA,A28+29,FALSE)</f>
        <v>586.9262672471904</v>
      </c>
      <c r="P28" s="38">
        <f>VLOOKUP('Hide - Control'!$B$4,'All practice data'!B:BC,A28+2,FALSE)</f>
        <v>2133</v>
      </c>
      <c r="Q28" s="38">
        <f>VLOOKUP('Hide - Control'!$B$4,'All practice data'!B:BC,3,FALSE)</f>
        <v>314664</v>
      </c>
      <c r="R28" s="38">
        <f>100000*(P28*(1-1/(9*P28)-1.96/(3*SQRT(P28)))^3)/Q28</f>
        <v>649.4003424577126</v>
      </c>
      <c r="S28" s="38">
        <f>100000*((P28+1)*(1-1/(9*(P28+1))+1.96/(3*SQRT(P28+1)))^3)/Q28</f>
        <v>707.2580356627624</v>
      </c>
      <c r="T28" s="53" t="str">
        <f t="shared" si="19"/>
        <v>1085.023123</v>
      </c>
      <c r="U28" s="51" t="str">
        <f t="shared" si="20"/>
        <v>459.0984975</v>
      </c>
      <c r="V28" s="7"/>
      <c r="W28" s="27">
        <f t="shared" si="2"/>
        <v>174.71498399999996</v>
      </c>
      <c r="X28" s="27" t="str">
        <f t="shared" si="3"/>
        <v>1085.023123</v>
      </c>
      <c r="Y28" s="27">
        <f t="shared" si="4"/>
        <v>174.71498399999996</v>
      </c>
      <c r="Z28" s="27" t="str">
        <f t="shared" si="5"/>
        <v>1085.023123</v>
      </c>
      <c r="AA28" s="32">
        <f t="shared" si="6"/>
        <v>0.31240357118239503</v>
      </c>
      <c r="AB28" s="33">
        <f t="shared" si="7"/>
        <v>0.41246970076799466</v>
      </c>
      <c r="AC28" s="33">
        <v>0.5</v>
      </c>
      <c r="AD28" s="33">
        <f t="shared" si="8"/>
        <v>0.6689867414225109</v>
      </c>
      <c r="AE28" s="33">
        <f t="shared" si="9"/>
        <v>1</v>
      </c>
      <c r="AF28" s="33">
        <f t="shared" si="10"/>
        <v>-999</v>
      </c>
      <c r="AG28" s="33">
        <f t="shared" si="11"/>
        <v>0.5890153750824031</v>
      </c>
      <c r="AH28" s="33">
        <f t="shared" si="12"/>
        <v>-999</v>
      </c>
      <c r="AI28" s="34">
        <f t="shared" si="13"/>
        <v>0.4528260987537874</v>
      </c>
      <c r="AJ28" s="4">
        <v>25.297955225459287</v>
      </c>
      <c r="AK28" s="32">
        <f t="shared" si="14"/>
        <v>-999</v>
      </c>
      <c r="AL28" s="34">
        <f t="shared" si="15"/>
        <v>-999</v>
      </c>
      <c r="AY28" s="103" t="s">
        <v>278</v>
      </c>
      <c r="AZ28" s="103" t="s">
        <v>575</v>
      </c>
      <c r="BA28" s="103" t="s">
        <v>89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0.2653061224489796</v>
      </c>
      <c r="F29" s="38">
        <f>IF(LEFT(VLOOKUP($B29,'Indicator chart'!$D$1:$J$36,6,FALSE),1)=" "," ",VLOOKUP($B29,'Indicator chart'!$D$1:$J$36,6,FALSE))</f>
        <v>0.1621113124514944</v>
      </c>
      <c r="G29" s="38">
        <f>IF(LEFT(VLOOKUP($B29,'Indicator chart'!$D$1:$J$36,7,FALSE),1)=" "," ",VLOOKUP($B29,'Indicator chart'!$D$1:$J$36,7,FALSE))</f>
        <v>0.40262556152658346</v>
      </c>
      <c r="H29" s="50">
        <f t="shared" si="0"/>
        <v>2</v>
      </c>
      <c r="I29" s="300" t="s">
        <v>437</v>
      </c>
      <c r="J29" s="300" t="s">
        <v>488</v>
      </c>
      <c r="K29" s="300" t="s">
        <v>509</v>
      </c>
      <c r="L29" s="300" t="s">
        <v>511</v>
      </c>
      <c r="M29" s="300" t="s">
        <v>458</v>
      </c>
      <c r="N29" s="80">
        <f>VLOOKUP('Hide - Control'!B$3,'All practice data'!A:CA,A29+29,FALSE)</f>
        <v>0.24671445639187575</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1674</v>
      </c>
      <c r="R29" s="38">
        <f>+((2*P29+1.96^2-1.96*SQRT(1.96^2+4*P29*(1-P29/Q29)))/(2*(Q29+1.96^2)))</f>
        <v>0.22665820304983508</v>
      </c>
      <c r="S29" s="38">
        <f>+((2*P29+1.96^2+1.96*SQRT(1.96^2+4*P29*(1-P29/Q29)))/(2*(Q29+1.96^2)))</f>
        <v>0.26793055908361063</v>
      </c>
      <c r="T29" s="53" t="str">
        <f t="shared" si="19"/>
        <v>0.454545</v>
      </c>
      <c r="U29" s="51" t="str">
        <f t="shared" si="20"/>
        <v>0.0350981</v>
      </c>
      <c r="V29" s="7"/>
      <c r="W29" s="27" t="str">
        <f t="shared" si="2"/>
        <v>0.0350981</v>
      </c>
      <c r="X29" s="27">
        <f t="shared" si="3"/>
        <v>0.474705822</v>
      </c>
      <c r="Y29" s="27" t="str">
        <f t="shared" si="4"/>
        <v>0.0350981</v>
      </c>
      <c r="Z29" s="27">
        <f t="shared" si="5"/>
        <v>0.474705822</v>
      </c>
      <c r="AA29" s="32">
        <f t="shared" si="6"/>
        <v>0</v>
      </c>
      <c r="AB29" s="33">
        <f t="shared" si="7"/>
        <v>0.39079944096159447</v>
      </c>
      <c r="AC29" s="33">
        <v>0.5</v>
      </c>
      <c r="AD29" s="33">
        <f t="shared" si="8"/>
        <v>0.641424290085605</v>
      </c>
      <c r="AE29" s="33">
        <f t="shared" si="9"/>
        <v>0.9541390630986232</v>
      </c>
      <c r="AF29" s="33">
        <f t="shared" si="10"/>
        <v>-999</v>
      </c>
      <c r="AG29" s="33">
        <f t="shared" si="11"/>
        <v>0.5236669215036664</v>
      </c>
      <c r="AH29" s="33">
        <f t="shared" si="12"/>
        <v>-999</v>
      </c>
      <c r="AI29" s="34">
        <f t="shared" si="13"/>
        <v>0.45974790581028263</v>
      </c>
      <c r="AJ29" s="4">
        <v>26.373950650841206</v>
      </c>
      <c r="AK29" s="32">
        <f t="shared" si="14"/>
        <v>-999</v>
      </c>
      <c r="AL29" s="34">
        <f t="shared" si="15"/>
        <v>-999</v>
      </c>
      <c r="AY29" s="103" t="s">
        <v>219</v>
      </c>
      <c r="AZ29" s="103" t="s">
        <v>576</v>
      </c>
      <c r="BA29" s="103" t="s">
        <v>89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20</v>
      </c>
      <c r="E30" s="38">
        <f>IF(LEFT(VLOOKUP($B30,'Indicator chart'!$D$1:$J$36,5,FALSE),1)=" "," ",VLOOKUP($B30,'Indicator chart'!$D$1:$J$36,5,FALSE))</f>
        <v>0.40816326530612246</v>
      </c>
      <c r="F30" s="38">
        <f>IF(LEFT(VLOOKUP($B30,'Indicator chart'!$D$1:$J$36,6,FALSE),1)=" "," ",VLOOKUP($B30,'Indicator chart'!$D$1:$J$36,6,FALSE))</f>
        <v>0.2821503460597105</v>
      </c>
      <c r="G30" s="38">
        <f>IF(LEFT(VLOOKUP($B30,'Indicator chart'!$D$1:$J$36,7,FALSE),1)=" "," ",VLOOKUP($B30,'Indicator chart'!$D$1:$J$36,7,FALSE))</f>
        <v>0.5475293002795374</v>
      </c>
      <c r="H30" s="50">
        <f t="shared" si="0"/>
        <v>2</v>
      </c>
      <c r="I30" s="300" t="s">
        <v>438</v>
      </c>
      <c r="J30" s="300" t="s">
        <v>457</v>
      </c>
      <c r="K30" s="300" t="s">
        <v>510</v>
      </c>
      <c r="L30" s="300" t="s">
        <v>532</v>
      </c>
      <c r="M30" s="300" t="s">
        <v>447</v>
      </c>
      <c r="N30" s="80">
        <f>VLOOKUP('Hide - Control'!B$3,'All practice data'!A:CA,A30+29,FALSE)</f>
        <v>0.4324970131421744</v>
      </c>
      <c r="O30" s="80">
        <f>VLOOKUP('Hide - Control'!C$3,'All practice data'!A:CA,A30+29,FALSE)</f>
        <v>0.4919047132195072</v>
      </c>
      <c r="P30" s="38">
        <f>VLOOKUP('Hide - Control'!$B$4,'All practice data'!B:BC,A30+2,FALSE)</f>
        <v>724</v>
      </c>
      <c r="Q30" s="38">
        <f>VLOOKUP('Hide - Control'!$B$4,'All practice data'!B:BC,26,FALSE)+VLOOKUP('Hide - Control'!$B$4,'All practice data'!B:BC,27,FALSE)+VLOOKUP('Hide - Control'!$B$4,'All practice data'!B:BC,28,FALSE)</f>
        <v>1674</v>
      </c>
      <c r="R30" s="38">
        <f>+((2*P30+1.96^2-1.96*SQRT(1.96^2+4*P30*(1-P30/Q30)))/(2*(Q30+1.96^2)))</f>
        <v>0.4089451769222741</v>
      </c>
      <c r="S30" s="38">
        <f>+((2*P30+1.96^2+1.96*SQRT(1.96^2+4*P30*(1-P30/Q30)))/(2*(Q30+1.96^2)))</f>
        <v>0.45635796015574326</v>
      </c>
      <c r="T30" s="53" t="str">
        <f t="shared" si="19"/>
        <v>0.62963</v>
      </c>
      <c r="U30" s="51" t="str">
        <f t="shared" si="20"/>
        <v>0.178051</v>
      </c>
      <c r="V30" s="7"/>
      <c r="W30" s="27" t="str">
        <f t="shared" si="2"/>
        <v>0.178051</v>
      </c>
      <c r="X30" s="27">
        <f t="shared" si="3"/>
        <v>0.674408016</v>
      </c>
      <c r="Y30" s="27" t="str">
        <f t="shared" si="4"/>
        <v>0.178051</v>
      </c>
      <c r="Z30" s="27">
        <f t="shared" si="5"/>
        <v>0.674408016</v>
      </c>
      <c r="AA30" s="32">
        <f t="shared" si="6"/>
        <v>0</v>
      </c>
      <c r="AB30" s="33">
        <f t="shared" si="7"/>
        <v>0.37836205180184257</v>
      </c>
      <c r="AC30" s="33">
        <v>0.5</v>
      </c>
      <c r="AD30" s="33">
        <f t="shared" si="8"/>
        <v>0.6035191008562272</v>
      </c>
      <c r="AE30" s="33">
        <f t="shared" si="9"/>
        <v>0.909786676612626</v>
      </c>
      <c r="AF30" s="33">
        <f t="shared" si="10"/>
        <v>-999</v>
      </c>
      <c r="AG30" s="33">
        <f t="shared" si="11"/>
        <v>0.4636023222972282</v>
      </c>
      <c r="AH30" s="33">
        <f t="shared" si="12"/>
        <v>-999</v>
      </c>
      <c r="AI30" s="34">
        <f t="shared" si="13"/>
        <v>0.6323144492824236</v>
      </c>
      <c r="AJ30" s="4">
        <v>27.44994607622313</v>
      </c>
      <c r="AK30" s="32">
        <f t="shared" si="14"/>
        <v>-999</v>
      </c>
      <c r="AL30" s="34">
        <f t="shared" si="15"/>
        <v>-999</v>
      </c>
      <c r="AY30" s="103" t="s">
        <v>259</v>
      </c>
      <c r="AZ30" s="103" t="s">
        <v>577</v>
      </c>
      <c r="BA30" s="103" t="s">
        <v>89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16</v>
      </c>
      <c r="E31" s="38">
        <f>IF(LEFT(VLOOKUP($B31,'Indicator chart'!$D$1:$J$39,5,FALSE),1)=" "," ",VLOOKUP($B31,'Indicator chart'!$D$1:$J$39,5,FALSE))</f>
        <v>0.32653061224489793</v>
      </c>
      <c r="F31" s="38">
        <f>IF(LEFT(VLOOKUP($B31,'Indicator chart'!$D$1:$J$39,6,FALSE),1)=" "," ",VLOOKUP($B31,'Indicator chart'!$D$1:$J$39,6,FALSE))</f>
        <v>0.21207321329264217</v>
      </c>
      <c r="G31" s="38">
        <f>IF(LEFT(VLOOKUP($B31,'Indicator chart'!$D$1:$J$39,7,FALSE),1)=" "," ",VLOOKUP($B31,'Indicator chart'!$D$1:$J$39,7,FALSE))</f>
        <v>0.4662105631259371</v>
      </c>
      <c r="H31" s="50">
        <f t="shared" si="0"/>
        <v>2</v>
      </c>
      <c r="I31" s="300" t="s">
        <v>439</v>
      </c>
      <c r="J31" s="300" t="s">
        <v>453</v>
      </c>
      <c r="K31" s="300" t="s">
        <v>511</v>
      </c>
      <c r="L31" s="300" t="s">
        <v>533</v>
      </c>
      <c r="M31" s="300" t="s">
        <v>551</v>
      </c>
      <c r="N31" s="80">
        <f>VLOOKUP('Hide - Control'!B$3,'All practice data'!A:CA,A31+29,FALSE)</f>
        <v>0.3207885304659498</v>
      </c>
      <c r="O31" s="80">
        <f>VLOOKUP('Hide - Control'!C$3,'All practice data'!A:CA,A31+29,FALSE)</f>
        <v>0.2708884572129639</v>
      </c>
      <c r="P31" s="38">
        <f>VLOOKUP('Hide - Control'!$B$4,'All practice data'!B:BC,A31+2,FALSE)</f>
        <v>537</v>
      </c>
      <c r="Q31" s="38">
        <f>VLOOKUP('Hide - Control'!$B$4,'All practice data'!B:BC,26,FALSE)+VLOOKUP('Hide - Control'!$B$4,'All practice data'!B:BC,27,FALSE)+VLOOKUP('Hide - Control'!$B$4,'All practice data'!B:BC,28,FALSE)</f>
        <v>1674</v>
      </c>
      <c r="R31" s="38">
        <f>+((2*P31+1.96^2-1.96*SQRT(1.96^2+4*P31*(1-P31/Q31)))/(2*(Q31+1.96^2)))</f>
        <v>0.2988597485778709</v>
      </c>
      <c r="S31" s="38">
        <f>+((2*P31+1.96^2+1.96*SQRT(1.96^2+4*P31*(1-P31/Q31)))/(2*(Q31+1.96^2)))</f>
        <v>0.3435379604788124</v>
      </c>
      <c r="T31" s="53" t="str">
        <f t="shared" si="19"/>
        <v>0.547619</v>
      </c>
      <c r="U31" s="51" t="str">
        <f t="shared" si="20"/>
        <v>0.0521808</v>
      </c>
      <c r="V31" s="7"/>
      <c r="W31" s="27" t="str">
        <f t="shared" si="2"/>
        <v>0.0521808</v>
      </c>
      <c r="X31" s="27">
        <f t="shared" si="3"/>
        <v>0.581965542</v>
      </c>
      <c r="Y31" s="27" t="str">
        <f t="shared" si="4"/>
        <v>0.0521808</v>
      </c>
      <c r="Z31" s="27">
        <f t="shared" si="5"/>
        <v>0.581965542</v>
      </c>
      <c r="AA31" s="32">
        <f t="shared" si="6"/>
        <v>0</v>
      </c>
      <c r="AB31" s="33">
        <f t="shared" si="7"/>
        <v>0.40969463971463344</v>
      </c>
      <c r="AC31" s="33">
        <v>0.5</v>
      </c>
      <c r="AD31" s="33">
        <f t="shared" si="8"/>
        <v>0.614583532116899</v>
      </c>
      <c r="AE31" s="33">
        <f t="shared" si="9"/>
        <v>0.9351688727947548</v>
      </c>
      <c r="AF31" s="33">
        <f>IF(E31=" ",-999,IF(H31=4,(E31-$Y31)/($Z31-$Y31),-999))</f>
        <v>-999</v>
      </c>
      <c r="AG31" s="33">
        <f t="shared" si="11"/>
        <v>0.5178514790916685</v>
      </c>
      <c r="AH31" s="33">
        <f t="shared" si="12"/>
        <v>-999</v>
      </c>
      <c r="AI31" s="34">
        <f t="shared" si="13"/>
        <v>0.412823624152173</v>
      </c>
      <c r="AJ31" s="4">
        <v>28.525941501605054</v>
      </c>
      <c r="AK31" s="32">
        <f t="shared" si="14"/>
        <v>-999</v>
      </c>
      <c r="AL31" s="34">
        <f t="shared" si="15"/>
        <v>-999</v>
      </c>
      <c r="AY31" s="103" t="s">
        <v>263</v>
      </c>
      <c r="AZ31" s="103" t="s">
        <v>578</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273</v>
      </c>
      <c r="AZ32" s="103" t="s">
        <v>579</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275</v>
      </c>
      <c r="AZ33" s="103" t="s">
        <v>580</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251</v>
      </c>
      <c r="AZ34" s="103" t="s">
        <v>581</v>
      </c>
      <c r="BA34" s="103" t="s">
        <v>89</v>
      </c>
      <c r="BB34" s="298">
        <v>174182</v>
      </c>
      <c r="BE34" s="77"/>
      <c r="BF34" s="250"/>
    </row>
    <row r="35" spans="2:58" ht="12.75">
      <c r="B35" s="17" t="s">
        <v>41</v>
      </c>
      <c r="C35" s="18"/>
      <c r="H35" s="287" t="s">
        <v>214</v>
      </c>
      <c r="I35" s="288"/>
      <c r="Y35" s="43"/>
      <c r="Z35" s="44"/>
      <c r="AA35" s="44"/>
      <c r="AB35" s="43"/>
      <c r="AC35" s="43"/>
      <c r="AY35" s="103" t="s">
        <v>260</v>
      </c>
      <c r="AZ35" s="103" t="s">
        <v>582</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261</v>
      </c>
      <c r="AZ36" s="103" t="s">
        <v>583</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279</v>
      </c>
      <c r="AZ37" s="103" t="s">
        <v>584</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258</v>
      </c>
      <c r="AZ38" s="103" t="s">
        <v>585</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280</v>
      </c>
      <c r="AZ39" s="103" t="s">
        <v>586</v>
      </c>
      <c r="BA39" s="103" t="s">
        <v>89</v>
      </c>
      <c r="BB39" s="298">
        <v>240654</v>
      </c>
      <c r="BE39" s="70"/>
      <c r="BF39" s="238"/>
    </row>
    <row r="40" spans="1:58" ht="12.75">
      <c r="A40" s="3"/>
      <c r="B40" s="71"/>
      <c r="C40" s="3"/>
      <c r="T40" s="13"/>
      <c r="U40" s="2"/>
      <c r="W40" s="2"/>
      <c r="X40" s="10"/>
      <c r="Y40" s="44"/>
      <c r="Z40" s="44"/>
      <c r="AA40" s="44"/>
      <c r="AB40" s="44"/>
      <c r="AC40" s="44"/>
      <c r="AD40" s="2"/>
      <c r="AE40" s="2"/>
      <c r="AY40" s="103" t="s">
        <v>281</v>
      </c>
      <c r="AZ40" s="103" t="s">
        <v>587</v>
      </c>
      <c r="BA40" s="103" t="s">
        <v>89</v>
      </c>
      <c r="BB40" s="298">
        <v>231440</v>
      </c>
      <c r="BF40" s="249"/>
    </row>
    <row r="41" spans="1:58" ht="12.75">
      <c r="A41" s="3"/>
      <c r="B41" s="71"/>
      <c r="C41" s="3"/>
      <c r="T41" s="13"/>
      <c r="U41" s="2"/>
      <c r="W41" s="2"/>
      <c r="X41" s="10"/>
      <c r="Y41" s="44"/>
      <c r="Z41" s="44"/>
      <c r="AA41" s="44"/>
      <c r="AB41" s="44"/>
      <c r="AC41" s="44"/>
      <c r="AD41" s="2"/>
      <c r="AE41" s="2"/>
      <c r="AY41" s="103" t="s">
        <v>256</v>
      </c>
      <c r="AZ41" s="103" t="s">
        <v>588</v>
      </c>
      <c r="BA41" s="103" t="s">
        <v>89</v>
      </c>
      <c r="BB41" s="298">
        <v>102110</v>
      </c>
      <c r="BE41" s="70"/>
      <c r="BF41" s="238"/>
    </row>
    <row r="42" spans="1:58" ht="12.75">
      <c r="A42" s="3"/>
      <c r="B42" s="45"/>
      <c r="C42" s="3"/>
      <c r="T42" s="13"/>
      <c r="U42" s="2"/>
      <c r="W42" s="2"/>
      <c r="X42" s="10"/>
      <c r="Y42" s="44"/>
      <c r="Z42" s="44"/>
      <c r="AA42" s="44"/>
      <c r="AB42" s="44"/>
      <c r="AC42" s="44"/>
      <c r="AD42" s="2"/>
      <c r="AE42" s="2"/>
      <c r="AY42" s="103" t="s">
        <v>254</v>
      </c>
      <c r="AZ42" s="103" t="s">
        <v>589</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253</v>
      </c>
      <c r="AZ43" s="103" t="s">
        <v>590</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268</v>
      </c>
      <c r="AZ44" s="103" t="s">
        <v>591</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282</v>
      </c>
      <c r="AZ45" s="103" t="s">
        <v>592</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270</v>
      </c>
      <c r="AZ46" s="103" t="s">
        <v>593</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371</v>
      </c>
      <c r="AZ47" s="103" t="s">
        <v>594</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317</v>
      </c>
      <c r="AZ48" s="103" t="s">
        <v>595</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389</v>
      </c>
      <c r="AZ49" s="103" t="s">
        <v>596</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328</v>
      </c>
      <c r="AZ50" s="103" t="s">
        <v>597</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350</v>
      </c>
      <c r="AZ51" s="103" t="s">
        <v>598</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341</v>
      </c>
      <c r="AZ52" s="103" t="s">
        <v>599</v>
      </c>
      <c r="BA52" s="103" t="s">
        <v>89</v>
      </c>
      <c r="BB52" s="298">
        <v>201657</v>
      </c>
      <c r="BF52" s="249"/>
    </row>
    <row r="53" spans="1:58" ht="12.75">
      <c r="A53" s="3"/>
      <c r="B53" s="12"/>
      <c r="C53" s="3"/>
      <c r="I53" s="11"/>
      <c r="J53" s="11"/>
      <c r="K53" s="11"/>
      <c r="L53" s="11"/>
      <c r="S53" s="11"/>
      <c r="U53" s="2"/>
      <c r="X53" s="2"/>
      <c r="Y53" s="2"/>
      <c r="Z53" s="2"/>
      <c r="AA53" s="2"/>
      <c r="AB53" s="2"/>
      <c r="AY53" s="103" t="s">
        <v>373</v>
      </c>
      <c r="AZ53" s="103" t="s">
        <v>600</v>
      </c>
      <c r="BA53" s="103" t="s">
        <v>89</v>
      </c>
      <c r="BB53" s="298">
        <v>118636</v>
      </c>
      <c r="BF53" s="249"/>
    </row>
    <row r="54" spans="1:58" ht="12.75">
      <c r="A54" s="3"/>
      <c r="B54" s="12"/>
      <c r="C54" s="3"/>
      <c r="I54" s="11"/>
      <c r="J54" s="11"/>
      <c r="K54" s="11"/>
      <c r="L54" s="11"/>
      <c r="S54" s="11"/>
      <c r="U54" s="2"/>
      <c r="X54" s="2"/>
      <c r="Y54" s="2"/>
      <c r="Z54" s="2"/>
      <c r="AA54" s="2"/>
      <c r="AB54" s="2"/>
      <c r="AY54" s="103" t="s">
        <v>393</v>
      </c>
      <c r="AZ54" s="103" t="s">
        <v>601</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353</v>
      </c>
      <c r="AZ55" s="103" t="s">
        <v>602</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374</v>
      </c>
      <c r="AZ56" s="103" t="s">
        <v>603</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375</v>
      </c>
      <c r="AZ57" s="103" t="s">
        <v>604</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372</v>
      </c>
      <c r="AZ58" s="103" t="s">
        <v>605</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370</v>
      </c>
      <c r="AZ59" s="103" t="s">
        <v>606</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324</v>
      </c>
      <c r="AZ60" s="103" t="s">
        <v>607</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284</v>
      </c>
      <c r="AZ61" s="103" t="s">
        <v>608</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357</v>
      </c>
      <c r="AZ62" s="103" t="s">
        <v>609</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339</v>
      </c>
      <c r="AZ63" s="103" t="s">
        <v>610</v>
      </c>
      <c r="BA63" s="103" t="s">
        <v>89</v>
      </c>
      <c r="BB63" s="298">
        <v>185008</v>
      </c>
      <c r="BE63" s="70"/>
      <c r="BF63" s="236"/>
    </row>
    <row r="64" spans="1:58" ht="12.75">
      <c r="A64" s="3"/>
      <c r="B64" s="12"/>
      <c r="C64" s="3"/>
      <c r="I64" s="11"/>
      <c r="V64" s="3"/>
      <c r="AY64" s="103" t="s">
        <v>368</v>
      </c>
      <c r="AZ64" s="103" t="s">
        <v>611</v>
      </c>
      <c r="BA64" s="103" t="s">
        <v>89</v>
      </c>
      <c r="BB64" s="298">
        <v>166721</v>
      </c>
      <c r="BE64" s="70"/>
      <c r="BF64" s="238"/>
    </row>
    <row r="65" spans="1:58" ht="12.75">
      <c r="A65" s="3"/>
      <c r="B65" s="12"/>
      <c r="C65" s="3"/>
      <c r="AY65" s="103" t="s">
        <v>352</v>
      </c>
      <c r="AZ65" s="103" t="s">
        <v>612</v>
      </c>
      <c r="BA65" s="103" t="s">
        <v>89</v>
      </c>
      <c r="BB65" s="298">
        <v>254708</v>
      </c>
      <c r="BE65" s="70"/>
      <c r="BF65" s="238"/>
    </row>
    <row r="66" spans="1:58" ht="12.75">
      <c r="A66" s="3"/>
      <c r="B66" s="12"/>
      <c r="C66" s="3"/>
      <c r="E66" s="2"/>
      <c r="F66" s="2"/>
      <c r="G66" s="2"/>
      <c r="V66" s="2"/>
      <c r="AY66" s="103" t="s">
        <v>355</v>
      </c>
      <c r="AZ66" s="103" t="s">
        <v>613</v>
      </c>
      <c r="BA66" s="103" t="s">
        <v>89</v>
      </c>
      <c r="BB66" s="298">
        <v>118017</v>
      </c>
      <c r="BE66" s="70"/>
      <c r="BF66" s="236"/>
    </row>
    <row r="67" spans="1:58" ht="12.75">
      <c r="A67" s="3"/>
      <c r="B67" s="12"/>
      <c r="C67" s="3"/>
      <c r="AY67" s="103" t="s">
        <v>349</v>
      </c>
      <c r="AZ67" s="103" t="s">
        <v>614</v>
      </c>
      <c r="BA67" s="103" t="s">
        <v>89</v>
      </c>
      <c r="BB67" s="298">
        <v>565185</v>
      </c>
      <c r="BE67" s="70"/>
      <c r="BF67" s="236"/>
    </row>
    <row r="68" spans="1:58" ht="12.75">
      <c r="A68" s="3"/>
      <c r="B68" s="12"/>
      <c r="C68" s="3"/>
      <c r="AY68" s="103" t="s">
        <v>369</v>
      </c>
      <c r="AZ68" s="103" t="s">
        <v>615</v>
      </c>
      <c r="BA68" s="103" t="s">
        <v>89</v>
      </c>
      <c r="BB68" s="298">
        <v>339389</v>
      </c>
      <c r="BF68" s="249"/>
    </row>
    <row r="69" spans="1:58" ht="12.75">
      <c r="A69" s="3"/>
      <c r="B69" s="12"/>
      <c r="C69" s="3"/>
      <c r="AY69" s="103" t="s">
        <v>376</v>
      </c>
      <c r="AZ69" s="103" t="s">
        <v>616</v>
      </c>
      <c r="BA69" s="103" t="s">
        <v>89</v>
      </c>
      <c r="BB69" s="298">
        <v>352792</v>
      </c>
      <c r="BE69" s="70"/>
      <c r="BF69" s="238"/>
    </row>
    <row r="70" spans="1:58" ht="12.75">
      <c r="A70" s="3"/>
      <c r="B70" s="12"/>
      <c r="C70" s="3"/>
      <c r="AY70" s="103" t="s">
        <v>388</v>
      </c>
      <c r="AZ70" s="103" t="s">
        <v>617</v>
      </c>
      <c r="BA70" s="103" t="s">
        <v>89</v>
      </c>
      <c r="BB70" s="298">
        <v>241613</v>
      </c>
      <c r="BE70" s="70"/>
      <c r="BF70" s="236"/>
    </row>
    <row r="71" spans="1:58" ht="12.75">
      <c r="A71" s="3"/>
      <c r="B71" s="12"/>
      <c r="C71" s="3"/>
      <c r="AY71" s="103" t="s">
        <v>431</v>
      </c>
      <c r="AZ71" s="103" t="s">
        <v>618</v>
      </c>
      <c r="BA71" s="103" t="s">
        <v>89</v>
      </c>
      <c r="BB71" s="298">
        <v>67686</v>
      </c>
      <c r="BE71" s="70"/>
      <c r="BF71" s="236"/>
    </row>
    <row r="72" spans="1:58" ht="12.75">
      <c r="A72" s="3"/>
      <c r="B72" s="12"/>
      <c r="C72" s="3"/>
      <c r="AY72" s="103" t="s">
        <v>379</v>
      </c>
      <c r="AZ72" s="103" t="s">
        <v>619</v>
      </c>
      <c r="BA72" s="103" t="s">
        <v>89</v>
      </c>
      <c r="BB72" s="298">
        <v>314664</v>
      </c>
      <c r="BE72" s="247"/>
      <c r="BF72" s="236"/>
    </row>
    <row r="73" spans="1:58" ht="12.75">
      <c r="A73" s="3"/>
      <c r="B73" s="12"/>
      <c r="C73" s="3"/>
      <c r="AY73" s="103" t="s">
        <v>351</v>
      </c>
      <c r="AZ73" s="103" t="s">
        <v>620</v>
      </c>
      <c r="BA73" s="103" t="s">
        <v>89</v>
      </c>
      <c r="BB73" s="298">
        <v>97292</v>
      </c>
      <c r="BE73" s="70"/>
      <c r="BF73" s="236"/>
    </row>
    <row r="74" spans="1:58" ht="12.75">
      <c r="A74" s="3"/>
      <c r="B74" s="12"/>
      <c r="C74" s="3"/>
      <c r="AY74" s="103" t="s">
        <v>378</v>
      </c>
      <c r="AZ74" s="103" t="s">
        <v>621</v>
      </c>
      <c r="BA74" s="103" t="s">
        <v>89</v>
      </c>
      <c r="BB74" s="298">
        <v>102317</v>
      </c>
      <c r="BE74" s="70"/>
      <c r="BF74" s="238"/>
    </row>
    <row r="75" spans="1:58" ht="12.75">
      <c r="A75" s="3"/>
      <c r="B75" s="12"/>
      <c r="C75" s="3"/>
      <c r="AY75" s="103" t="s">
        <v>296</v>
      </c>
      <c r="AZ75" s="103" t="s">
        <v>622</v>
      </c>
      <c r="BA75" s="103" t="s">
        <v>89</v>
      </c>
      <c r="BB75" s="298">
        <v>371595</v>
      </c>
      <c r="BE75" s="70"/>
      <c r="BF75" s="238"/>
    </row>
    <row r="76" spans="1:58" ht="12.75">
      <c r="A76" s="3"/>
      <c r="B76" s="12"/>
      <c r="C76" s="3"/>
      <c r="AY76" s="103" t="s">
        <v>386</v>
      </c>
      <c r="AZ76" s="103" t="s">
        <v>623</v>
      </c>
      <c r="BA76" s="103" t="s">
        <v>89</v>
      </c>
      <c r="BB76" s="298">
        <v>226047</v>
      </c>
      <c r="BE76" s="70"/>
      <c r="BF76" s="238"/>
    </row>
    <row r="77" spans="1:58" ht="12.75">
      <c r="A77" s="3"/>
      <c r="B77" s="12"/>
      <c r="C77" s="3"/>
      <c r="AY77" s="103" t="s">
        <v>343</v>
      </c>
      <c r="AZ77" s="103" t="s">
        <v>624</v>
      </c>
      <c r="BA77" s="103" t="s">
        <v>89</v>
      </c>
      <c r="BB77" s="298">
        <v>183762</v>
      </c>
      <c r="BE77" s="70"/>
      <c r="BF77" s="246"/>
    </row>
    <row r="78" spans="1:58" ht="12.75">
      <c r="A78" s="3"/>
      <c r="B78" s="12"/>
      <c r="C78" s="3"/>
      <c r="AY78" s="103" t="s">
        <v>361</v>
      </c>
      <c r="AZ78" s="103" t="s">
        <v>625</v>
      </c>
      <c r="BA78" s="103" t="s">
        <v>89</v>
      </c>
      <c r="BB78" s="298">
        <v>265437</v>
      </c>
      <c r="BE78" s="70"/>
      <c r="BF78" s="236"/>
    </row>
    <row r="79" spans="1:58" ht="12.75">
      <c r="A79" s="3"/>
      <c r="B79" s="12"/>
      <c r="C79" s="3"/>
      <c r="AY79" s="103" t="s">
        <v>286</v>
      </c>
      <c r="AZ79" s="103" t="s">
        <v>626</v>
      </c>
      <c r="BA79" s="103" t="s">
        <v>89</v>
      </c>
      <c r="BB79" s="298">
        <v>628635</v>
      </c>
      <c r="BF79" s="236"/>
    </row>
    <row r="80" spans="1:58" ht="12.75">
      <c r="A80" s="3"/>
      <c r="B80" s="12"/>
      <c r="C80" s="3"/>
      <c r="AY80" s="103" t="s">
        <v>392</v>
      </c>
      <c r="AZ80" s="103" t="s">
        <v>627</v>
      </c>
      <c r="BA80" s="103" t="s">
        <v>89</v>
      </c>
      <c r="BB80" s="298">
        <v>128014</v>
      </c>
      <c r="BF80" s="249"/>
    </row>
    <row r="81" spans="1:58" ht="12.75">
      <c r="A81" s="3"/>
      <c r="B81" s="12"/>
      <c r="C81" s="3"/>
      <c r="AY81" s="103" t="s">
        <v>377</v>
      </c>
      <c r="AZ81" s="103" t="s">
        <v>628</v>
      </c>
      <c r="BA81" s="103" t="s">
        <v>89</v>
      </c>
      <c r="BB81" s="298">
        <v>262238</v>
      </c>
      <c r="BF81" s="249"/>
    </row>
    <row r="82" spans="1:58" ht="12.75">
      <c r="A82" s="3"/>
      <c r="B82" s="12"/>
      <c r="C82" s="3"/>
      <c r="AY82" s="103" t="s">
        <v>391</v>
      </c>
      <c r="AZ82" s="103" t="s">
        <v>629</v>
      </c>
      <c r="BA82" s="103" t="s">
        <v>89</v>
      </c>
      <c r="BB82" s="298">
        <v>342743</v>
      </c>
      <c r="BF82" s="249"/>
    </row>
    <row r="83" spans="1:58" ht="12.75">
      <c r="A83" s="3"/>
      <c r="B83" s="12"/>
      <c r="C83" s="3"/>
      <c r="AY83" s="103" t="s">
        <v>285</v>
      </c>
      <c r="AZ83" s="103" t="s">
        <v>630</v>
      </c>
      <c r="BA83" s="103" t="s">
        <v>89</v>
      </c>
      <c r="BB83" s="298">
        <v>144732</v>
      </c>
      <c r="BE83" s="70"/>
      <c r="BF83" s="238"/>
    </row>
    <row r="84" spans="1:58" ht="12.75">
      <c r="A84" s="3"/>
      <c r="B84" s="12"/>
      <c r="C84" s="3"/>
      <c r="AY84" s="103" t="s">
        <v>390</v>
      </c>
      <c r="AZ84" s="103" t="s">
        <v>631</v>
      </c>
      <c r="BA84" s="103" t="s">
        <v>89</v>
      </c>
      <c r="BB84" s="298">
        <v>93461</v>
      </c>
      <c r="BE84" s="70"/>
      <c r="BF84" s="238"/>
    </row>
    <row r="85" spans="1:58" ht="12.75">
      <c r="A85" s="3"/>
      <c r="B85" s="12"/>
      <c r="C85" s="3"/>
      <c r="AY85" s="103" t="s">
        <v>383</v>
      </c>
      <c r="AZ85" s="103" t="s">
        <v>632</v>
      </c>
      <c r="BA85" s="103" t="s">
        <v>89</v>
      </c>
      <c r="BB85" s="298">
        <v>121763</v>
      </c>
      <c r="BE85" s="70"/>
      <c r="BF85" s="238"/>
    </row>
    <row r="86" spans="1:58" ht="12.75">
      <c r="A86" s="3"/>
      <c r="B86" s="12"/>
      <c r="C86" s="3"/>
      <c r="AY86" s="103" t="s">
        <v>335</v>
      </c>
      <c r="AZ86" s="103" t="s">
        <v>633</v>
      </c>
      <c r="BA86" s="103" t="s">
        <v>89</v>
      </c>
      <c r="BB86" s="298">
        <v>129209</v>
      </c>
      <c r="BE86" s="70"/>
      <c r="BF86" s="246"/>
    </row>
    <row r="87" spans="1:58" ht="12.75">
      <c r="A87" s="3"/>
      <c r="B87" s="12"/>
      <c r="C87" s="3"/>
      <c r="AY87" s="103" t="s">
        <v>338</v>
      </c>
      <c r="AZ87" s="103" t="s">
        <v>634</v>
      </c>
      <c r="BA87" s="103" t="s">
        <v>89</v>
      </c>
      <c r="BB87" s="298">
        <v>522776</v>
      </c>
      <c r="BE87" s="70"/>
      <c r="BF87" s="246"/>
    </row>
    <row r="88" spans="1:58" ht="12.75">
      <c r="A88" s="3"/>
      <c r="B88" s="12"/>
      <c r="C88" s="3"/>
      <c r="AY88" s="103" t="s">
        <v>307</v>
      </c>
      <c r="AZ88" s="103" t="s">
        <v>635</v>
      </c>
      <c r="BA88" s="103" t="s">
        <v>89</v>
      </c>
      <c r="BB88" s="298">
        <v>368905</v>
      </c>
      <c r="BE88" s="70"/>
      <c r="BF88" s="238"/>
    </row>
    <row r="89" spans="1:58" ht="12.75">
      <c r="A89" s="3"/>
      <c r="B89" s="12"/>
      <c r="C89" s="3"/>
      <c r="AY89" s="103" t="s">
        <v>233</v>
      </c>
      <c r="AZ89" s="103" t="s">
        <v>636</v>
      </c>
      <c r="BA89" s="103" t="s">
        <v>89</v>
      </c>
      <c r="BB89" s="298">
        <v>239319</v>
      </c>
      <c r="BE89" s="70"/>
      <c r="BF89" s="238"/>
    </row>
    <row r="90" spans="1:58" ht="12.75">
      <c r="A90" s="3"/>
      <c r="B90" s="12"/>
      <c r="C90" s="3"/>
      <c r="AY90" s="103" t="s">
        <v>236</v>
      </c>
      <c r="AZ90" s="103" t="s">
        <v>637</v>
      </c>
      <c r="BA90" s="103" t="s">
        <v>89</v>
      </c>
      <c r="BB90" s="298">
        <v>131791</v>
      </c>
      <c r="BE90" s="70"/>
      <c r="BF90" s="238"/>
    </row>
    <row r="91" spans="1:58" ht="12.75">
      <c r="A91" s="3"/>
      <c r="B91" s="12"/>
      <c r="C91" s="3"/>
      <c r="AY91" s="103" t="s">
        <v>244</v>
      </c>
      <c r="AZ91" s="103" t="s">
        <v>638</v>
      </c>
      <c r="BA91" s="103" t="s">
        <v>89</v>
      </c>
      <c r="BB91" s="298">
        <v>461070</v>
      </c>
      <c r="BE91" s="244"/>
      <c r="BF91" s="246"/>
    </row>
    <row r="92" spans="1:58" ht="12.75">
      <c r="A92" s="3"/>
      <c r="B92" s="12"/>
      <c r="C92" s="3"/>
      <c r="AY92" s="103" t="s">
        <v>248</v>
      </c>
      <c r="AZ92" s="103" t="s">
        <v>639</v>
      </c>
      <c r="BA92" s="103" t="s">
        <v>89</v>
      </c>
      <c r="BB92" s="298">
        <v>312763</v>
      </c>
      <c r="BE92" s="244"/>
      <c r="BF92" s="246"/>
    </row>
    <row r="93" spans="1:58" ht="12.75">
      <c r="A93" s="3"/>
      <c r="B93" s="12"/>
      <c r="C93" s="3"/>
      <c r="AY93" s="103" t="s">
        <v>241</v>
      </c>
      <c r="AZ93" s="103" t="s">
        <v>640</v>
      </c>
      <c r="BA93" s="103" t="s">
        <v>89</v>
      </c>
      <c r="BB93" s="298">
        <v>133795</v>
      </c>
      <c r="BF93" s="249"/>
    </row>
    <row r="94" spans="1:58" ht="12.75">
      <c r="A94" s="3"/>
      <c r="B94" s="12"/>
      <c r="C94" s="3"/>
      <c r="AY94" s="103" t="s">
        <v>230</v>
      </c>
      <c r="AZ94" s="103" t="s">
        <v>641</v>
      </c>
      <c r="BA94" s="103" t="s">
        <v>89</v>
      </c>
      <c r="BB94" s="298">
        <v>181868</v>
      </c>
      <c r="BE94" s="70"/>
      <c r="BF94" s="238"/>
    </row>
    <row r="95" spans="1:58" ht="12.75">
      <c r="A95" s="3"/>
      <c r="B95" s="12"/>
      <c r="C95" s="3"/>
      <c r="AY95" s="103" t="s">
        <v>238</v>
      </c>
      <c r="AZ95" s="103" t="s">
        <v>642</v>
      </c>
      <c r="BA95" s="103" t="s">
        <v>89</v>
      </c>
      <c r="BB95" s="298">
        <v>204306</v>
      </c>
      <c r="BE95" s="244"/>
      <c r="BF95" s="246"/>
    </row>
    <row r="96" spans="1:58" ht="12.75">
      <c r="A96" s="3"/>
      <c r="B96" s="12"/>
      <c r="C96" s="3"/>
      <c r="AY96" s="103" t="s">
        <v>242</v>
      </c>
      <c r="AZ96" s="103" t="s">
        <v>643</v>
      </c>
      <c r="BA96" s="103" t="s">
        <v>89</v>
      </c>
      <c r="BB96" s="298">
        <v>183653</v>
      </c>
      <c r="BE96" s="240"/>
      <c r="BF96" s="235"/>
    </row>
    <row r="97" spans="1:58" ht="12.75">
      <c r="A97" s="3"/>
      <c r="B97" s="12"/>
      <c r="C97" s="3"/>
      <c r="AY97" s="103" t="s">
        <v>229</v>
      </c>
      <c r="AZ97" s="103" t="s">
        <v>644</v>
      </c>
      <c r="BA97" s="103" t="s">
        <v>89</v>
      </c>
      <c r="BB97" s="298">
        <v>171390</v>
      </c>
      <c r="BE97" s="240"/>
      <c r="BF97" s="235"/>
    </row>
    <row r="98" spans="1:58" ht="12.75">
      <c r="A98" s="3"/>
      <c r="B98" s="12"/>
      <c r="C98" s="3"/>
      <c r="AY98" s="103" t="s">
        <v>246</v>
      </c>
      <c r="AZ98" s="103" t="s">
        <v>645</v>
      </c>
      <c r="BA98" s="103" t="s">
        <v>89</v>
      </c>
      <c r="BB98" s="298">
        <v>530073</v>
      </c>
      <c r="BE98" s="245"/>
      <c r="BF98" s="238"/>
    </row>
    <row r="99" spans="1:58" ht="12.75">
      <c r="A99" s="3"/>
      <c r="B99" s="12"/>
      <c r="C99" s="3"/>
      <c r="AY99" s="103" t="s">
        <v>235</v>
      </c>
      <c r="AZ99" s="103" t="s">
        <v>646</v>
      </c>
      <c r="BA99" s="103" t="s">
        <v>89</v>
      </c>
      <c r="BB99" s="298">
        <v>296370</v>
      </c>
      <c r="BE99" s="70"/>
      <c r="BF99" s="246"/>
    </row>
    <row r="100" spans="1:58" ht="12.75">
      <c r="A100" s="3"/>
      <c r="B100" s="12"/>
      <c r="C100" s="3"/>
      <c r="AY100" s="103" t="s">
        <v>247</v>
      </c>
      <c r="AZ100" s="103" t="s">
        <v>647</v>
      </c>
      <c r="BA100" s="103" t="s">
        <v>89</v>
      </c>
      <c r="BB100" s="298">
        <v>235280</v>
      </c>
      <c r="BE100" s="70"/>
      <c r="BF100" s="246"/>
    </row>
    <row r="101" spans="51:58" ht="12.75">
      <c r="AY101" s="103" t="s">
        <v>239</v>
      </c>
      <c r="AZ101" s="103" t="s">
        <v>648</v>
      </c>
      <c r="BA101" s="103" t="s">
        <v>89</v>
      </c>
      <c r="BB101" s="298">
        <v>208299</v>
      </c>
      <c r="BE101" s="234"/>
      <c r="BF101" s="235"/>
    </row>
    <row r="102" spans="51:58" ht="12.75">
      <c r="AY102" s="103" t="s">
        <v>243</v>
      </c>
      <c r="AZ102" s="103" t="s">
        <v>649</v>
      </c>
      <c r="BA102" s="103" t="s">
        <v>89</v>
      </c>
      <c r="BB102" s="298">
        <v>271512</v>
      </c>
      <c r="BE102" s="234"/>
      <c r="BF102" s="235"/>
    </row>
    <row r="103" spans="51:58" ht="12.75">
      <c r="AY103" s="103" t="s">
        <v>231</v>
      </c>
      <c r="AZ103" s="103" t="s">
        <v>650</v>
      </c>
      <c r="BA103" s="103" t="s">
        <v>89</v>
      </c>
      <c r="BB103" s="298">
        <v>292433</v>
      </c>
      <c r="BE103" s="70"/>
      <c r="BF103" s="236"/>
    </row>
    <row r="104" spans="51:58" ht="12.75">
      <c r="AY104" s="103" t="s">
        <v>240</v>
      </c>
      <c r="AZ104" s="103" t="s">
        <v>651</v>
      </c>
      <c r="BA104" s="103" t="s">
        <v>89</v>
      </c>
      <c r="BB104" s="298">
        <v>144593</v>
      </c>
      <c r="BF104" s="249"/>
    </row>
    <row r="105" spans="51:58" ht="12.75">
      <c r="AY105" s="103" t="s">
        <v>237</v>
      </c>
      <c r="AZ105" s="103" t="s">
        <v>652</v>
      </c>
      <c r="BA105" s="103" t="s">
        <v>89</v>
      </c>
      <c r="BB105" s="298">
        <v>278090</v>
      </c>
      <c r="BE105" s="234"/>
      <c r="BF105" s="235"/>
    </row>
    <row r="106" spans="51:58" ht="12.75">
      <c r="AY106" s="103" t="s">
        <v>234</v>
      </c>
      <c r="AZ106" s="103" t="s">
        <v>653</v>
      </c>
      <c r="BA106" s="103" t="s">
        <v>89</v>
      </c>
      <c r="BB106" s="298">
        <v>172024</v>
      </c>
      <c r="BF106" s="249"/>
    </row>
    <row r="107" spans="51:58" ht="12.75">
      <c r="AY107" s="103" t="s">
        <v>249</v>
      </c>
      <c r="AZ107" s="103" t="s">
        <v>654</v>
      </c>
      <c r="BA107" s="103" t="s">
        <v>89</v>
      </c>
      <c r="BB107" s="298">
        <v>268758</v>
      </c>
      <c r="BF107" s="249"/>
    </row>
    <row r="108" spans="51:58" ht="12.75">
      <c r="AY108" s="103" t="s">
        <v>250</v>
      </c>
      <c r="AZ108" s="103" t="s">
        <v>655</v>
      </c>
      <c r="BA108" s="103" t="s">
        <v>89</v>
      </c>
      <c r="BB108" s="298">
        <v>260354</v>
      </c>
      <c r="BE108" s="70"/>
      <c r="BF108" s="236"/>
    </row>
    <row r="109" spans="51:58" ht="12.75">
      <c r="AY109" s="103" t="s">
        <v>232</v>
      </c>
      <c r="AZ109" s="103" t="s">
        <v>656</v>
      </c>
      <c r="BA109" s="103" t="s">
        <v>89</v>
      </c>
      <c r="BB109" s="298">
        <v>112154</v>
      </c>
      <c r="BE109" s="234"/>
      <c r="BF109" s="235"/>
    </row>
    <row r="110" spans="51:58" ht="12.75">
      <c r="AY110" s="103" t="s">
        <v>308</v>
      </c>
      <c r="AZ110" s="103" t="s">
        <v>657</v>
      </c>
      <c r="BA110" s="103" t="s">
        <v>89</v>
      </c>
      <c r="BB110" s="298">
        <v>430680</v>
      </c>
      <c r="BE110" s="70"/>
      <c r="BF110" s="246"/>
    </row>
    <row r="111" spans="51:58" ht="12.75">
      <c r="AY111" s="103" t="s">
        <v>301</v>
      </c>
      <c r="AZ111" s="103" t="s">
        <v>658</v>
      </c>
      <c r="BA111" s="103" t="s">
        <v>89</v>
      </c>
      <c r="BB111" s="298">
        <v>861759</v>
      </c>
      <c r="BE111" s="70"/>
      <c r="BF111" s="236"/>
    </row>
    <row r="112" spans="51:58" ht="12.75">
      <c r="AY112" s="103" t="s">
        <v>394</v>
      </c>
      <c r="AZ112" s="103" t="s">
        <v>659</v>
      </c>
      <c r="BA112" s="103" t="s">
        <v>89</v>
      </c>
      <c r="BB112" s="298">
        <v>563052</v>
      </c>
      <c r="BE112" s="247"/>
      <c r="BF112" s="246"/>
    </row>
    <row r="113" spans="51:58" ht="12.75">
      <c r="AY113" s="103" t="s">
        <v>337</v>
      </c>
      <c r="AZ113" s="103" t="s">
        <v>660</v>
      </c>
      <c r="BA113" s="103" t="s">
        <v>89</v>
      </c>
      <c r="BB113" s="298">
        <v>387143</v>
      </c>
      <c r="BE113" s="70"/>
      <c r="BF113" s="238"/>
    </row>
    <row r="114" spans="51:58" ht="12.75">
      <c r="AY114" s="103" t="s">
        <v>298</v>
      </c>
      <c r="AZ114" s="103" t="s">
        <v>661</v>
      </c>
      <c r="BA114" s="103" t="s">
        <v>89</v>
      </c>
      <c r="BB114" s="298">
        <v>230830</v>
      </c>
      <c r="BF114" s="238"/>
    </row>
    <row r="115" spans="51:58" ht="12.75">
      <c r="AY115" s="103" t="s">
        <v>330</v>
      </c>
      <c r="AZ115" s="103" t="s">
        <v>662</v>
      </c>
      <c r="BA115" s="103" t="s">
        <v>89</v>
      </c>
      <c r="BB115" s="298">
        <v>597224</v>
      </c>
      <c r="BE115" s="245"/>
      <c r="BF115" s="238"/>
    </row>
    <row r="116" spans="51:58" ht="12.75">
      <c r="AY116" s="103" t="s">
        <v>345</v>
      </c>
      <c r="AZ116" s="103" t="s">
        <v>663</v>
      </c>
      <c r="BA116" s="103" t="s">
        <v>89</v>
      </c>
      <c r="BB116" s="298">
        <v>213020</v>
      </c>
      <c r="BE116" s="70"/>
      <c r="BF116" s="236"/>
    </row>
    <row r="117" spans="51:58" ht="12.75">
      <c r="AY117" s="103" t="s">
        <v>311</v>
      </c>
      <c r="AZ117" s="103" t="s">
        <v>664</v>
      </c>
      <c r="BA117" s="103" t="s">
        <v>89</v>
      </c>
      <c r="BB117" s="298">
        <v>379032</v>
      </c>
      <c r="BE117" s="234"/>
      <c r="BF117" s="235"/>
    </row>
    <row r="118" spans="51:58" ht="12.75">
      <c r="AY118" s="103" t="s">
        <v>320</v>
      </c>
      <c r="AZ118" s="103" t="s">
        <v>665</v>
      </c>
      <c r="BA118" s="103" t="s">
        <v>89</v>
      </c>
      <c r="BB118" s="298">
        <v>327531</v>
      </c>
      <c r="BE118" s="70"/>
      <c r="BF118" s="236"/>
    </row>
    <row r="119" spans="51:58" ht="12.75">
      <c r="AY119" s="103" t="s">
        <v>395</v>
      </c>
      <c r="AZ119" s="103" t="s">
        <v>666</v>
      </c>
      <c r="BA119" s="103" t="s">
        <v>89</v>
      </c>
      <c r="BB119" s="298">
        <v>167483</v>
      </c>
      <c r="BE119" s="70"/>
      <c r="BF119" s="236"/>
    </row>
    <row r="120" spans="51:58" ht="12.75">
      <c r="AY120" s="103" t="s">
        <v>397</v>
      </c>
      <c r="AZ120" s="103" t="s">
        <v>667</v>
      </c>
      <c r="BA120" s="103" t="s">
        <v>89</v>
      </c>
      <c r="BB120" s="298">
        <v>204270</v>
      </c>
      <c r="BE120" s="70"/>
      <c r="BF120" s="236"/>
    </row>
    <row r="121" spans="51:58" ht="12.75">
      <c r="AY121" s="103" t="s">
        <v>396</v>
      </c>
      <c r="AZ121" s="103" t="s">
        <v>668</v>
      </c>
      <c r="BA121" s="103" t="s">
        <v>89</v>
      </c>
      <c r="BB121" s="298">
        <v>220178</v>
      </c>
      <c r="BE121" s="234"/>
      <c r="BF121" s="235"/>
    </row>
    <row r="122" spans="51:58" ht="12.75">
      <c r="AY122" s="103" t="s">
        <v>287</v>
      </c>
      <c r="AZ122" s="103" t="s">
        <v>669</v>
      </c>
      <c r="BA122" s="103" t="s">
        <v>89</v>
      </c>
      <c r="BB122" s="298">
        <v>151526</v>
      </c>
      <c r="BE122" s="70"/>
      <c r="BF122" s="246"/>
    </row>
    <row r="123" spans="51:58" ht="12.75">
      <c r="AY123" s="103" t="s">
        <v>310</v>
      </c>
      <c r="AZ123" s="103" t="s">
        <v>670</v>
      </c>
      <c r="BA123" s="103" t="s">
        <v>89</v>
      </c>
      <c r="BB123" s="298">
        <v>291230</v>
      </c>
      <c r="BF123" s="249"/>
    </row>
    <row r="124" spans="51:58" ht="12.75">
      <c r="AY124" s="103" t="s">
        <v>312</v>
      </c>
      <c r="AZ124" s="103" t="s">
        <v>671</v>
      </c>
      <c r="BA124" s="103" t="s">
        <v>89</v>
      </c>
      <c r="BB124" s="298">
        <v>164506</v>
      </c>
      <c r="BF124" s="249"/>
    </row>
    <row r="125" spans="51:58" ht="12.75">
      <c r="AY125" s="103" t="s">
        <v>321</v>
      </c>
      <c r="AZ125" s="103" t="s">
        <v>672</v>
      </c>
      <c r="BA125" s="103" t="s">
        <v>89</v>
      </c>
      <c r="BB125" s="298">
        <v>235721</v>
      </c>
      <c r="BE125" s="70"/>
      <c r="BF125" s="246"/>
    </row>
    <row r="126" spans="51:58" ht="12.75">
      <c r="AY126" s="103" t="s">
        <v>333</v>
      </c>
      <c r="AZ126" s="103" t="s">
        <v>673</v>
      </c>
      <c r="BA126" s="103" t="s">
        <v>89</v>
      </c>
      <c r="BB126" s="298">
        <v>201601</v>
      </c>
      <c r="BE126" s="70"/>
      <c r="BF126" s="236"/>
    </row>
    <row r="127" spans="51:58" ht="12.75">
      <c r="AY127" s="103" t="s">
        <v>295</v>
      </c>
      <c r="AZ127" s="103" t="s">
        <v>674</v>
      </c>
      <c r="BA127" s="103" t="s">
        <v>89</v>
      </c>
      <c r="BB127" s="298">
        <v>376153</v>
      </c>
      <c r="BF127" s="249"/>
    </row>
    <row r="128" spans="51:58" ht="12.75">
      <c r="AY128" s="103" t="s">
        <v>407</v>
      </c>
      <c r="AZ128" s="103" t="s">
        <v>675</v>
      </c>
      <c r="BA128" s="103" t="s">
        <v>89</v>
      </c>
      <c r="BB128" s="298">
        <v>228448</v>
      </c>
      <c r="BE128" s="247"/>
      <c r="BF128" s="246"/>
    </row>
    <row r="129" spans="51:58" ht="12.75">
      <c r="AY129" s="103" t="s">
        <v>304</v>
      </c>
      <c r="AZ129" s="103" t="s">
        <v>676</v>
      </c>
      <c r="BA129" s="103" t="s">
        <v>89</v>
      </c>
      <c r="BB129" s="298">
        <v>328780</v>
      </c>
      <c r="BE129" s="70"/>
      <c r="BF129" s="246"/>
    </row>
    <row r="130" spans="51:58" ht="12.75">
      <c r="AY130" s="103" t="s">
        <v>408</v>
      </c>
      <c r="AZ130" s="103" t="s">
        <v>677</v>
      </c>
      <c r="BA130" s="103" t="s">
        <v>89</v>
      </c>
      <c r="BB130" s="298">
        <v>314214</v>
      </c>
      <c r="BE130" s="70"/>
      <c r="BF130" s="246"/>
    </row>
    <row r="131" spans="51:58" ht="12.75">
      <c r="AY131" s="103" t="s">
        <v>399</v>
      </c>
      <c r="AZ131" s="103" t="s">
        <v>678</v>
      </c>
      <c r="BA131" s="103" t="s">
        <v>89</v>
      </c>
      <c r="BB131" s="298">
        <v>253416</v>
      </c>
      <c r="BE131" s="244"/>
      <c r="BF131" s="246"/>
    </row>
    <row r="132" spans="51:58" ht="12.75">
      <c r="AY132" s="103" t="s">
        <v>316</v>
      </c>
      <c r="AZ132" s="103" t="s">
        <v>679</v>
      </c>
      <c r="BA132" s="103" t="s">
        <v>89</v>
      </c>
      <c r="BB132" s="298">
        <v>285838</v>
      </c>
      <c r="BE132" s="244"/>
      <c r="BF132" s="246"/>
    </row>
    <row r="133" spans="51:58" ht="12.75">
      <c r="AY133" s="103" t="s">
        <v>417</v>
      </c>
      <c r="AZ133" s="103" t="s">
        <v>680</v>
      </c>
      <c r="BA133" s="103" t="s">
        <v>89</v>
      </c>
      <c r="BB133" s="298">
        <v>379319</v>
      </c>
      <c r="BE133" s="244"/>
      <c r="BF133" s="248"/>
    </row>
    <row r="134" spans="51:58" ht="12.75">
      <c r="AY134" s="103" t="s">
        <v>332</v>
      </c>
      <c r="AZ134" s="103" t="s">
        <v>681</v>
      </c>
      <c r="BA134" s="103" t="s">
        <v>89</v>
      </c>
      <c r="BB134" s="298">
        <v>386580</v>
      </c>
      <c r="BE134" s="240"/>
      <c r="BF134" s="235"/>
    </row>
    <row r="135" spans="51:58" ht="12.75">
      <c r="AY135" s="103" t="s">
        <v>288</v>
      </c>
      <c r="AZ135" s="103" t="s">
        <v>682</v>
      </c>
      <c r="BA135" t="s">
        <v>89</v>
      </c>
      <c r="BB135" s="298">
        <v>287939</v>
      </c>
      <c r="BE135" s="247"/>
      <c r="BF135" s="246"/>
    </row>
    <row r="136" spans="51:58" ht="12.75">
      <c r="AY136" s="103" t="s">
        <v>356</v>
      </c>
      <c r="AZ136" s="103" t="s">
        <v>683</v>
      </c>
      <c r="BA136" s="103" t="s">
        <v>89</v>
      </c>
      <c r="BB136" s="298">
        <v>278666</v>
      </c>
      <c r="BE136" s="234"/>
      <c r="BF136" s="235"/>
    </row>
    <row r="137" spans="51:58" ht="12.75">
      <c r="AY137" s="103" t="s">
        <v>344</v>
      </c>
      <c r="AZ137" s="103" t="s">
        <v>684</v>
      </c>
      <c r="BA137" s="103" t="s">
        <v>89</v>
      </c>
      <c r="BB137" s="298">
        <v>274754</v>
      </c>
      <c r="BF137" s="249"/>
    </row>
    <row r="138" spans="51:58" ht="12.75">
      <c r="AY138" s="103" t="s">
        <v>362</v>
      </c>
      <c r="AZ138" s="103" t="s">
        <v>685</v>
      </c>
      <c r="BA138" s="103" t="s">
        <v>89</v>
      </c>
      <c r="BB138" s="298">
        <v>194613</v>
      </c>
      <c r="BE138" s="70"/>
      <c r="BF138" s="236"/>
    </row>
    <row r="139" spans="51:58" ht="12.75">
      <c r="AY139" s="103" t="s">
        <v>336</v>
      </c>
      <c r="AZ139" s="103" t="s">
        <v>686</v>
      </c>
      <c r="BA139" s="103" t="s">
        <v>89</v>
      </c>
      <c r="BB139" s="298">
        <v>260695</v>
      </c>
      <c r="BE139" s="234"/>
      <c r="BF139" s="235"/>
    </row>
    <row r="140" spans="51:58" ht="12.75">
      <c r="AY140" s="103" t="s">
        <v>398</v>
      </c>
      <c r="AZ140" s="103" t="s">
        <v>687</v>
      </c>
      <c r="BA140" s="103" t="s">
        <v>89</v>
      </c>
      <c r="BB140" s="298">
        <v>224682</v>
      </c>
      <c r="BE140" s="70"/>
      <c r="BF140" s="236"/>
    </row>
    <row r="141" spans="51:58" ht="12.75">
      <c r="AY141" s="103" t="s">
        <v>299</v>
      </c>
      <c r="AZ141" s="103" t="s">
        <v>688</v>
      </c>
      <c r="BA141" s="103" t="s">
        <v>89</v>
      </c>
      <c r="BB141" s="298">
        <v>256079</v>
      </c>
      <c r="BE141" s="70"/>
      <c r="BF141" s="236"/>
    </row>
    <row r="142" spans="51:58" ht="12.75">
      <c r="AY142" s="103" t="s">
        <v>315</v>
      </c>
      <c r="AZ142" s="103" t="s">
        <v>689</v>
      </c>
      <c r="BA142" s="103" t="s">
        <v>89</v>
      </c>
      <c r="BB142" s="298">
        <v>280503</v>
      </c>
      <c r="BE142" s="70"/>
      <c r="BF142" s="238"/>
    </row>
    <row r="143" spans="51:58" ht="12.75">
      <c r="AY143" s="103" t="s">
        <v>327</v>
      </c>
      <c r="AZ143" s="103" t="s">
        <v>690</v>
      </c>
      <c r="BA143" s="103" t="s">
        <v>89</v>
      </c>
      <c r="BB143" s="298">
        <v>219251</v>
      </c>
      <c r="BE143" s="70"/>
      <c r="BF143" s="246"/>
    </row>
    <row r="144" spans="51:58" ht="12.75">
      <c r="AY144" s="103" t="s">
        <v>346</v>
      </c>
      <c r="AZ144" s="103" t="s">
        <v>691</v>
      </c>
      <c r="BA144" s="103" t="s">
        <v>89</v>
      </c>
      <c r="BB144" s="298">
        <v>187383</v>
      </c>
      <c r="BE144" s="70"/>
      <c r="BF144" s="238"/>
    </row>
    <row r="145" spans="51:58" ht="12.75">
      <c r="AY145" s="103" t="s">
        <v>283</v>
      </c>
      <c r="AZ145" s="103" t="s">
        <v>692</v>
      </c>
      <c r="BA145" s="103" t="s">
        <v>89</v>
      </c>
      <c r="BB145" s="298">
        <v>374678</v>
      </c>
      <c r="BE145" s="245"/>
      <c r="BF145" s="246"/>
    </row>
    <row r="146" spans="51:58" ht="12.75">
      <c r="AY146" s="103" t="s">
        <v>409</v>
      </c>
      <c r="AZ146" s="103" t="s">
        <v>693</v>
      </c>
      <c r="BA146" s="103" t="s">
        <v>89</v>
      </c>
      <c r="BB146" s="298">
        <v>299563</v>
      </c>
      <c r="BF146" s="249"/>
    </row>
    <row r="147" spans="51:58" ht="12.75">
      <c r="AY147" s="103" t="s">
        <v>306</v>
      </c>
      <c r="AZ147" s="103" t="s">
        <v>694</v>
      </c>
      <c r="BA147" s="103" t="s">
        <v>89</v>
      </c>
      <c r="BB147" s="298">
        <v>368016</v>
      </c>
      <c r="BF147" s="249"/>
    </row>
    <row r="148" spans="51:58" ht="12.75">
      <c r="AY148" s="103" t="s">
        <v>293</v>
      </c>
      <c r="AZ148" s="103" t="s">
        <v>695</v>
      </c>
      <c r="BA148" s="103" t="s">
        <v>89</v>
      </c>
      <c r="BB148" s="298">
        <v>287529</v>
      </c>
      <c r="BF148" s="249"/>
    </row>
    <row r="149" spans="51:58" ht="12.75">
      <c r="AY149" s="103" t="s">
        <v>331</v>
      </c>
      <c r="AZ149" s="103" t="s">
        <v>696</v>
      </c>
      <c r="BA149" s="103" t="s">
        <v>89</v>
      </c>
      <c r="BB149" s="298">
        <v>197994</v>
      </c>
      <c r="BE149" s="245"/>
      <c r="BF149" s="246"/>
    </row>
    <row r="150" spans="51:58" ht="12.75">
      <c r="AY150" s="103" t="s">
        <v>319</v>
      </c>
      <c r="AZ150" s="103" t="s">
        <v>697</v>
      </c>
      <c r="BA150" s="103" t="s">
        <v>89</v>
      </c>
      <c r="BB150" s="298">
        <v>327517</v>
      </c>
      <c r="BF150" s="249"/>
    </row>
    <row r="151" spans="51:58" ht="12.75">
      <c r="AY151" s="103" t="s">
        <v>418</v>
      </c>
      <c r="AZ151" s="103" t="s">
        <v>698</v>
      </c>
      <c r="BA151" s="103" t="s">
        <v>89</v>
      </c>
      <c r="BB151" s="298">
        <v>209261</v>
      </c>
      <c r="BF151" s="249"/>
    </row>
    <row r="152" spans="51:58" ht="12.75">
      <c r="AY152" s="103" t="s">
        <v>419</v>
      </c>
      <c r="AZ152" s="103" t="s">
        <v>699</v>
      </c>
      <c r="BA152" s="103" t="s">
        <v>89</v>
      </c>
      <c r="BB152" s="298">
        <v>184345</v>
      </c>
      <c r="BE152" s="247"/>
      <c r="BF152" s="236"/>
    </row>
    <row r="153" spans="51:58" ht="12.75">
      <c r="AY153" s="103" t="s">
        <v>305</v>
      </c>
      <c r="AZ153" s="103" t="s">
        <v>700</v>
      </c>
      <c r="BA153" s="103" t="s">
        <v>89</v>
      </c>
      <c r="BB153" s="298">
        <v>278239</v>
      </c>
      <c r="BF153" s="249"/>
    </row>
    <row r="154" spans="51:58" ht="12.75">
      <c r="AY154" s="103" t="s">
        <v>294</v>
      </c>
      <c r="AZ154" s="103" t="s">
        <v>701</v>
      </c>
      <c r="BA154" s="103" t="s">
        <v>89</v>
      </c>
      <c r="BB154" s="298">
        <v>293890</v>
      </c>
      <c r="BE154" s="234"/>
      <c r="BF154" s="235"/>
    </row>
    <row r="155" spans="51:58" ht="12.75">
      <c r="AY155" s="103" t="s">
        <v>329</v>
      </c>
      <c r="AZ155" s="103" t="s">
        <v>702</v>
      </c>
      <c r="BA155" s="103" t="s">
        <v>89</v>
      </c>
      <c r="BB155" s="298">
        <v>350283</v>
      </c>
      <c r="BE155" s="70"/>
      <c r="BF155" s="236"/>
    </row>
    <row r="156" spans="51:58" ht="12.75">
      <c r="AY156" s="103" t="s">
        <v>303</v>
      </c>
      <c r="AZ156" s="103" t="s">
        <v>703</v>
      </c>
      <c r="BA156" s="103" t="s">
        <v>89</v>
      </c>
      <c r="BB156" s="298">
        <v>219681</v>
      </c>
      <c r="BF156" s="249"/>
    </row>
    <row r="157" spans="51:58" ht="12.75">
      <c r="AY157" s="103" t="s">
        <v>322</v>
      </c>
      <c r="AZ157" s="103" t="s">
        <v>704</v>
      </c>
      <c r="BA157" s="103" t="s">
        <v>89</v>
      </c>
      <c r="BB157" s="298">
        <v>191568</v>
      </c>
      <c r="BF157" s="249"/>
    </row>
    <row r="158" spans="51:58" ht="12.75">
      <c r="AY158" s="103" t="s">
        <v>406</v>
      </c>
      <c r="AZ158" s="103" t="s">
        <v>705</v>
      </c>
      <c r="BA158" s="103" t="s">
        <v>89</v>
      </c>
      <c r="BB158" s="298">
        <v>123049</v>
      </c>
      <c r="BF158" s="249"/>
    </row>
    <row r="159" spans="51:58" ht="12.75">
      <c r="AY159" s="103" t="s">
        <v>291</v>
      </c>
      <c r="AZ159" s="103" t="s">
        <v>706</v>
      </c>
      <c r="BA159" s="103" t="s">
        <v>89</v>
      </c>
      <c r="BB159" s="298">
        <v>300515</v>
      </c>
      <c r="BF159" s="249"/>
    </row>
    <row r="160" spans="51:58" ht="12.75">
      <c r="AY160" s="103" t="s">
        <v>403</v>
      </c>
      <c r="AZ160" s="103" t="s">
        <v>707</v>
      </c>
      <c r="BA160" s="103" t="s">
        <v>89</v>
      </c>
      <c r="BB160" s="298">
        <v>212778</v>
      </c>
      <c r="BE160" s="70"/>
      <c r="BF160" s="236"/>
    </row>
    <row r="161" spans="51:58" ht="12.75">
      <c r="AY161" s="103" t="s">
        <v>292</v>
      </c>
      <c r="AZ161" s="103" t="s">
        <v>708</v>
      </c>
      <c r="BA161" s="103" t="s">
        <v>89</v>
      </c>
      <c r="BB161" s="298">
        <v>185366</v>
      </c>
      <c r="BE161" s="70"/>
      <c r="BF161" s="238"/>
    </row>
    <row r="162" spans="51:58" ht="12.75">
      <c r="AY162" s="103" t="s">
        <v>415</v>
      </c>
      <c r="AZ162" s="103" t="s">
        <v>709</v>
      </c>
      <c r="BA162" s="103" t="s">
        <v>89</v>
      </c>
      <c r="BB162" s="298">
        <v>486131</v>
      </c>
      <c r="BE162" s="234"/>
      <c r="BF162" s="235"/>
    </row>
    <row r="163" spans="51:58" ht="12.75">
      <c r="AY163" s="103" t="s">
        <v>314</v>
      </c>
      <c r="AZ163" s="103" t="s">
        <v>710</v>
      </c>
      <c r="BA163" s="103" t="s">
        <v>89</v>
      </c>
      <c r="BB163" s="298">
        <v>123717</v>
      </c>
      <c r="BE163" s="70"/>
      <c r="BF163" s="236"/>
    </row>
    <row r="164" spans="51:58" ht="12.75">
      <c r="AY164" s="103" t="s">
        <v>360</v>
      </c>
      <c r="AZ164" s="103" t="s">
        <v>711</v>
      </c>
      <c r="BA164" s="103" t="s">
        <v>89</v>
      </c>
      <c r="BB164" s="298">
        <v>246419</v>
      </c>
      <c r="BE164" s="245"/>
      <c r="BF164" s="238"/>
    </row>
    <row r="165" spans="51:58" ht="12.75">
      <c r="AY165" s="103" t="s">
        <v>410</v>
      </c>
      <c r="AZ165" s="103" t="s">
        <v>712</v>
      </c>
      <c r="BA165" s="103" t="s">
        <v>89</v>
      </c>
      <c r="BB165" s="298">
        <v>168051</v>
      </c>
      <c r="BF165" s="249"/>
    </row>
    <row r="166" spans="51:58" ht="12.75">
      <c r="AY166" s="103" t="s">
        <v>411</v>
      </c>
      <c r="AZ166" s="103" t="s">
        <v>713</v>
      </c>
      <c r="BA166" s="103" t="s">
        <v>89</v>
      </c>
      <c r="BB166" s="298">
        <v>212679</v>
      </c>
      <c r="BE166" s="70"/>
      <c r="BF166" s="246"/>
    </row>
    <row r="167" spans="51:58" ht="12.75">
      <c r="AY167" s="103" t="s">
        <v>401</v>
      </c>
      <c r="AZ167" s="103" t="s">
        <v>714</v>
      </c>
      <c r="BA167" s="103" t="s">
        <v>89</v>
      </c>
      <c r="BB167" s="298">
        <v>182204</v>
      </c>
      <c r="BF167" s="249"/>
    </row>
    <row r="168" spans="51:58" ht="12.75">
      <c r="AY168" s="103" t="s">
        <v>302</v>
      </c>
      <c r="AZ168" s="103" t="s">
        <v>715</v>
      </c>
      <c r="BA168" s="103" t="s">
        <v>89</v>
      </c>
      <c r="BB168" s="298">
        <v>275970</v>
      </c>
      <c r="BE168" s="234"/>
      <c r="BF168" s="235"/>
    </row>
    <row r="169" spans="51:58" ht="12.75">
      <c r="AY169" s="103" t="s">
        <v>416</v>
      </c>
      <c r="AZ169" s="103" t="s">
        <v>716</v>
      </c>
      <c r="BA169" s="103" t="s">
        <v>89</v>
      </c>
      <c r="BB169" s="298">
        <v>224363</v>
      </c>
      <c r="BE169" s="234"/>
      <c r="BF169" s="235"/>
    </row>
    <row r="170" spans="51:58" ht="12.75">
      <c r="AY170" s="103" t="s">
        <v>358</v>
      </c>
      <c r="AZ170" s="103" t="s">
        <v>717</v>
      </c>
      <c r="BA170" s="103" t="s">
        <v>89</v>
      </c>
      <c r="BB170" s="298">
        <v>349206</v>
      </c>
      <c r="BE170" s="70"/>
      <c r="BF170" s="238"/>
    </row>
    <row r="171" spans="51:58" ht="12.75">
      <c r="AY171" s="103" t="s">
        <v>402</v>
      </c>
      <c r="AZ171" s="103" t="s">
        <v>718</v>
      </c>
      <c r="BA171" s="103" t="s">
        <v>89</v>
      </c>
      <c r="BB171" s="298">
        <v>199887</v>
      </c>
      <c r="BE171" s="70"/>
      <c r="BF171" s="236"/>
    </row>
    <row r="172" spans="51:58" ht="12.75">
      <c r="AY172" s="103" t="s">
        <v>413</v>
      </c>
      <c r="AZ172" s="103" t="s">
        <v>719</v>
      </c>
      <c r="BA172" s="103" t="s">
        <v>89</v>
      </c>
      <c r="BB172" s="298">
        <v>90403</v>
      </c>
      <c r="BE172" s="70"/>
      <c r="BF172" s="238"/>
    </row>
    <row r="173" spans="51:58" ht="12.75">
      <c r="AY173" s="103" t="s">
        <v>326</v>
      </c>
      <c r="AZ173" s="103" t="s">
        <v>720</v>
      </c>
      <c r="BA173" s="103" t="s">
        <v>89</v>
      </c>
      <c r="BB173" s="298">
        <v>108078</v>
      </c>
      <c r="BE173" s="70"/>
      <c r="BF173" s="236"/>
    </row>
    <row r="174" spans="51:58" ht="12.75">
      <c r="AY174" s="103" t="s">
        <v>405</v>
      </c>
      <c r="AZ174" s="103" t="s">
        <v>721</v>
      </c>
      <c r="BA174" s="103" t="s">
        <v>89</v>
      </c>
      <c r="BB174" s="298">
        <v>136220</v>
      </c>
      <c r="BF174" s="249"/>
    </row>
    <row r="175" spans="51:58" ht="12.75">
      <c r="AY175" s="103" t="s">
        <v>428</v>
      </c>
      <c r="AZ175" s="103" t="s">
        <v>722</v>
      </c>
      <c r="BA175" s="103" t="s">
        <v>89</v>
      </c>
      <c r="BB175" s="298">
        <v>136117</v>
      </c>
      <c r="BF175" s="249"/>
    </row>
    <row r="176" spans="51:58" ht="12.75">
      <c r="AY176" s="103" t="s">
        <v>290</v>
      </c>
      <c r="AZ176" s="103" t="s">
        <v>723</v>
      </c>
      <c r="BA176" s="103" t="s">
        <v>89</v>
      </c>
      <c r="BB176" s="298">
        <v>298584</v>
      </c>
      <c r="BE176" s="234"/>
      <c r="BF176" s="235"/>
    </row>
    <row r="177" spans="51:58" ht="12.75">
      <c r="AY177" s="103" t="s">
        <v>425</v>
      </c>
      <c r="AZ177" s="103" t="s">
        <v>724</v>
      </c>
      <c r="BA177" s="103" t="s">
        <v>89</v>
      </c>
      <c r="BB177" s="298">
        <v>213947</v>
      </c>
      <c r="BE177" s="234"/>
      <c r="BF177" s="235"/>
    </row>
    <row r="178" spans="51:58" ht="12.75">
      <c r="AY178" s="103" t="s">
        <v>423</v>
      </c>
      <c r="AZ178" s="103" t="s">
        <v>725</v>
      </c>
      <c r="BA178" s="103" t="s">
        <v>89</v>
      </c>
      <c r="BB178" s="298">
        <v>199679</v>
      </c>
      <c r="BE178" s="70"/>
      <c r="BF178" s="238"/>
    </row>
    <row r="179" spans="51:58" ht="12.75">
      <c r="AY179" s="103" t="s">
        <v>427</v>
      </c>
      <c r="AZ179" s="103" t="s">
        <v>726</v>
      </c>
      <c r="BA179" s="103" t="s">
        <v>180</v>
      </c>
      <c r="BB179" s="298">
        <v>140954</v>
      </c>
      <c r="BF179" s="249"/>
    </row>
    <row r="180" spans="51:58" ht="12.75">
      <c r="AY180" s="103" t="s">
        <v>426</v>
      </c>
      <c r="AZ180" s="103" t="s">
        <v>727</v>
      </c>
      <c r="BA180" s="103" t="s">
        <v>89</v>
      </c>
      <c r="BB180" s="298">
        <v>113978</v>
      </c>
      <c r="BE180" s="244"/>
      <c r="BF180" s="246"/>
    </row>
    <row r="181" spans="51:58" ht="12.75">
      <c r="AY181" s="103" t="s">
        <v>430</v>
      </c>
      <c r="AZ181" s="103" t="s">
        <v>728</v>
      </c>
      <c r="BA181" s="103" t="s">
        <v>89</v>
      </c>
      <c r="BB181" s="298">
        <v>107019</v>
      </c>
      <c r="BF181" s="249"/>
    </row>
    <row r="182" spans="51:58" ht="12.75">
      <c r="AY182" s="103" t="s">
        <v>432</v>
      </c>
      <c r="AZ182" s="103" t="s">
        <v>729</v>
      </c>
      <c r="BA182" s="103" t="s">
        <v>180</v>
      </c>
      <c r="BB182" s="298">
        <v>681439</v>
      </c>
      <c r="BF182" s="249"/>
    </row>
    <row r="183" spans="51:58" ht="12.75">
      <c r="AY183" s="103" t="s">
        <v>348</v>
      </c>
      <c r="AZ183" s="103" t="s">
        <v>730</v>
      </c>
      <c r="BA183" s="103" t="s">
        <v>89</v>
      </c>
      <c r="BB183" s="298">
        <v>216450</v>
      </c>
      <c r="BE183" s="70"/>
      <c r="BF183" s="238"/>
    </row>
    <row r="184" spans="51:58" ht="12.75">
      <c r="AY184" s="103" t="s">
        <v>309</v>
      </c>
      <c r="AZ184" s="103" t="s">
        <v>731</v>
      </c>
      <c r="BA184" s="103" t="s">
        <v>89</v>
      </c>
      <c r="BB184" s="298">
        <v>143386</v>
      </c>
      <c r="BE184" s="70"/>
      <c r="BF184" s="238"/>
    </row>
    <row r="185" spans="51:58" ht="12.75">
      <c r="AY185" s="103" t="s">
        <v>334</v>
      </c>
      <c r="AZ185" s="103" t="s">
        <v>732</v>
      </c>
      <c r="BA185" s="103" t="s">
        <v>89</v>
      </c>
      <c r="BB185" s="298">
        <v>203460</v>
      </c>
      <c r="BF185" s="249"/>
    </row>
    <row r="186" spans="51:58" ht="12.75">
      <c r="AY186" s="103" t="s">
        <v>347</v>
      </c>
      <c r="AZ186" s="103" t="s">
        <v>733</v>
      </c>
      <c r="BA186" s="103" t="s">
        <v>89</v>
      </c>
      <c r="BB186" s="298">
        <v>121932</v>
      </c>
      <c r="BF186" s="249"/>
    </row>
    <row r="187" spans="51:58" ht="12.75">
      <c r="AY187" s="103" t="s">
        <v>422</v>
      </c>
      <c r="AZ187" s="103" t="s">
        <v>734</v>
      </c>
      <c r="BA187" s="103" t="s">
        <v>89</v>
      </c>
      <c r="BB187" s="298">
        <v>265148</v>
      </c>
      <c r="BE187" s="234"/>
      <c r="BF187" s="235"/>
    </row>
    <row r="188" spans="51:58" ht="12.75">
      <c r="AY188" s="103" t="s">
        <v>340</v>
      </c>
      <c r="AZ188" s="103" t="s">
        <v>735</v>
      </c>
      <c r="BA188" s="103" t="s">
        <v>89</v>
      </c>
      <c r="BB188" s="298">
        <v>198019</v>
      </c>
      <c r="BF188" s="238"/>
    </row>
    <row r="189" spans="51:58" ht="12.75">
      <c r="AY189" s="103" t="s">
        <v>424</v>
      </c>
      <c r="AZ189" s="103" t="s">
        <v>736</v>
      </c>
      <c r="BA189" s="103" t="s">
        <v>89</v>
      </c>
      <c r="BB189" s="298">
        <v>539951</v>
      </c>
      <c r="BF189" s="238"/>
    </row>
    <row r="190" spans="51:58" ht="12.75">
      <c r="AY190" s="103" t="s">
        <v>318</v>
      </c>
      <c r="AZ190" s="103" t="s">
        <v>737</v>
      </c>
      <c r="BA190" s="103" t="s">
        <v>89</v>
      </c>
      <c r="BB190" s="298">
        <v>150550</v>
      </c>
      <c r="BE190" s="234"/>
      <c r="BF190" s="235"/>
    </row>
    <row r="191" spans="51:58" ht="12.75">
      <c r="AY191" s="103" t="s">
        <v>429</v>
      </c>
      <c r="AZ191" s="103" t="s">
        <v>738</v>
      </c>
      <c r="BA191" s="103" t="s">
        <v>89</v>
      </c>
      <c r="BB191" s="298">
        <v>154220</v>
      </c>
      <c r="BE191" s="70"/>
      <c r="BF191" s="236"/>
    </row>
    <row r="192" spans="51:58" ht="12.75">
      <c r="AY192" s="103" t="s">
        <v>220</v>
      </c>
      <c r="AZ192" s="103" t="s">
        <v>739</v>
      </c>
      <c r="BA192" s="103" t="s">
        <v>89</v>
      </c>
      <c r="BB192" s="298">
        <v>197124</v>
      </c>
      <c r="BE192" s="70"/>
      <c r="BF192" s="236"/>
    </row>
    <row r="193" spans="51:58" ht="12.75">
      <c r="AY193" s="103" t="s">
        <v>221</v>
      </c>
      <c r="AZ193" s="103" t="s">
        <v>740</v>
      </c>
      <c r="BA193" s="103" t="s">
        <v>89</v>
      </c>
      <c r="BB193" s="298">
        <v>475661</v>
      </c>
      <c r="BE193" s="70"/>
      <c r="BF193" s="236"/>
    </row>
    <row r="194" spans="51:58" ht="12.75">
      <c r="AY194" s="103" t="s">
        <v>420</v>
      </c>
      <c r="AZ194" s="103" t="s">
        <v>741</v>
      </c>
      <c r="BA194" s="103" t="s">
        <v>89</v>
      </c>
      <c r="BB194" s="298">
        <v>760798</v>
      </c>
      <c r="BE194" s="70"/>
      <c r="BF194" s="236"/>
    </row>
    <row r="195" spans="51:58" ht="12.75">
      <c r="AY195" s="103" t="s">
        <v>227</v>
      </c>
      <c r="AZ195" s="103" t="s">
        <v>742</v>
      </c>
      <c r="BA195" s="103" t="s">
        <v>89</v>
      </c>
      <c r="BB195" s="298">
        <v>614551</v>
      </c>
      <c r="BE195" s="70"/>
      <c r="BF195" s="236"/>
    </row>
    <row r="196" spans="51:58" ht="12.75">
      <c r="AY196" s="103" t="s">
        <v>224</v>
      </c>
      <c r="AZ196" s="103" t="s">
        <v>743</v>
      </c>
      <c r="BA196" s="103" t="s">
        <v>89</v>
      </c>
      <c r="BB196" s="298">
        <v>555618</v>
      </c>
      <c r="BE196" s="70"/>
      <c r="BF196" s="236"/>
    </row>
    <row r="197" spans="51:58" ht="12.75">
      <c r="AY197" s="103" t="s">
        <v>222</v>
      </c>
      <c r="AZ197" s="103" t="s">
        <v>744</v>
      </c>
      <c r="BA197" s="103" t="s">
        <v>89</v>
      </c>
      <c r="BB197" s="298">
        <v>209917</v>
      </c>
      <c r="BE197" s="70"/>
      <c r="BF197" s="236"/>
    </row>
    <row r="198" spans="51:58" ht="12.75">
      <c r="AY198" s="103" t="s">
        <v>228</v>
      </c>
      <c r="AZ198" s="103" t="s">
        <v>745</v>
      </c>
      <c r="BA198" s="103" t="s">
        <v>89</v>
      </c>
      <c r="BB198" s="298">
        <v>543498</v>
      </c>
      <c r="BF198" s="249"/>
    </row>
    <row r="199" spans="51:58" ht="12.75">
      <c r="AY199" s="103" t="s">
        <v>223</v>
      </c>
      <c r="AZ199" s="103" t="s">
        <v>746</v>
      </c>
      <c r="BA199" s="103" t="s">
        <v>89</v>
      </c>
      <c r="BB199" s="298">
        <v>256061</v>
      </c>
      <c r="BE199" s="70"/>
      <c r="BF199" s="238"/>
    </row>
    <row r="200" spans="51:58" ht="12.75">
      <c r="AY200" s="103" t="s">
        <v>289</v>
      </c>
      <c r="AZ200" s="103" t="s">
        <v>747</v>
      </c>
      <c r="BA200" s="103" t="s">
        <v>180</v>
      </c>
      <c r="BB200" s="298">
        <v>221360</v>
      </c>
      <c r="BE200" s="70"/>
      <c r="BF200" s="236"/>
    </row>
    <row r="201" spans="51:58" ht="12.75">
      <c r="AY201" s="103" t="s">
        <v>262</v>
      </c>
      <c r="AZ201" s="103" t="s">
        <v>748</v>
      </c>
      <c r="BA201" s="103" t="s">
        <v>89</v>
      </c>
      <c r="BB201" s="298">
        <v>331160</v>
      </c>
      <c r="BF201" s="249"/>
    </row>
    <row r="202" spans="51:58" ht="12.75">
      <c r="AY202" s="103" t="s">
        <v>245</v>
      </c>
      <c r="AZ202" s="103" t="s">
        <v>749</v>
      </c>
      <c r="BA202" s="103" t="s">
        <v>89</v>
      </c>
      <c r="BB202" s="298">
        <v>723927</v>
      </c>
      <c r="BF202" s="249"/>
    </row>
    <row r="203" spans="51:58" ht="12.75">
      <c r="AY203" s="103" t="s">
        <v>257</v>
      </c>
      <c r="AZ203" s="103" t="s">
        <v>750</v>
      </c>
      <c r="BA203" s="103" t="s">
        <v>89</v>
      </c>
      <c r="BB203" s="298">
        <v>492711</v>
      </c>
      <c r="BF203" s="249"/>
    </row>
    <row r="204" spans="51:58" ht="12.75">
      <c r="AY204" s="103" t="s">
        <v>359</v>
      </c>
      <c r="AZ204" s="103" t="s">
        <v>751</v>
      </c>
      <c r="BA204" s="103" t="s">
        <v>89</v>
      </c>
      <c r="BB204" s="298">
        <v>214926</v>
      </c>
      <c r="BF204" s="249"/>
    </row>
    <row r="205" spans="51:58" ht="12.75">
      <c r="AY205" s="103" t="s">
        <v>387</v>
      </c>
      <c r="AZ205" s="103" t="s">
        <v>752</v>
      </c>
      <c r="BA205" s="103" t="s">
        <v>89</v>
      </c>
      <c r="BB205" s="298">
        <v>156440</v>
      </c>
      <c r="BE205" s="70"/>
      <c r="BF205" s="236"/>
    </row>
    <row r="206" spans="51:58" ht="12.75">
      <c r="AY206" s="103" t="s">
        <v>313</v>
      </c>
      <c r="AZ206" s="103" t="s">
        <v>753</v>
      </c>
      <c r="BA206" s="103" t="s">
        <v>89</v>
      </c>
      <c r="BB206" s="298">
        <v>262252</v>
      </c>
      <c r="BE206" s="70"/>
      <c r="BF206" s="237"/>
    </row>
    <row r="207" spans="51:58" ht="12.75">
      <c r="AY207" s="103" t="s">
        <v>325</v>
      </c>
      <c r="AZ207" s="103" t="s">
        <v>754</v>
      </c>
      <c r="BA207" s="103" t="s">
        <v>89</v>
      </c>
      <c r="BB207" s="298">
        <v>177806</v>
      </c>
      <c r="BE207" s="234"/>
      <c r="BF207" s="239"/>
    </row>
    <row r="208" spans="51:58" ht="12.75">
      <c r="AY208" s="103" t="s">
        <v>342</v>
      </c>
      <c r="AZ208" s="103" t="s">
        <v>755</v>
      </c>
      <c r="BA208" s="103" t="s">
        <v>89</v>
      </c>
      <c r="BB208" s="298">
        <v>184659</v>
      </c>
      <c r="BE208" s="234"/>
      <c r="BF208" s="239"/>
    </row>
    <row r="209" spans="51:58" ht="12.75">
      <c r="AY209" s="103" t="s">
        <v>412</v>
      </c>
      <c r="AZ209" s="103" t="s">
        <v>756</v>
      </c>
      <c r="BA209" s="103" t="s">
        <v>89</v>
      </c>
      <c r="BB209" s="298">
        <v>289448</v>
      </c>
      <c r="BE209" s="234"/>
      <c r="BF209" s="239"/>
    </row>
    <row r="210" spans="51:58" ht="12.75">
      <c r="AY210" s="103" t="s">
        <v>404</v>
      </c>
      <c r="AZ210" s="103" t="s">
        <v>757</v>
      </c>
      <c r="BA210" s="103" t="s">
        <v>89</v>
      </c>
      <c r="BB210" s="298">
        <v>466241</v>
      </c>
      <c r="BE210" s="234"/>
      <c r="BF210" s="239"/>
    </row>
    <row r="211" spans="51:58" ht="12.75">
      <c r="AY211" s="103" t="s">
        <v>400</v>
      </c>
      <c r="AZ211" s="103" t="s">
        <v>758</v>
      </c>
      <c r="BA211" s="103" t="s">
        <v>89</v>
      </c>
      <c r="BB211" s="298">
        <v>164555</v>
      </c>
      <c r="BE211" s="234"/>
      <c r="BF211" s="239"/>
    </row>
    <row r="212" spans="51:58" ht="12.75">
      <c r="AY212" s="103" t="s">
        <v>414</v>
      </c>
      <c r="AZ212" s="103" t="s">
        <v>759</v>
      </c>
      <c r="BA212" s="103" t="s">
        <v>89</v>
      </c>
      <c r="BB212" s="298">
        <v>216963</v>
      </c>
      <c r="BE212" s="234"/>
      <c r="BF212" s="239"/>
    </row>
    <row r="213" spans="51:58" ht="12.75">
      <c r="AY213" s="103" t="s">
        <v>421</v>
      </c>
      <c r="AZ213" s="103" t="s">
        <v>760</v>
      </c>
      <c r="BA213" s="103" t="s">
        <v>89</v>
      </c>
      <c r="BB213" s="298">
        <v>447767</v>
      </c>
      <c r="BE213" s="234"/>
      <c r="BF213" s="235"/>
    </row>
    <row r="214" spans="51:58" ht="12.75">
      <c r="AY214" s="103" t="s">
        <v>225</v>
      </c>
      <c r="AZ214" s="103" t="s">
        <v>761</v>
      </c>
      <c r="BA214" s="103" t="s">
        <v>89</v>
      </c>
      <c r="BB214" s="298">
        <v>901403</v>
      </c>
      <c r="BE214" s="234"/>
      <c r="BF214" s="235"/>
    </row>
    <row r="215" spans="51:58" ht="12.75">
      <c r="AY215" s="103" t="s">
        <v>226</v>
      </c>
      <c r="AZ215" s="103" t="s">
        <v>762</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INDEX(A5:A37,A4)</f>
        <v>(C82013) BUSHLOE END SURGERY</v>
      </c>
      <c r="B3" s="56" t="s">
        <v>619</v>
      </c>
      <c r="C3" s="56" t="s">
        <v>24</v>
      </c>
    </row>
    <row r="4" spans="1:2" ht="12.75">
      <c r="A4" s="76">
        <v>1</v>
      </c>
      <c r="B4" s="78" t="s">
        <v>379</v>
      </c>
    </row>
    <row r="5" ht="12.75">
      <c r="A5" s="277" t="s">
        <v>185</v>
      </c>
    </row>
    <row r="6" ht="12.75">
      <c r="A6" s="277" t="s">
        <v>183</v>
      </c>
    </row>
    <row r="7" ht="12.75">
      <c r="A7" s="277" t="s">
        <v>191</v>
      </c>
    </row>
    <row r="8" ht="12.75">
      <c r="A8" s="277" t="s">
        <v>192</v>
      </c>
    </row>
    <row r="9" ht="12.75">
      <c r="A9" s="277" t="s">
        <v>208</v>
      </c>
    </row>
    <row r="10" ht="12.75">
      <c r="A10" s="277" t="s">
        <v>196</v>
      </c>
    </row>
    <row r="11" ht="12.75">
      <c r="A11" s="277" t="s">
        <v>195</v>
      </c>
    </row>
    <row r="12" ht="12.75">
      <c r="A12" s="277" t="s">
        <v>203</v>
      </c>
    </row>
    <row r="13" ht="12.75">
      <c r="A13" s="277" t="s">
        <v>182</v>
      </c>
    </row>
    <row r="14" ht="12.75">
      <c r="A14" s="277" t="s">
        <v>190</v>
      </c>
    </row>
    <row r="15" ht="12.75">
      <c r="A15" s="277" t="s">
        <v>189</v>
      </c>
    </row>
    <row r="16" ht="12.75">
      <c r="A16" s="277" t="s">
        <v>204</v>
      </c>
    </row>
    <row r="17" ht="12.75">
      <c r="A17" s="277" t="s">
        <v>382</v>
      </c>
    </row>
    <row r="18" ht="12.75">
      <c r="A18" s="277" t="s">
        <v>384</v>
      </c>
    </row>
    <row r="19" ht="12.75">
      <c r="A19" s="277" t="s">
        <v>380</v>
      </c>
    </row>
    <row r="20" ht="12.75">
      <c r="A20" s="277" t="s">
        <v>207</v>
      </c>
    </row>
    <row r="21" ht="12.75">
      <c r="A21" s="277" t="s">
        <v>198</v>
      </c>
    </row>
    <row r="22" ht="12.75">
      <c r="A22" s="277" t="s">
        <v>184</v>
      </c>
    </row>
    <row r="23" ht="12.75">
      <c r="A23" s="277" t="s">
        <v>193</v>
      </c>
    </row>
    <row r="24" ht="12.75">
      <c r="A24" s="277" t="s">
        <v>206</v>
      </c>
    </row>
    <row r="25" ht="12.75">
      <c r="A25" s="277" t="s">
        <v>202</v>
      </c>
    </row>
    <row r="26" ht="12.75">
      <c r="A26" s="277" t="s">
        <v>209</v>
      </c>
    </row>
    <row r="27" ht="12.75">
      <c r="A27" s="277" t="s">
        <v>201</v>
      </c>
    </row>
    <row r="28" ht="12.75">
      <c r="A28" s="277" t="s">
        <v>187</v>
      </c>
    </row>
    <row r="29" ht="12.75">
      <c r="A29" s="277" t="s">
        <v>186</v>
      </c>
    </row>
    <row r="30" ht="12.75">
      <c r="A30" s="277" t="s">
        <v>197</v>
      </c>
    </row>
    <row r="31" ht="12.75">
      <c r="A31" s="277" t="s">
        <v>205</v>
      </c>
    </row>
    <row r="32" ht="12.75">
      <c r="A32" s="277" t="s">
        <v>194</v>
      </c>
    </row>
    <row r="33" ht="12.75">
      <c r="A33" s="277" t="s">
        <v>385</v>
      </c>
    </row>
    <row r="34" ht="12.75">
      <c r="A34" s="277" t="s">
        <v>188</v>
      </c>
    </row>
    <row r="35" ht="12.75">
      <c r="A35" s="277" t="s">
        <v>381</v>
      </c>
    </row>
    <row r="36" ht="12.75">
      <c r="A36" s="277" t="s">
        <v>200</v>
      </c>
    </row>
    <row r="37" ht="12.75">
      <c r="A37" s="277" t="s">
        <v>199</v>
      </c>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