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<sst xmlns="http://schemas.openxmlformats.org/spreadsheetml/2006/main" count="3266" uniqueCount="933">
  <si>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</si>
  <si>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</si>
  <si>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</si>
  <si>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</si>
  <si>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</si>
  <si>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</si>
  <si>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</si>
  <si>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</si>
  <si>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</si>
  <si>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</si>
  <si>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</si>
  <si>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</si>
  <si>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</si>
  <si>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</si>
  <si>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</si>
  <si>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</si>
  <si>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</si>
  <si>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</si>
  <si>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</si>
  <si>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</si>
  <si>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</si>
  <si>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</si>
  <si>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</si>
  <si>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</si>
  <si>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</si>
  <si>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</si>
  <si>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</si>
  <si>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</si>
  <si>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</si>
  <si>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</si>
  <si>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</si>
  <si>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</si>
  <si>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</si>
  <si>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</si>
  <si>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</si>
  <si>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</si>
  <si>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</si>
  <si>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</si>
  <si>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</si>
  <si>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</si>
  <si>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</si>
  <si>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</si>
  <si>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</si>
  <si>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</si>
  <si>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</si>
  <si>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</si>
  <si>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</si>
  <si>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</si>
  <si>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</si>
  <si>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</si>
  <si>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</si>
  <si>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</si>
  <si>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</si>
  <si>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</si>
  <si>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</si>
  <si>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</si>
  <si>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</si>
  <si>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M85002</t>
  </si>
  <si>
    <t>M85009</t>
  </si>
  <si>
    <t>M85010</t>
  </si>
  <si>
    <t>M85019</t>
  </si>
  <si>
    <t>M85020</t>
  </si>
  <si>
    <t>M85064</t>
  </si>
  <si>
    <t>M85072</t>
  </si>
  <si>
    <t>M85082</t>
  </si>
  <si>
    <t>M85093</t>
  </si>
  <si>
    <t>M85098</t>
  </si>
  <si>
    <t>M85100</t>
  </si>
  <si>
    <t>M85123</t>
  </si>
  <si>
    <t>M85133</t>
  </si>
  <si>
    <t>M85145</t>
  </si>
  <si>
    <t>M85154</t>
  </si>
  <si>
    <t>M85164</t>
  </si>
  <si>
    <t>M85166</t>
  </si>
  <si>
    <t>M85176</t>
  </si>
  <si>
    <t>M85178</t>
  </si>
  <si>
    <t>M85611</t>
  </si>
  <si>
    <t>M85634</t>
  </si>
  <si>
    <t>M85642</t>
  </si>
  <si>
    <t>M85652</t>
  </si>
  <si>
    <t>M85655</t>
  </si>
  <si>
    <t>M85663</t>
  </si>
  <si>
    <t>M85676</t>
  </si>
  <si>
    <t>M85686</t>
  </si>
  <si>
    <t>M85697</t>
  </si>
  <si>
    <t>M85701</t>
  </si>
  <si>
    <t>M85711</t>
  </si>
  <si>
    <t>M85715</t>
  </si>
  <si>
    <t>M85721</t>
  </si>
  <si>
    <t>M85757</t>
  </si>
  <si>
    <t>M85760</t>
  </si>
  <si>
    <t>M85778</t>
  </si>
  <si>
    <t>M85797</t>
  </si>
  <si>
    <t>M85801</t>
  </si>
  <si>
    <t>M85809</t>
  </si>
  <si>
    <t>M87013</t>
  </si>
  <si>
    <t>M88001</t>
  </si>
  <si>
    <t>M88002</t>
  </si>
  <si>
    <t>M88003</t>
  </si>
  <si>
    <t>M88004</t>
  </si>
  <si>
    <t>M88005</t>
  </si>
  <si>
    <t>M88007</t>
  </si>
  <si>
    <t>M88008</t>
  </si>
  <si>
    <t>M88009</t>
  </si>
  <si>
    <t>M88010</t>
  </si>
  <si>
    <t>M88012</t>
  </si>
  <si>
    <t>M88013</t>
  </si>
  <si>
    <t>M88014</t>
  </si>
  <si>
    <t>M88015</t>
  </si>
  <si>
    <t>M88016</t>
  </si>
  <si>
    <t>M88017</t>
  </si>
  <si>
    <t>M88018</t>
  </si>
  <si>
    <t>M88019</t>
  </si>
  <si>
    <t>M88021</t>
  </si>
  <si>
    <t>M88022</t>
  </si>
  <si>
    <t>M88023</t>
  </si>
  <si>
    <t>M88024</t>
  </si>
  <si>
    <t>M88026</t>
  </si>
  <si>
    <t>M88030</t>
  </si>
  <si>
    <t>M88031</t>
  </si>
  <si>
    <t>M88032</t>
  </si>
  <si>
    <t>M88035</t>
  </si>
  <si>
    <t>M88036</t>
  </si>
  <si>
    <t>M88038</t>
  </si>
  <si>
    <t>M88040</t>
  </si>
  <si>
    <t>M88041</t>
  </si>
  <si>
    <t>M88042</t>
  </si>
  <si>
    <t>M88043</t>
  </si>
  <si>
    <t>M88044</t>
  </si>
  <si>
    <t>M88600</t>
  </si>
  <si>
    <t>M88610</t>
  </si>
  <si>
    <t>M88612</t>
  </si>
  <si>
    <t>M88615</t>
  </si>
  <si>
    <t>M88616</t>
  </si>
  <si>
    <t>M88618</t>
  </si>
  <si>
    <t>M88619</t>
  </si>
  <si>
    <t>M88620</t>
  </si>
  <si>
    <t>M88623</t>
  </si>
  <si>
    <t>M88625</t>
  </si>
  <si>
    <t>M88626</t>
  </si>
  <si>
    <t>M88627</t>
  </si>
  <si>
    <t>M88628</t>
  </si>
  <si>
    <t>M88629</t>
  </si>
  <si>
    <t>M88630</t>
  </si>
  <si>
    <t>M88633</t>
  </si>
  <si>
    <t>M88635</t>
  </si>
  <si>
    <t>M88637</t>
  </si>
  <si>
    <t>M88639</t>
  </si>
  <si>
    <t>M88640</t>
  </si>
  <si>
    <t>M88643</t>
  </si>
  <si>
    <t>M88645</t>
  </si>
  <si>
    <t>M88646</t>
  </si>
  <si>
    <t>M88647</t>
  </si>
  <si>
    <t>Y00412</t>
  </si>
  <si>
    <t>Y00471</t>
  </si>
  <si>
    <t>Y00492</t>
  </si>
  <si>
    <t>Y01680</t>
  </si>
  <si>
    <t>Y02164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</si>
  <si>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</si>
  <si>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</si>
  <si>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</si>
  <si>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</si>
  <si>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</si>
  <si>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</si>
  <si>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</si>
  <si>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</si>
  <si>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</si>
  <si>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</si>
  <si>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</si>
  <si>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</si>
  <si>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</si>
  <si>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</si>
  <si>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</si>
  <si>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</si>
  <si>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</si>
  <si>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</si>
  <si>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</si>
  <si>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</si>
  <si>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</si>
  <si>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</si>
  <si>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</si>
  <si>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</si>
  <si>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</si>
  <si>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</si>
  <si>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</si>
  <si>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</si>
  <si>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</si>
  <si>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</si>
  <si>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</si>
  <si>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</si>
  <si>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</si>
  <si>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</si>
  <si>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</si>
  <si>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</si>
  <si>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</si>
  <si>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</si>
  <si>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</si>
  <si>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</si>
  <si>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</si>
  <si>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</si>
  <si>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</si>
  <si>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</si>
  <si>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</si>
  <si>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</si>
  <si>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</si>
  <si>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</si>
  <si>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</si>
  <si>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</si>
  <si>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</si>
  <si>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</si>
  <si>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</si>
  <si>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</si>
  <si>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</si>
  <si>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</si>
  <si>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</si>
  <si>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</si>
  <si>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</si>
  <si>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</si>
  <si>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</si>
  <si>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</si>
  <si>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</si>
  <si>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</si>
  <si>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</si>
  <si>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</si>
  <si>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</si>
  <si>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</si>
  <si>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</si>
  <si>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</si>
  <si>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</si>
  <si>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</si>
  <si>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</si>
  <si>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</si>
  <si>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</si>
  <si>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</si>
  <si>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</si>
  <si>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</si>
  <si>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</si>
  <si>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</si>
  <si>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</si>
  <si>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</si>
  <si>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</si>
  <si>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</si>
  <si>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</si>
  <si>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</si>
  <si>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</si>
  <si>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</si>
  <si>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</si>
  <si>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</si>
  <si>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</si>
  <si>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</si>
  <si>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</si>
  <si>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M85069</t>
  </si>
  <si>
    <t>M88624</t>
  </si>
  <si>
    <t>Y02702</t>
  </si>
  <si>
    <t>Y02704</t>
  </si>
  <si>
    <t>(M85002) HANDSWORTH WOOD MEDICAL CENTRE</t>
  </si>
  <si>
    <t>(M85009) HAMSTEAD RD SURGERY</t>
  </si>
  <si>
    <t>(M85010) GROVE LANE SURGERY</t>
  </si>
  <si>
    <t>(M85020) NEWTOWN HEALTH CENTRE</t>
  </si>
  <si>
    <t>(M85064) FIVE WAYS HEALTH CENTRE</t>
  </si>
  <si>
    <t>(M85069) LAURIE PIKE HEALTH CENTRE</t>
  </si>
  <si>
    <t>(M85082) HANDSWORTH MEDICAL PRACTICE</t>
  </si>
  <si>
    <t>(M85093) SPARKBROOK HEALTH CENTRE</t>
  </si>
  <si>
    <t>(M85098) ROTTON PARK MEDICAL CENTRE</t>
  </si>
  <si>
    <t>(M85100) SHANKLIN HOUSE SURGERY</t>
  </si>
  <si>
    <t>(M85123) AL-SHAFA MEDICAL CENTRE</t>
  </si>
  <si>
    <t>(M85133) CROMPTON ROAD SURGERY</t>
  </si>
  <si>
    <t>(M85164) NEWPORT MEDICAL PRACTICE</t>
  </si>
  <si>
    <t>(M85166) EJAZ MEDICAL CENTRE</t>
  </si>
  <si>
    <t>(M85176) KIRPAL MEDICAL PRACTICE</t>
  </si>
  <si>
    <t>(M85178) ENKI MEDICAL PRACTICE</t>
  </si>
  <si>
    <t>(M85634) HEATHFIELD FAMILY CENTRE</t>
  </si>
  <si>
    <t>(M85652) SUMMERFIELD PRIMARY CARE CENTRE</t>
  </si>
  <si>
    <t>(M85663) BLOOMSBURY HEALTH CENTRE</t>
  </si>
  <si>
    <t>(M85676) VICTORIA ROAD MEDICAL CENTRE</t>
  </si>
  <si>
    <t>(M85686) SUMMERFIELD PRIMARY CARE CENTRE</t>
  </si>
  <si>
    <t>(M85697) CHURCH ROAD SURGERY</t>
  </si>
  <si>
    <t>(M85701) DR ALAM SURGERY</t>
  </si>
  <si>
    <t>(M85711) CITY HEALTH CENTRE</t>
  </si>
  <si>
    <t>(M85721) HOLYHEAD PRIMARY HEALTH CARE CENTRE</t>
  </si>
  <si>
    <t>(M85757) SOHO ROAD HEALTH CENTRE</t>
  </si>
  <si>
    <t>(M85760) LADYWOOD SURGERY</t>
  </si>
  <si>
    <t>(M85778) HALCYON MEDICAL</t>
  </si>
  <si>
    <t>(M85797) HOCKLEY MEDICAL PRACTICE</t>
  </si>
  <si>
    <t>(M85801) HOLLY ROAD SURGERY</t>
  </si>
  <si>
    <t>(M85809) GREAT BARR SURGERY</t>
  </si>
  <si>
    <t>(M88002) THE SMETHWICK MEDICAL CENTRE</t>
  </si>
  <si>
    <t>(M88003) WARLEY MEDICAL CENTRE</t>
  </si>
  <si>
    <t>(M88004) REGIS MEDICAL CENTRE</t>
  </si>
  <si>
    <t>(M88005) OAKHAM SURGERY</t>
  </si>
  <si>
    <t>(M88007) OAKESWELL HEALTH CENTRE</t>
  </si>
  <si>
    <t>(M88008) STONECROSS MEDICAL CENTRE</t>
  </si>
  <si>
    <t>(M88009) NORVIC FAMILY PRACTICE</t>
  </si>
  <si>
    <t>(M88012) CARTERS GREEN MEDICAL CENTRE</t>
  </si>
  <si>
    <t>(M88013) BLACK COUNTRY FAMILY PRACTICE</t>
  </si>
  <si>
    <t>(M88015) GREAT BARR PRACTICE</t>
  </si>
  <si>
    <t>(M88017) DRS SK AND I SHARMA</t>
  </si>
  <si>
    <t>(M88018) OLDBURY HEALTH CENTRE</t>
  </si>
  <si>
    <t>(M88019) BEARWOOD ROAD SURGERY</t>
  </si>
  <si>
    <t>(M88022) JUBILEE HEALTH CENTRE</t>
  </si>
  <si>
    <t>(M88024) DR AKHTAR R</t>
  </si>
  <si>
    <t>(M88026) TIVIDALE FAMILY PRACTICE</t>
  </si>
  <si>
    <t>(M88030) CHURCH VIEW SURGERY</t>
  </si>
  <si>
    <t>(M88031) ROWLEY HEALTHCARE A</t>
  </si>
  <si>
    <t>(M88032) WHITEHEATH MEDICAL CENTRE</t>
  </si>
  <si>
    <t>(M88036) DARTMOUTH MEDICAL CENTRE</t>
  </si>
  <si>
    <t>(M88038) LINKWAY MEDICAL PRACTICE</t>
  </si>
  <si>
    <t>(M88041) HAWTHORNS MEDICAL CENTRE</t>
  </si>
  <si>
    <t>(M88042) BEARWOOD MEDICAL CENTRE</t>
  </si>
  <si>
    <t>(M88043) HADEN VALE SURGERY</t>
  </si>
  <si>
    <t>(M88600) THE VICTORIA SURGERY</t>
  </si>
  <si>
    <t>(M88610) SAREPHED MEDICAL CENTRE</t>
  </si>
  <si>
    <t>(M88619) DR ARORA RK</t>
  </si>
  <si>
    <t>(M88620) CAUSEWAY GREEN ROAD SURGERY</t>
  </si>
  <si>
    <t>(M88625) DR BASSAN TS</t>
  </si>
  <si>
    <t>(M88626) DR UI HAQUE N</t>
  </si>
  <si>
    <t>(M88627) DR BHADAURIA BS</t>
  </si>
  <si>
    <t>(M88628) DR SINGH M</t>
  </si>
  <si>
    <t>(M88629) DR HASSOUNA OJAR</t>
  </si>
  <si>
    <t>(M88633) LODGE ROAD SURGERY</t>
  </si>
  <si>
    <t>(M88635) DOG KENNEL LANE SURGERY</t>
  </si>
  <si>
    <t>(M88637) MARSHALL STREET SURGERY</t>
  </si>
  <si>
    <t>(M88639) DR PATHAK ND</t>
  </si>
  <si>
    <t>(M88640) WARLEY ROAD SURGERY</t>
  </si>
  <si>
    <t>(M88643) THE SPIRES HEALTH CENTRE</t>
  </si>
  <si>
    <t>(M88645) HILL TOP MEDICAL CENTRE</t>
  </si>
  <si>
    <t>(M88646) DR DEWAN VK</t>
  </si>
  <si>
    <t>(Y00471) BROADWAY HEALTH CENTRE</t>
  </si>
  <si>
    <t>(Y02164) ASTON PRIDE FRANCHISE</t>
  </si>
  <si>
    <t>(Y02702) MALLING HEALTH WEDNESBURY</t>
  </si>
  <si>
    <t>(Y02704) MALLING HEALTH CENTRE SANDWELL</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</si>
  <si>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</si>
  <si>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</si>
  <si>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</si>
  <si>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</si>
  <si>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</si>
  <si>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</si>
  <si>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</si>
  <si>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</si>
  <si>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</si>
  <si>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</si>
  <si>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</si>
  <si>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</si>
  <si>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</si>
  <si>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</si>
  <si>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</si>
  <si>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</si>
  <si>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</si>
  <si>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</si>
  <si>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</si>
  <si>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</si>
  <si>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</si>
  <si>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</si>
  <si>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</si>
  <si>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</si>
  <si>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</si>
  <si>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</si>
  <si>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</si>
  <si>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</si>
  <si>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</si>
  <si>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</si>
  <si>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</si>
  <si>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</si>
  <si>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</si>
  <si>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</si>
  <si>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</si>
  <si>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</si>
  <si>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</si>
  <si>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</si>
  <si>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(M85072) ST. JAMES MEDICAL CENTRE</t>
  </si>
  <si>
    <t>(M85145) SLIEVE SURGERY</t>
  </si>
  <si>
    <t>(M85154) LOZELLS MEDICAL CENTRE</t>
  </si>
  <si>
    <t>(M85611) COLSTON HEALTH CENTRE</t>
  </si>
  <si>
    <t>(M85642) CAVENDISH SURGERY</t>
  </si>
  <si>
    <t>(M85715) HANDSWORTH MEDICAL CENTRE</t>
  </si>
  <si>
    <t>05C</t>
  </si>
  <si>
    <t>(M87013) HORSELEY HEATH-TANDON</t>
  </si>
  <si>
    <t>(M88023) DR RAHMAN A</t>
  </si>
  <si>
    <t>(M88035) DR KARANDIKAR RV</t>
  </si>
  <si>
    <t>(M88044) OAKWOOD HEALTH CENTRE</t>
  </si>
  <si>
    <t>(M88612) GLEBEFIELDS HEALTH CENTRE</t>
  </si>
  <si>
    <t>(M88615) VICARAGE ROAD SURGERY</t>
  </si>
  <si>
    <t>(M88623) DR AMBASHT DP</t>
  </si>
  <si>
    <t>(M88624) GBPH</t>
  </si>
  <si>
    <t>(M88647) MENON MEDICAL PRACTICE</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</si>
  <si>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</si>
  <si>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</si>
  <si>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</si>
  <si>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</si>
  <si>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</si>
  <si>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</si>
  <si>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</si>
  <si>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</si>
  <si>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</si>
  <si>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</si>
  <si>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</si>
  <si>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</si>
  <si>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</si>
  <si>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</si>
  <si>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</si>
  <si>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</si>
  <si>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</si>
  <si>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</si>
  <si>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</si>
  <si>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</si>
  <si>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</si>
  <si>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</si>
  <si>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</si>
  <si>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</si>
  <si>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</si>
  <si>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</si>
  <si>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</si>
  <si>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</si>
  <si>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</si>
  <si>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</si>
  <si>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</si>
  <si>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</si>
  <si>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</si>
  <si>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</si>
  <si>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</si>
  <si>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</si>
  <si>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</si>
  <si>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</si>
  <si>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</si>
  <si>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</si>
  <si>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</si>
  <si>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</si>
  <si>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</si>
  <si>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</si>
  <si>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</si>
  <si>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</si>
  <si>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</si>
  <si>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</si>
  <si>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</si>
  <si>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</si>
  <si>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</si>
  <si>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</si>
  <si>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</si>
  <si>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</si>
  <si>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</si>
  <si>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</si>
  <si>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</si>
  <si>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</si>
  <si>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</si>
  <si>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</si>
  <si>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</si>
  <si>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</si>
  <si>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</si>
  <si>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</si>
  <si>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</si>
  <si>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</si>
  <si>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</si>
  <si>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</si>
  <si>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</si>
  <si>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(Y00412) HANDSWORTH MEDICAL PRACTICE</t>
  </si>
  <si>
    <t>11C</t>
  </si>
  <si>
    <t>08Q</t>
  </si>
  <si>
    <t>06T</t>
  </si>
  <si>
    <t>(Y00492) LANSDOWNE HEALTH CENTRE</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</si>
  <si>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</si>
  <si>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</si>
  <si>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</si>
  <si>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</si>
  <si>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</si>
  <si>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</si>
  <si>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</si>
  <si>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</si>
  <si>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</si>
  <si>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</si>
  <si>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</si>
  <si>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</si>
  <si>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</si>
  <si>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</si>
  <si>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</si>
  <si>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</si>
  <si>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</si>
  <si>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</si>
  <si>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</si>
  <si>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</si>
  <si>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</si>
  <si>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</si>
  <si>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</si>
  <si>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</si>
  <si>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</si>
  <si>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</si>
  <si>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</si>
  <si>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</si>
  <si>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</si>
  <si>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</si>
  <si>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</si>
  <si>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</si>
  <si>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</si>
  <si>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</si>
  <si>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</si>
  <si>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</si>
  <si>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</si>
  <si>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</si>
  <si>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(Y02701) MALLING HEALTH GREAT BRIDGE</t>
  </si>
  <si>
    <t>Y02701</t>
  </si>
  <si>
    <t>99C</t>
  </si>
  <si>
    <t>09J</t>
  </si>
  <si>
    <t>04F</t>
  </si>
  <si>
    <t>08C</t>
  </si>
  <si>
    <t>Y02961</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</si>
  <si>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</si>
  <si>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</si>
  <si>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</si>
  <si>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</si>
  <si>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</si>
  <si>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</si>
  <si>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</si>
  <si>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</si>
  <si>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</si>
  <si>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</si>
  <si>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</si>
  <si>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</si>
  <si>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</si>
  <si>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</si>
  <si>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</si>
  <si>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</si>
  <si>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</si>
  <si>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</si>
  <si>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</si>
  <si>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</si>
  <si>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</si>
  <si>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</si>
  <si>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</si>
  <si>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</si>
  <si>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</si>
  <si>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</si>
  <si>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</si>
  <si>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</si>
  <si>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</si>
  <si>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</si>
  <si>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</si>
  <si>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</si>
  <si>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</si>
  <si>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</si>
  <si>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</si>
  <si>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</si>
  <si>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</si>
  <si>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</si>
  <si>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</si>
  <si>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</si>
  <si>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</si>
  <si>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</si>
  <si>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</si>
  <si>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</si>
  <si>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</si>
  <si>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</si>
  <si>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</si>
  <si>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</si>
  <si>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</si>
  <si>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</si>
  <si>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</si>
  <si>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</si>
  <si>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</si>
  <si>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</si>
  <si>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</si>
  <si>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</si>
  <si>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</si>
  <si>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</si>
  <si>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</si>
  <si>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</si>
  <si>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</si>
  <si>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</si>
  <si>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</si>
  <si>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</si>
  <si>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</si>
  <si>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</si>
  <si>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</si>
  <si>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</si>
  <si>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</si>
  <si>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</si>
  <si>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</si>
  <si>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</si>
  <si>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</si>
  <si>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</si>
  <si>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</si>
  <si>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0.25</t>
  </si>
  <si>
    <t>0.11</t>
  </si>
  <si>
    <t>0.333333333</t>
  </si>
  <si>
    <t>0.4</t>
  </si>
  <si>
    <t>0.133333</t>
  </si>
  <si>
    <t>0.142857143</t>
  </si>
  <si>
    <t>0.272727273</t>
  </si>
  <si>
    <t>0.28</t>
  </si>
  <si>
    <t>0.33</t>
  </si>
  <si>
    <t>0.01505</t>
  </si>
  <si>
    <t>0.230769231</t>
  </si>
  <si>
    <t>0.909091</t>
  </si>
  <si>
    <t>0.0007</t>
  </si>
  <si>
    <t>0.466666667</t>
  </si>
  <si>
    <t>0.368421053</t>
  </si>
  <si>
    <t>0.003170058</t>
  </si>
  <si>
    <t>123.431</t>
  </si>
  <si>
    <t>0.358824</t>
  </si>
  <si>
    <t>0.544</t>
  </si>
  <si>
    <t>0.118182</t>
  </si>
  <si>
    <t>300.1</t>
  </si>
  <si>
    <t>0.1937</t>
  </si>
  <si>
    <t>61.356</t>
  </si>
  <si>
    <t>81.808</t>
  </si>
  <si>
    <t>112.486</t>
  </si>
  <si>
    <t>117.348</t>
  </si>
  <si>
    <t>0.085395557</t>
  </si>
  <si>
    <t>196.80541</t>
  </si>
  <si>
    <t>88.51279743</t>
  </si>
  <si>
    <t>0.0069</t>
  </si>
  <si>
    <t>0.586083</t>
  </si>
  <si>
    <t>0.4026935</t>
  </si>
  <si>
    <t>0.6747075</t>
  </si>
  <si>
    <t>0.333579</t>
  </si>
  <si>
    <t>0.3093075</t>
  </si>
  <si>
    <t>653.4948523</t>
  </si>
  <si>
    <t>0.055555556</t>
  </si>
  <si>
    <t>0.190909091</t>
  </si>
  <si>
    <t>232.4046747</t>
  </si>
  <si>
    <t>50.78911329</t>
  </si>
  <si>
    <t>37.2265488</t>
  </si>
  <si>
    <t>103.0413317</t>
  </si>
  <si>
    <t>259.5323519</t>
  </si>
  <si>
    <t>291.8938127</t>
  </si>
  <si>
    <t>302.2115909</t>
  </si>
  <si>
    <t>0.346807065</t>
  </si>
  <si>
    <t>0.165322581</t>
  </si>
  <si>
    <t>0.118570655</t>
  </si>
  <si>
    <t>331.1943697</t>
  </si>
  <si>
    <t>142.4501425</t>
  </si>
  <si>
    <t>0.0105</t>
  </si>
  <si>
    <t>0.667614</t>
  </si>
  <si>
    <t>0.557703</t>
  </si>
  <si>
    <t>0.714097</t>
  </si>
  <si>
    <t>0.434921</t>
  </si>
  <si>
    <t>1064.290041</t>
  </si>
  <si>
    <t>0.094117647</t>
  </si>
  <si>
    <t>356.6333809</t>
  </si>
  <si>
    <t>17.00102006</t>
  </si>
  <si>
    <t>98.25595677</t>
  </si>
  <si>
    <t>217.3125679</t>
  </si>
  <si>
    <t>387.9728419</t>
  </si>
  <si>
    <t>513.6986301</t>
  </si>
  <si>
    <t>461.0951009</t>
  </si>
  <si>
    <t>0.155093473</t>
  </si>
  <si>
    <t>498.4282834</t>
  </si>
  <si>
    <t>238.0524371</t>
  </si>
  <si>
    <t>0.716654</t>
  </si>
  <si>
    <t>0.689507</t>
  </si>
  <si>
    <t>0.7611665</t>
  </si>
  <si>
    <t>0.489055</t>
  </si>
  <si>
    <t>0.459286</t>
  </si>
  <si>
    <t>1728.876999</t>
  </si>
  <si>
    <t>0.133830846</t>
  </si>
  <si>
    <t>0.449404762</t>
  </si>
  <si>
    <t>479.3496027</t>
  </si>
  <si>
    <t>287.5488672</t>
  </si>
  <si>
    <t>37.71047908</t>
  </si>
  <si>
    <t>221.4807736</t>
  </si>
  <si>
    <t>337.710289</t>
  </si>
  <si>
    <t>606.2883869</t>
  </si>
  <si>
    <t>780.2115278</t>
  </si>
  <si>
    <t>678.1669923</t>
  </si>
  <si>
    <t>0.557692308</t>
  </si>
  <si>
    <t>0.405713058</t>
  </si>
  <si>
    <t>0.283648881</t>
  </si>
  <si>
    <t>0.47</t>
  </si>
  <si>
    <t>838.2868465</t>
  </si>
  <si>
    <t>467.7754678</t>
  </si>
  <si>
    <t>0.0281</t>
  </si>
  <si>
    <t>0.840909</t>
  </si>
  <si>
    <t>0.649335</t>
  </si>
  <si>
    <t>0.606195</t>
  </si>
  <si>
    <t>3720.663995</t>
  </si>
  <si>
    <t>1.5195</t>
  </si>
  <si>
    <t>841.0845043</t>
  </si>
  <si>
    <t>801.3737836</t>
  </si>
  <si>
    <t>228.9639382</t>
  </si>
  <si>
    <t>840.7969293</t>
  </si>
  <si>
    <t>1394.083645</t>
  </si>
  <si>
    <t>1615.096906</t>
  </si>
  <si>
    <t>1316.542645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</si>
  <si>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</si>
  <si>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</si>
  <si>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</si>
  <si>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</si>
  <si>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</si>
  <si>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</si>
  <si>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</si>
  <si>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</si>
  <si>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</si>
  <si>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</si>
  <si>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</si>
  <si>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</si>
  <si>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</si>
  <si>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</si>
  <si>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</si>
  <si>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</si>
  <si>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</si>
  <si>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</si>
  <si>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</si>
  <si>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</si>
  <si>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</si>
  <si>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</si>
  <si>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</si>
  <si>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</si>
  <si>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</si>
  <si>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</si>
  <si>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</si>
  <si>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</si>
  <si>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</si>
  <si>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</si>
  <si>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</si>
  <si>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</si>
  <si>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</si>
  <si>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</si>
  <si>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</si>
  <si>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</si>
  <si>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</si>
  <si>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</si>
  <si>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</si>
  <si>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</si>
  <si>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</si>
  <si>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</si>
  <si>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</si>
  <si>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</si>
  <si>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</si>
  <si>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</si>
  <si>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</si>
  <si>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</si>
  <si>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</si>
  <si>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</si>
  <si>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</si>
  <si>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</si>
  <si>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</si>
  <si>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</si>
  <si>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</si>
  <si>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</si>
  <si>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</si>
  <si>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</si>
  <si>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</si>
  <si>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</si>
  <si>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</si>
  <si>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</si>
  <si>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</si>
  <si>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</si>
  <si>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</si>
  <si>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</si>
  <si>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</si>
  <si>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</si>
  <si>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</si>
  <si>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</si>
  <si>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</si>
  <si>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</si>
  <si>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</si>
  <si>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</si>
  <si>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</si>
  <si>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</si>
  <si>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</si>
  <si>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</si>
  <si>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</si>
  <si>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</si>
  <si>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</si>
  <si>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</si>
  <si>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</si>
  <si>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</si>
  <si>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</si>
  <si>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</si>
  <si>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</si>
  <si>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</si>
  <si>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</si>
  <si>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</si>
  <si>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</si>
  <si>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</si>
  <si>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</si>
  <si>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</si>
  <si>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</si>
  <si>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</si>
  <si>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</si>
  <si>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</si>
  <si>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</si>
  <si>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</si>
  <si>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</si>
  <si>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</si>
  <si>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</si>
  <si>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</si>
  <si>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</si>
  <si>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</si>
  <si>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</si>
  <si>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</si>
  <si>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</si>
  <si>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</si>
  <si>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</si>
  <si>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</si>
  <si>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</si>
  <si>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</si>
  <si>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</si>
  <si>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</si>
  <si>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</si>
  <si>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</si>
  <si>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</si>
  <si>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</si>
  <si>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</si>
  <si>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</si>
  <si>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</si>
  <si>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</si>
  <si>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</si>
  <si>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</si>
  <si>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</si>
  <si>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</si>
  <si>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</si>
  <si>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</si>
  <si>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</si>
  <si>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</si>
  <si>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</si>
  <si>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</si>
  <si>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</si>
  <si>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</si>
  <si>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</si>
  <si>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</si>
  <si>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</si>
  <si>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</si>
  <si>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</si>
  <si>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</si>
  <si>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</si>
  <si>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</si>
  <si>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</si>
  <si>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</si>
  <si>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</si>
  <si>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</si>
  <si>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</si>
  <si>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</si>
  <si>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</si>
  <si>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</si>
  <si>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</si>
  <si>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</si>
  <si>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</si>
  <si>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</si>
  <si>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</si>
  <si>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</si>
  <si>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</si>
  <si>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</si>
  <si>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</si>
  <si>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</si>
  <si>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</si>
  <si>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</si>
  <si>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</si>
  <si>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</si>
  <si>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</si>
  <si>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</si>
  <si>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</si>
  <si>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</si>
  <si>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</si>
  <si>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</si>
  <si>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</si>
  <si>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</si>
  <si>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</si>
  <si>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</si>
  <si>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</si>
  <si>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</si>
  <si>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</si>
  <si>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</si>
  <si>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</si>
  <si>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</si>
  <si>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</si>
  <si>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</si>
  <si>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</si>
  <si>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</si>
  <si>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</si>
  <si>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</si>
  <si>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</si>
  <si>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</si>
  <si>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</si>
  <si>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</si>
  <si>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</si>
  <si>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</si>
  <si>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</si>
  <si>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</si>
  <si>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</si>
  <si>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</si>
  <si>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</si>
  <si>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</si>
  <si>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</si>
  <si>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</si>
  <si>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</si>
  <si>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</si>
  <si>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</si>
  <si>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</si>
  <si>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</si>
  <si>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</si>
  <si>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</si>
  <si>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</si>
  <si>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</si>
  <si>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</si>
  <si>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</si>
  <si>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</si>
  <si>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</si>
  <si>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</si>
  <si>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</si>
  <si>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</si>
  <si>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</si>
  <si>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</si>
  <si>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</si>
  <si>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</si>
  <si>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</si>
  <si>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</si>
  <si>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</si>
  <si>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</si>
  <si>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</si>
  <si>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</si>
  <si>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</si>
  <si>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</si>
  <si>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</si>
  <si>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</si>
  <si>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</si>
  <si>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</si>
  <si>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</si>
  <si>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</si>
  <si>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(M88630) DR AGRAWAL NK + PARTNER</t>
  </si>
  <si>
    <t>(M88001) DR AHMED SF + PARTNER</t>
  </si>
  <si>
    <t>(M88014) DR GUDI PV + PARTNER</t>
  </si>
  <si>
    <t>(M88021) DR PAL P + PARTNER</t>
  </si>
  <si>
    <t>(M88010) DRS LEADBEATER + BHIMJI</t>
  </si>
  <si>
    <t>(Y02961) SUMMERFIELD GP SURG + URGENT CARE CENTRE</t>
  </si>
  <si>
    <t>(M88616) GREAT BRIDGE P-SHIP FOR HEALTH</t>
  </si>
  <si>
    <t>(M88016) HADEN ROAD  CRADLEY HEATH</t>
  </si>
  <si>
    <t>(M88618) WALFORD STREET  TIVIDALE</t>
  </si>
  <si>
    <t>(Y01680) DR ASP SINHAS PRACTICE</t>
  </si>
  <si>
    <t>(M85655) DR B BHATTACHARYYAS PRACTICE</t>
  </si>
  <si>
    <t>(M85019) DR DK NANDIS PRACTICE</t>
  </si>
  <si>
    <t>(M88040) ST PAULS MEDICAL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</si>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</sst>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0.7806033226464588</c:v>
                </c:pt>
                <c:pt idx="8">
                  <c:v>0.8965345354068385</c:v>
                </c:pt>
                <c:pt idx="9">
                  <c:v>1</c:v>
                </c:pt>
                <c:pt idx="10">
                  <c:v>0.8384711071260564</c:v>
                </c:pt>
                <c:pt idx="11">
                  <c:v>0.8866151417310729</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0.6106227601452417</c:v>
                </c:pt>
                <c:pt idx="3">
                  <c:v>0.631578947368421</c:v>
                </c:pt>
                <c:pt idx="4">
                  <c:v>0.6648948873737265</c:v>
                </c:pt>
                <c:pt idx="5">
                  <c:v>0.6469333727889767</c:v>
                </c:pt>
                <c:pt idx="6">
                  <c:v>0.6292613636363636</c:v>
                </c:pt>
                <c:pt idx="7">
                  <c:v>0.5794067165387481</c:v>
                </c:pt>
                <c:pt idx="8">
                  <c:v>0.618166837904763</c:v>
                </c:pt>
                <c:pt idx="9">
                  <c:v>0.6206947393253125</c:v>
                </c:pt>
                <c:pt idx="10">
                  <c:v>0.585455217071469</c:v>
                </c:pt>
                <c:pt idx="11">
                  <c:v>0.6111611110486113</c:v>
                </c:pt>
                <c:pt idx="12">
                  <c:v>0.6250928840420334</c:v>
                </c:pt>
                <c:pt idx="13">
                  <c:v>0</c:v>
                </c:pt>
                <c:pt idx="14">
                  <c:v>0.6068234782889799</c:v>
                </c:pt>
                <c:pt idx="15">
                  <c:v>0.5641121029957321</c:v>
                </c:pt>
                <c:pt idx="16">
                  <c:v>0.6266549047701103</c:v>
                </c:pt>
                <c:pt idx="17">
                  <c:v>0.6101028371495169</c:v>
                </c:pt>
                <c:pt idx="18">
                  <c:v>0.5488516085778776</c:v>
                </c:pt>
                <c:pt idx="19">
                  <c:v>0.5829750959129878</c:v>
                </c:pt>
                <c:pt idx="20">
                  <c:v>0.6030694367847237</c:v>
                </c:pt>
                <c:pt idx="21">
                  <c:v>0.6084947822483032</c:v>
                </c:pt>
                <c:pt idx="22">
                  <c:v>0.6209884305848494</c:v>
                </c:pt>
                <c:pt idx="23">
                  <c:v>0.6268762140338933</c:v>
                </c:pt>
                <c:pt idx="24">
                  <c:v>0.56666666632</c:v>
                </c:pt>
                <c:pt idx="25">
                  <c:v>0.5853365384908354</c:v>
                </c:pt>
                <c:pt idx="26">
                  <c:v>0.5914277272217854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0.399517038667474</c:v>
                </c:pt>
                <c:pt idx="3">
                  <c:v>0.4210526315789473</c:v>
                </c:pt>
                <c:pt idx="4">
                  <c:v>0.36749067887177145</c:v>
                </c:pt>
                <c:pt idx="5">
                  <c:v>0.4171024496475006</c:v>
                </c:pt>
                <c:pt idx="6">
                  <c:v>0.3977272727272727</c:v>
                </c:pt>
                <c:pt idx="7">
                  <c:v>0.36798309530749057</c:v>
                </c:pt>
                <c:pt idx="8">
                  <c:v>0.3610286299338537</c:v>
                </c:pt>
                <c:pt idx="9">
                  <c:v>0.39899817430279916</c:v>
                </c:pt>
                <c:pt idx="10">
                  <c:v>0.3400228579366608</c:v>
                </c:pt>
                <c:pt idx="11">
                  <c:v>0.3299517750602812</c:v>
                </c:pt>
                <c:pt idx="12">
                  <c:v>0.4226774550922283</c:v>
                </c:pt>
                <c:pt idx="13">
                  <c:v>0</c:v>
                </c:pt>
                <c:pt idx="14">
                  <c:v>0.39627285652016686</c:v>
                </c:pt>
                <c:pt idx="15">
                  <c:v>0.35946969666802403</c:v>
                </c:pt>
                <c:pt idx="16">
                  <c:v>0.3717840663386931</c:v>
                </c:pt>
                <c:pt idx="17">
                  <c:v>0.4304463950807851</c:v>
                </c:pt>
                <c:pt idx="18">
                  <c:v>0.4598962398489651</c:v>
                </c:pt>
                <c:pt idx="19">
                  <c:v>0.45890502327295196</c:v>
                </c:pt>
                <c:pt idx="20">
                  <c:v>0.4021752916232887</c:v>
                </c:pt>
                <c:pt idx="21">
                  <c:v>0.4361698087306821</c:v>
                </c:pt>
                <c:pt idx="22">
                  <c:v>0.39930762456534913</c:v>
                </c:pt>
                <c:pt idx="23">
                  <c:v>0.407134276615898</c:v>
                </c:pt>
                <c:pt idx="24">
                  <c:v>0.4428571427828571</c:v>
                </c:pt>
                <c:pt idx="25">
                  <c:v>0.38763162305476984</c:v>
                </c:pt>
                <c:pt idx="26">
                  <c:v>0.4261592742223097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0.15046693377962525</c:v>
                </c:pt>
                <c:pt idx="3">
                  <c:v>0.052631578947368224</c:v>
                </c:pt>
                <c:pt idx="4">
                  <c:v>0.29514252409039093</c:v>
                </c:pt>
                <c:pt idx="5">
                  <c:v>0.3758300749787954</c:v>
                </c:pt>
                <c:pt idx="6">
                  <c:v>0.22159090909090903</c:v>
                </c:pt>
                <c:pt idx="7">
                  <c:v>0</c:v>
                </c:pt>
                <c:pt idx="8">
                  <c:v>0</c:v>
                </c:pt>
                <c:pt idx="9">
                  <c:v>0.06384042585925735</c:v>
                </c:pt>
                <c:pt idx="10">
                  <c:v>0</c:v>
                </c:pt>
                <c:pt idx="11">
                  <c:v>0</c:v>
                </c:pt>
                <c:pt idx="12">
                  <c:v>0.3561591752077539</c:v>
                </c:pt>
                <c:pt idx="13">
                  <c:v>0</c:v>
                </c:pt>
                <c:pt idx="14">
                  <c:v>0.3282019622379108</c:v>
                </c:pt>
                <c:pt idx="15">
                  <c:v>0.32568287460664835</c:v>
                </c:pt>
                <c:pt idx="16">
                  <c:v>0.2265831699999315</c:v>
                </c:pt>
                <c:pt idx="17">
                  <c:v>0.42735862205506175</c:v>
                </c:pt>
                <c:pt idx="18">
                  <c:v>0.4699791827464977</c:v>
                </c:pt>
                <c:pt idx="19">
                  <c:v>0.4683181410113372</c:v>
                </c:pt>
                <c:pt idx="20">
                  <c:v>0.3664895359358134</c:v>
                </c:pt>
                <c:pt idx="21">
                  <c:v>0.34784735391139143</c:v>
                </c:pt>
                <c:pt idx="22">
                  <c:v>0.31786214901591714</c:v>
                </c:pt>
                <c:pt idx="23">
                  <c:v>0.2990834719961411</c:v>
                </c:pt>
                <c:pt idx="24">
                  <c:v>0.37281376481184414</c:v>
                </c:pt>
                <c:pt idx="25">
                  <c:v>0.2294228120183893</c:v>
                </c:pt>
                <c:pt idx="26">
                  <c:v>0.3483742997556404</c:v>
                </c:pt>
              </c:numCache>
            </c:numRef>
          </c:val>
        </c:ser>
        <c:overlap val="100"/>
        <c:gapWidth val="100"/>
        <c:axId val="10384277"/>
        <c:axId val="2634963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0.6377023734443724</c:v>
                </c:pt>
                <c:pt idx="3">
                  <c:v>0.15934777867925223</c:v>
                </c:pt>
                <c:pt idx="4">
                  <c:v>0.6377450350097666</c:v>
                </c:pt>
                <c:pt idx="5">
                  <c:v>0.6403346942487795</c:v>
                </c:pt>
                <c:pt idx="6">
                  <c:v>0.7055749484407198</c:v>
                </c:pt>
                <c:pt idx="7">
                  <c:v>0.5924117763301341</c:v>
                </c:pt>
                <c:pt idx="8">
                  <c:v>0.665722001434077</c:v>
                </c:pt>
                <c:pt idx="9">
                  <c:v>0.5999187802569905</c:v>
                </c:pt>
                <c:pt idx="10">
                  <c:v>0.720261990041764</c:v>
                </c:pt>
                <c:pt idx="11">
                  <c:v>0.7934463308713221</c:v>
                </c:pt>
                <c:pt idx="12">
                  <c:v>0.6727266039064677</c:v>
                </c:pt>
                <c:pt idx="13">
                  <c:v>0.5</c:v>
                </c:pt>
                <c:pt idx="14">
                  <c:v>0.5310869836960723</c:v>
                </c:pt>
                <c:pt idx="15">
                  <c:v>0.5762865044104922</c:v>
                </c:pt>
                <c:pt idx="16">
                  <c:v>0.5155714290582768</c:v>
                </c:pt>
                <c:pt idx="17">
                  <c:v>0.6461121885510356</c:v>
                </c:pt>
                <c:pt idx="18">
                  <c:v>0.6429200974259031</c:v>
                </c:pt>
                <c:pt idx="19">
                  <c:v>0.6686891737350258</c:v>
                </c:pt>
                <c:pt idx="20">
                  <c:v>0.8475451489028965</c:v>
                </c:pt>
                <c:pt idx="21">
                  <c:v>0.5221516076506463</c:v>
                </c:pt>
                <c:pt idx="22">
                  <c:v>0.7223474195335513</c:v>
                </c:pt>
                <c:pt idx="23">
                  <c:v>0.573546979715498</c:v>
                </c:pt>
                <c:pt idx="24">
                  <c:v>0.5041844390701491</c:v>
                </c:pt>
                <c:pt idx="25">
                  <c:v>0.5236606683455759</c:v>
                </c:pt>
                <c:pt idx="26">
                  <c:v>0.49873581414593865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0.40747411487697244</c:v>
                </c:pt>
                <c:pt idx="6">
                  <c:v>-999</c:v>
                </c:pt>
                <c:pt idx="7">
                  <c:v>-999</c:v>
                </c:pt>
                <c:pt idx="8">
                  <c:v>-999</c:v>
                </c:pt>
                <c:pt idx="9">
                  <c:v>0.5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0.3683935765335982</c:v>
                </c:pt>
                <c:pt idx="3">
                  <c:v>0.8157894736842106</c:v>
                </c:pt>
                <c:pt idx="4">
                  <c:v>0.3356333932843731</c:v>
                </c:pt>
                <c:pt idx="5">
                  <c:v>-999</c:v>
                </c:pt>
                <c:pt idx="6">
                  <c:v>0.33806818181818177</c:v>
                </c:pt>
                <c:pt idx="7">
                  <c:v>0.32692120858836105</c:v>
                </c:pt>
                <c:pt idx="8">
                  <c:v>0.46478233038014866</c:v>
                </c:pt>
                <c:pt idx="9">
                  <c:v>-999</c:v>
                </c:pt>
                <c:pt idx="10">
                  <c:v>0.13257603263254608</c:v>
                </c:pt>
                <c:pt idx="11">
                  <c:v>0.07291678385402015</c:v>
                </c:pt>
                <c:pt idx="12">
                  <c:v>0.4003006915226379</c:v>
                </c:pt>
                <c:pt idx="13">
                  <c:v>0.15130844598784574</c:v>
                </c:pt>
                <c:pt idx="14">
                  <c:v>-999</c:v>
                </c:pt>
                <c:pt idx="15">
                  <c:v>-999</c:v>
                </c:pt>
                <c:pt idx="16">
                  <c:v>0.3582880014017425</c:v>
                </c:pt>
                <c:pt idx="17">
                  <c:v>0.4647197298280304</c:v>
                </c:pt>
                <c:pt idx="18">
                  <c:v>-999</c:v>
                </c:pt>
                <c:pt idx="19">
                  <c:v>-999</c:v>
                </c:pt>
                <c:pt idx="20">
                  <c:v>0.3843747460694138</c:v>
                </c:pt>
                <c:pt idx="21">
                  <c:v>0.38212797732332365</c:v>
                </c:pt>
                <c:pt idx="22">
                  <c:v>0.3788111936893235</c:v>
                </c:pt>
                <c:pt idx="23">
                  <c:v>0.4067630272637959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5820079"/>
        <c:axId val="53945256"/>
      </c:scatterChart>
      <c:catAx>
        <c:axId val="10384277"/>
        <c:scaling>
          <c:orientation val="maxMin"/>
        </c:scaling>
        <c:axPos val="l"/>
        <c:delete val="0"/>
        <c:numFmt formatCode="General" sourceLinked="1"/>
        <c:majorTickMark val="out"/>
        <c:minorTickMark val="none"/>
        <c:tickLblPos val="none"/>
        <c:spPr>
          <a:ln w="3175">
            <a:noFill/>
          </a:ln>
        </c:spPr>
        <c:crossAx val="26349630"/>
        <c:crosses val="autoZero"/>
        <c:auto val="1"/>
        <c:lblOffset val="100"/>
        <c:tickLblSkip val="1"/>
        <c:noMultiLvlLbl val="0"/>
      </c:catAx>
      <c:valAx>
        <c:axId val="26349630"/>
        <c:scaling>
          <c:orientation val="minMax"/>
          <c:max val="1"/>
          <c:min val="0"/>
        </c:scaling>
        <c:axPos val="t"/>
        <c:delete val="0"/>
        <c:numFmt formatCode="General" sourceLinked="1"/>
        <c:majorTickMark val="none"/>
        <c:minorTickMark val="none"/>
        <c:tickLblPos val="none"/>
        <c:spPr>
          <a:ln w="3175">
            <a:noFill/>
          </a:ln>
        </c:spPr>
        <c:crossAx val="10384277"/>
        <c:crossesAt val="1"/>
        <c:crossBetween val="between"/>
        <c:dispUnits/>
        <c:majorUnit val="1"/>
      </c:valAx>
      <c:valAx>
        <c:axId val="35820079"/>
        <c:scaling>
          <c:orientation val="minMax"/>
          <c:max val="1"/>
          <c:min val="0"/>
        </c:scaling>
        <c:axPos val="t"/>
        <c:delete val="0"/>
        <c:numFmt formatCode="General" sourceLinked="1"/>
        <c:majorTickMark val="none"/>
        <c:minorTickMark val="none"/>
        <c:tickLblPos val="none"/>
        <c:spPr>
          <a:ln w="3175">
            <a:noFill/>
          </a:ln>
        </c:spPr>
        <c:crossAx val="53945256"/>
        <c:crosses val="max"/>
        <c:crossBetween val="midCat"/>
        <c:dispUnits/>
        <c:majorUnit val="0.1"/>
        <c:minorUnit val="0.02"/>
      </c:valAx>
      <c:valAx>
        <c:axId val="53945256"/>
        <c:scaling>
          <c:orientation val="maxMin"/>
          <c:max val="29"/>
          <c:min val="0"/>
        </c:scaling>
        <c:axPos val="l"/>
        <c:delete val="0"/>
        <c:numFmt formatCode="General" sourceLinked="1"/>
        <c:majorTickMark val="none"/>
        <c:minorTickMark val="none"/>
        <c:tickLblPos val="none"/>
        <c:spPr>
          <a:ln w="3175">
            <a:noFill/>
          </a:ln>
        </c:spPr>
        <c:crossAx val="3582007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(M85123) AL-SHAFA MEDICAL CENTRE, NHS SANDWELL AND WEST BIRMINGHAM CCG (05L)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894</v>
      </c>
      <c r="Q3" s="65"/>
      <c r="R3" s="66"/>
      <c r="S3" s="66"/>
      <c r="T3" s="66"/>
      <c r="U3" s="66"/>
      <c r="V3" s="66"/>
      <c r="W3" s="66"/>
      <c r="X3" s="66"/>
      <c r="Y3" s="66"/>
      <c r="Z3" s="66"/>
      <c r="AA3" s="66"/>
      <c r="AB3" s="66"/>
      <c r="AC3" s="66"/>
    </row>
    <row r="4" spans="2:29" ht="18" customHeight="1">
      <c r="B4" s="317" t="s">
        <v>895</v>
      </c>
      <c r="C4" s="318"/>
      <c r="D4" s="318"/>
      <c r="E4" s="318"/>
      <c r="F4" s="318"/>
      <c r="G4" s="319"/>
      <c r="H4" s="111"/>
      <c r="I4" s="111"/>
      <c r="J4" s="111"/>
      <c r="K4" s="111"/>
      <c r="L4" s="112"/>
      <c r="M4" s="65"/>
      <c r="N4" s="65"/>
      <c r="O4" s="65"/>
      <c r="P4" s="133" t="s">
        <v>896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230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206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914</v>
      </c>
      <c r="C8" s="114"/>
      <c r="D8" s="114"/>
      <c r="E8" s="127">
        <f>VLOOKUP('Hide - Control'!A$3,'All practice data'!A:CA,4,FALSE)</f>
        <v>7295</v>
      </c>
      <c r="F8" s="332" t="str">
        <f>VLOOKUP('Hide - Control'!B4,'Hide - Calculation'!AY:BA,3,FALSE)</f>
        <v> </v>
      </c>
      <c r="G8" s="332"/>
      <c r="H8" s="332"/>
      <c r="I8" s="114"/>
      <c r="J8" s="114"/>
      <c r="K8" s="114"/>
      <c r="L8" s="114"/>
      <c r="M8" s="108"/>
      <c r="N8" s="308" t="s">
        <v>897</v>
      </c>
      <c r="O8" s="308"/>
      <c r="P8" s="308"/>
      <c r="Q8" s="308" t="s">
        <v>898</v>
      </c>
      <c r="R8" s="308"/>
      <c r="S8" s="308"/>
      <c r="T8" s="308" t="s">
        <v>899</v>
      </c>
      <c r="U8" s="308"/>
      <c r="V8" s="308" t="s">
        <v>900</v>
      </c>
      <c r="W8" s="308"/>
      <c r="X8" s="308"/>
      <c r="Y8" s="134"/>
      <c r="Z8" s="308" t="s">
        <v>901</v>
      </c>
      <c r="AA8" s="308"/>
      <c r="AB8" s="160"/>
      <c r="AC8" s="108"/>
    </row>
    <row r="9" spans="2:29" s="61" customFormat="1" ht="19.5" customHeight="1" thickBot="1">
      <c r="B9" s="113" t="s">
        <v>902</v>
      </c>
      <c r="C9" s="113"/>
      <c r="D9" s="113"/>
      <c r="E9" s="128">
        <f>VLOOKUP('Hide - Control'!B4,'Hide - Calculation'!AY:BB,4,FALSE)</f>
        <v>530073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903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209</v>
      </c>
      <c r="E11" s="315"/>
      <c r="F11" s="316"/>
      <c r="G11" s="260" t="s">
        <v>207</v>
      </c>
      <c r="H11" s="252" t="s">
        <v>208</v>
      </c>
      <c r="I11" s="252" t="s">
        <v>216</v>
      </c>
      <c r="J11" s="252" t="s">
        <v>217</v>
      </c>
      <c r="K11" s="297" t="s">
        <v>904</v>
      </c>
      <c r="L11" s="253" t="s">
        <v>206</v>
      </c>
      <c r="M11" s="254" t="s">
        <v>225</v>
      </c>
      <c r="N11" s="312" t="s">
        <v>224</v>
      </c>
      <c r="O11" s="312"/>
      <c r="P11" s="312"/>
      <c r="Q11" s="312"/>
      <c r="R11" s="312"/>
      <c r="S11" s="312"/>
      <c r="T11" s="312"/>
      <c r="U11" s="312"/>
      <c r="V11" s="312"/>
      <c r="W11" s="312"/>
      <c r="X11" s="312"/>
      <c r="Y11" s="312"/>
      <c r="Z11" s="312"/>
      <c r="AA11" s="255" t="s">
        <v>226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165</v>
      </c>
      <c r="C13" s="162">
        <v>1</v>
      </c>
      <c r="D13" s="334" t="s">
        <v>161</v>
      </c>
      <c r="E13" s="335"/>
      <c r="F13" s="335"/>
      <c r="G13" s="165">
        <f>IF(VLOOKUP('Hide - Control'!A$3,'All practice data'!A:CA,C13+4,FALSE)=" "," ",VLOOKUP('Hide - Control'!A$3,'All practice data'!A:CA,C13+4,FALSE))</f>
        <v>548</v>
      </c>
      <c r="H13" s="189">
        <f>IF(VLOOKUP('Hide - Control'!A$3,'All practice data'!A:CA,C13+30,FALSE)=" "," ",VLOOKUP('Hide - Control'!A$3,'All practice data'!A:CA,C13+30,FALSE))</f>
        <v>0.07511994516792324</v>
      </c>
      <c r="I13" s="190">
        <f>IF(LEFT(G13,1)=" "," n/a",+((2*G13+1.96^2-1.96*SQRT(1.96^2+4*G13*(1-G13/E$8)))/(2*(E$8+1.96^2))))</f>
        <v>0.06929230691623159</v>
      </c>
      <c r="J13" s="190">
        <f>IF(LEFT(G13,1)=" "," n/a",+((2*G13+1.96^2+1.96*SQRT(1.96^2+4*G13*(1-G13/E$8)))/(2*(E$8+1.96^2))))</f>
        <v>0.08139483773970944</v>
      </c>
      <c r="K13" s="189">
        <f>IF('Hide - Calculation'!N7="","",'Hide - Calculation'!N7)</f>
        <v>0.12829365011988914</v>
      </c>
      <c r="L13" s="191">
        <f>'Hide - Calculation'!O7</f>
        <v>0.16403398204837302</v>
      </c>
      <c r="M13" s="301" t="str">
        <f>IF(ISBLANK('Hide - Calculation'!K7),"",FIXED(100*'Hide - Calculation'!U7,1)&amp;"%")</f>
        <v>0.3%</v>
      </c>
      <c r="N13" s="172"/>
      <c r="O13" s="172"/>
      <c r="P13" s="172"/>
      <c r="Q13" s="172"/>
      <c r="R13" s="172"/>
      <c r="S13" s="172"/>
      <c r="T13" s="172"/>
      <c r="U13" s="172"/>
      <c r="V13" s="172"/>
      <c r="W13" s="172"/>
      <c r="X13" s="172"/>
      <c r="Y13" s="172"/>
      <c r="Z13" s="172"/>
      <c r="AA13" s="302" t="str">
        <f>IF(ISBLANK('Hide - Calculation'!K7),"",FIXED(100*'Hide - Calculation'!T7,1)&amp;"%")</f>
        <v>28.4%</v>
      </c>
      <c r="AB13" s="230" t="s">
        <v>331</v>
      </c>
      <c r="AC13" s="207" t="s">
        <v>905</v>
      </c>
    </row>
    <row r="14" spans="2:29" ht="33.75" customHeight="1">
      <c r="B14" s="327"/>
      <c r="C14" s="136">
        <v>2</v>
      </c>
      <c r="D14" s="131" t="s">
        <v>231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0.4</v>
      </c>
      <c r="I14" s="119">
        <f>IF(LEFT(G14,1)=" "," n/a",+((2*H14*E8+1.96^2-1.96*SQRT(1.96^2+4*H14*E8*(1-H14*E8/E$8)))/(2*(E$8+1.96^2))))</f>
        <v>0.3888133272804567</v>
      </c>
      <c r="J14" s="119">
        <f>IF(LEFT(G14,1)=" "," n/a",+((2*H14*E8+1.96^2+1.96*SQRT(1.96^2+4*H14*E8*(1-H14*E8/E$8)))/(2*(E$8+1.96^2))))</f>
        <v>0.4112919387387428</v>
      </c>
      <c r="K14" s="118">
        <f>IF('Hide - Calculation'!N8="","",'Hide - Calculation'!N8)</f>
        <v>0.2757838071359982</v>
      </c>
      <c r="L14" s="154">
        <f>'Hide - Calculation'!O8</f>
        <v>0.1505521558981159</v>
      </c>
      <c r="M14" s="149" t="str">
        <f>IF(ISBLANK('Hide - Calculation'!K8),"",FIXED(100*'Hide - Calculation'!U8,1)&amp;"%")</f>
        <v>11.0%</v>
      </c>
      <c r="N14" s="84"/>
      <c r="O14" s="84"/>
      <c r="P14" s="84"/>
      <c r="Q14" s="84"/>
      <c r="R14" s="84"/>
      <c r="S14" s="84"/>
      <c r="T14" s="84"/>
      <c r="U14" s="84"/>
      <c r="V14" s="84"/>
      <c r="W14" s="84"/>
      <c r="X14" s="84"/>
      <c r="Y14" s="84"/>
      <c r="Z14" s="84"/>
      <c r="AA14" s="224" t="str">
        <f>IF(ISBLANK('Hide - Calculation'!K8),"",FIXED(100*'Hide - Calculation'!T8,1)&amp;"%")</f>
        <v>47.0%</v>
      </c>
      <c r="AB14" s="231" t="s">
        <v>39</v>
      </c>
      <c r="AC14" s="129" t="s">
        <v>905</v>
      </c>
    </row>
    <row r="15" spans="2:39" s="63" customFormat="1" ht="33.75" customHeight="1">
      <c r="B15" s="327"/>
      <c r="C15" s="136">
        <v>3</v>
      </c>
      <c r="D15" s="131" t="s">
        <v>169</v>
      </c>
      <c r="E15" s="85"/>
      <c r="F15" s="85"/>
      <c r="G15" s="120">
        <f>IF(VLOOKUP('Hide - Control'!A$3,'All practice data'!A:CA,C15+4,FALSE)=" "," ",VLOOKUP('Hide - Control'!A$3,'All practice data'!A:CA,C15+4,FALSE))</f>
        <v>12</v>
      </c>
      <c r="H15" s="121">
        <f>IF(VLOOKUP('Hide - Control'!A$3,'All practice data'!A:CA,C15+30,FALSE)=" "," ",VLOOKUP('Hide - Control'!A$3,'All practice data'!A:CA,C15+30,FALSE))</f>
        <v>164.4962302947224</v>
      </c>
      <c r="I15" s="122">
        <f>IF(LEFT(G15,1)=" "," n/a",IF(G15&lt;5,100000*VLOOKUP(G15,'Hide - Calculation'!AQ:AR,2,FALSE)/$E$8,100000*(G15*(1-1/(9*G15)-1.96/(3*SQRT(G15)))^3)/$E$8))</f>
        <v>84.89965137589648</v>
      </c>
      <c r="J15" s="122">
        <f>IF(LEFT(G15,1)=" "," n/a",IF(G15&lt;5,100000*VLOOKUP(G15,'Hide - Calculation'!AQ:AS,3,FALSE)/$E$8,100000*((G15+1)*(1-1/(9*(G15+1))+1.96/(3*SQRT(G15+1)))^3)/$E$8))</f>
        <v>287.3617082948533</v>
      </c>
      <c r="K15" s="121">
        <f>IF('Hide - Calculation'!N9="","",'Hide - Calculation'!N9)</f>
        <v>380.3249741073399</v>
      </c>
      <c r="L15" s="155">
        <f>'Hide - Calculation'!O9</f>
        <v>470.8933116400106</v>
      </c>
      <c r="M15" s="150" t="str">
        <f>IF(ISBLANK('Hide - Calculation'!K9),"",FIXED('Hide - Calculation'!U9,0))</f>
        <v>123</v>
      </c>
      <c r="N15" s="84"/>
      <c r="O15" s="84"/>
      <c r="P15" s="84"/>
      <c r="Q15" s="84"/>
      <c r="R15" s="84"/>
      <c r="S15" s="84"/>
      <c r="T15" s="84"/>
      <c r="U15" s="84"/>
      <c r="V15" s="84"/>
      <c r="W15" s="84"/>
      <c r="X15" s="84"/>
      <c r="Y15" s="84"/>
      <c r="Z15" s="84"/>
      <c r="AA15" s="225" t="str">
        <f>IF(ISBLANK('Hide - Calculation'!K9),"",FIXED('Hide - Calculation'!T9,0))</f>
        <v>838</v>
      </c>
      <c r="AB15" s="231" t="s">
        <v>210</v>
      </c>
      <c r="AC15" s="130">
        <v>2010</v>
      </c>
      <c r="AD15" s="64"/>
      <c r="AE15" s="64"/>
      <c r="AF15" s="64"/>
      <c r="AG15" s="64"/>
      <c r="AH15" s="64"/>
      <c r="AI15" s="64"/>
      <c r="AJ15" s="64"/>
      <c r="AK15" s="64"/>
      <c r="AL15" s="64"/>
      <c r="AM15" s="64"/>
    </row>
    <row r="16" spans="2:29" s="63" customFormat="1" ht="33.75" customHeight="1">
      <c r="B16" s="327"/>
      <c r="C16" s="136">
        <v>4</v>
      </c>
      <c r="D16" s="131" t="s">
        <v>227</v>
      </c>
      <c r="E16" s="85"/>
      <c r="F16" s="85"/>
      <c r="G16" s="120">
        <f>IF(VLOOKUP('Hide - Control'!A$3,'All practice data'!A:CA,C16+4,FALSE)=" "," ",VLOOKUP('Hide - Control'!A$3,'All practice data'!A:CA,C16+4,FALSE))</f>
        <v>6</v>
      </c>
      <c r="H16" s="121">
        <f>IF(VLOOKUP('Hide - Control'!A$3,'All practice data'!A:CA,C16+30,FALSE)=" "," ",VLOOKUP('Hide - Control'!A$3,'All practice data'!A:CA,C16+30,FALSE))</f>
        <v>82.2481151473612</v>
      </c>
      <c r="I16" s="122">
        <f>IF(LEFT(G16,1)=" "," n/a",IF(G16&lt;5,100000*VLOOKUP(G16,'Hide - Calculation'!AQ:AR,2,FALSE)/$E$8,100000*(G16*(1-1/(9*G16)-1.96/(3*SQRT(G16)))^3)/$E$8))</f>
        <v>30.033457720132688</v>
      </c>
      <c r="J16" s="122">
        <f>IF(LEFT(G16,1)=" "," n/a",IF(G16&lt;5,100000*VLOOKUP(G16,'Hide - Calculation'!AQ:AS,3,FALSE)/$E$8,100000*((G16+1)*(1-1/(9*(G16+1))+1.96/(3*SQRT(G16+1)))^3)/$E$8))</f>
        <v>179.0252949784477</v>
      </c>
      <c r="K16" s="121">
        <f>IF('Hide - Calculation'!N10="","",'Hide - Calculation'!N10)</f>
        <v>179.40925117861124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468</v>
      </c>
      <c r="AB16" s="231" t="s">
        <v>164</v>
      </c>
      <c r="AC16" s="130" t="s">
        <v>906</v>
      </c>
    </row>
    <row r="17" spans="2:29" s="63" customFormat="1" ht="33.75" customHeight="1" thickBot="1">
      <c r="B17" s="328"/>
      <c r="C17" s="179">
        <v>5</v>
      </c>
      <c r="D17" s="194" t="s">
        <v>168</v>
      </c>
      <c r="E17" s="181"/>
      <c r="F17" s="181"/>
      <c r="G17" s="139">
        <f>IF(VLOOKUP('Hide - Control'!A$3,'All practice data'!A:CA,C17+4,FALSE)=" "," ",VLOOKUP('Hide - Control'!A$3,'All practice data'!A:CA,C17+4,FALSE))</f>
        <v>35</v>
      </c>
      <c r="H17" s="140">
        <f>IF(VLOOKUP('Hide - Control'!A$3,'All practice data'!A:CA,C17+30,FALSE)=" "," ",VLOOKUP('Hide - Control'!A$3,'All practice data'!A:CA,C17+30,FALSE))</f>
        <v>0.0048</v>
      </c>
      <c r="I17" s="141">
        <f>IF(LEFT(G17,1)=" "," n/a",+((2*G17+1.96^2-1.96*SQRT(1.96^2+4*G17*(1-G17/E$8)))/(2*(E$8+1.96^2))))</f>
        <v>0.003451882618047467</v>
      </c>
      <c r="J17" s="141">
        <f>IF(LEFT(G17,1)=" "," n/a",+((2*G17+1.96^2+1.96*SQRT(1.96^2+4*G17*(1-G17/E$8)))/(2*(E$8+1.96^2))))</f>
        <v>0.00666501045166924</v>
      </c>
      <c r="K17" s="140">
        <f>IF('Hide - Calculation'!N11="","",'Hide - Calculation'!N11)</f>
        <v>0.012315284875856721</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2.8%</v>
      </c>
      <c r="AB17" s="232" t="s">
        <v>228</v>
      </c>
      <c r="AC17" s="188" t="s">
        <v>906</v>
      </c>
    </row>
    <row r="18" spans="2:29" s="63" customFormat="1" ht="33.75" customHeight="1">
      <c r="B18" s="326" t="s">
        <v>13</v>
      </c>
      <c r="C18" s="162">
        <v>6</v>
      </c>
      <c r="D18" s="163" t="s">
        <v>232</v>
      </c>
      <c r="E18" s="164"/>
      <c r="F18" s="164"/>
      <c r="G18" s="217">
        <f>IF(OR(VLOOKUP('Hide - Control'!A$3,'All practice data'!A:CA,C18+4,FALSE)=" ",VLOOKUP('Hide - Control'!A$3,'All practice data'!A:CA,C18+52,FALSE)=0)," n/a",VLOOKUP('Hide - Control'!A$3,'All practice data'!A:CA,C18+4,FALSE))</f>
        <v>217</v>
      </c>
      <c r="H18" s="218">
        <f>IF(OR(VLOOKUP('Hide - Control'!A$3,'All practice data'!A:CA,C18+30,FALSE)=" ",VLOOKUP('Hide - Control'!A$3,'All practice data'!A:CA,C18+52,FALSE)=0)," n/a",VLOOKUP('Hide - Control'!A$3,'All practice data'!A:CA,C18+30,FALSE))</f>
        <v>0.560724</v>
      </c>
      <c r="I18" s="190">
        <f>IF(OR(LEFT(H18,1)=" ",VLOOKUP('Hide - Control'!A$3,'All practice data'!A:CA,C18+52,FALSE)=0)," n/a",+((2*G18+1.96^2-1.96*SQRT(1.96^2+4*G18*(1-G18/(VLOOKUP('Hide - Control'!A$3,'All practice data'!A:CA,C18+52,FALSE)))))/(2*(((VLOOKUP('Hide - Control'!A$3,'All practice data'!A:CA,C18+52,FALSE)))+1.96^2))))</f>
        <v>0.5109191950399979</v>
      </c>
      <c r="J18" s="190">
        <f>IF(OR(LEFT(H18,1)=" ",VLOOKUP('Hide - Control'!A$3,'All practice data'!A:CA,C18+52,FALSE)=0)," n/a",+((2*G18+1.96^2+1.96*SQRT(1.96^2+4*G18*(1-G18/(VLOOKUP('Hide - Control'!A$3,'All practice data'!A:CA,C18+52,FALSE)))))/(2*((VLOOKUP('Hide - Control'!A$3,'All practice data'!A:CA,C18+52,FALSE))+1.96^2))))</f>
        <v>0.609334124975067</v>
      </c>
      <c r="K18" s="218">
        <f>IF('Hide - Calculation'!N12="","",'Hide - Calculation'!N12)</f>
        <v>0.6837635029273522</v>
      </c>
      <c r="L18" s="191">
        <f>'Hide - Calculation'!O12</f>
        <v>0.7246856648259642</v>
      </c>
      <c r="M18" s="192" t="str">
        <f>IF(ISBLANK('Hide - Calculation'!K12),"",FIXED(100*'Hide - Calculation'!U12,1)&amp;"%")</f>
        <v>35.9%</v>
      </c>
      <c r="N18" s="193"/>
      <c r="O18" s="172"/>
      <c r="P18" s="172"/>
      <c r="Q18" s="172"/>
      <c r="R18" s="172"/>
      <c r="S18" s="172"/>
      <c r="T18" s="172"/>
      <c r="U18" s="172"/>
      <c r="V18" s="172"/>
      <c r="W18" s="172"/>
      <c r="X18" s="172"/>
      <c r="Y18" s="172"/>
      <c r="Z18" s="173"/>
      <c r="AA18" s="192" t="str">
        <f>IF(ISBLANK('Hide - Calculation'!K12),"",FIXED(100*'Hide - Calculation'!T12,1)&amp;"%")</f>
        <v>84.1%</v>
      </c>
      <c r="AB18" s="230" t="s">
        <v>48</v>
      </c>
      <c r="AC18" s="174" t="s">
        <v>907</v>
      </c>
    </row>
    <row r="19" spans="2:29" s="63" customFormat="1" ht="33.75" customHeight="1">
      <c r="B19" s="327"/>
      <c r="C19" s="136">
        <v>7</v>
      </c>
      <c r="D19" s="131" t="s">
        <v>233</v>
      </c>
      <c r="E19" s="85"/>
      <c r="F19" s="85"/>
      <c r="G19" s="219">
        <f>IF(OR(VLOOKUP('Hide - Control'!A$3,'All practice data'!A:CA,C19+4,FALSE)=" ",VLOOKUP('Hide - Control'!A$3,'All practice data'!A:CA,C19+52,FALSE)=0)," n/a",VLOOKUP('Hide - Control'!A$3,'All practice data'!A:CA,C19+4,FALSE))</f>
        <v>197</v>
      </c>
      <c r="H19" s="216">
        <f>IF(OR(VLOOKUP('Hide - Control'!A$3,'All practice data'!A:CA,C19+30,FALSE)=" ",VLOOKUP('Hide - Control'!A$3,'All practice data'!A:CA,C19+52,FALSE)=0)," n/a",VLOOKUP('Hide - Control'!A$3,'All practice data'!A:CA,C19+30,FALSE))</f>
        <v>0.518421</v>
      </c>
      <c r="I19" s="119">
        <f>IF(OR(LEFT(H19,1)=" ",VLOOKUP('Hide - Control'!A$3,'All practice data'!A:CA,C19+52,FALSE)=0)," n/a",+((2*G19+1.96^2-1.96*SQRT(1.96^2+4*G19*(1-G19/(VLOOKUP('Hide - Control'!A$3,'All practice data'!A:CA,C19+52,FALSE)))))/(2*(((VLOOKUP('Hide - Control'!A$3,'All practice data'!A:CA,C19+52,FALSE)))+1.96^2))))</f>
        <v>0.4682495750082233</v>
      </c>
      <c r="J19" s="119">
        <f>IF(OR(LEFT(H19,1)=" ",VLOOKUP('Hide - Control'!A$3,'All practice data'!A:CA,C19+52,FALSE)=0)," n/a",+((2*G19+1.96^2+1.96*SQRT(1.96^2+4*G19*(1-G19/(VLOOKUP('Hide - Control'!A$3,'All practice data'!A:CA,C19+52,FALSE)))))/(2*((VLOOKUP('Hide - Control'!A$3,'All practice data'!A:CA,C19+52,FALSE))+1.96^2))))</f>
        <v>0.5682238035937833</v>
      </c>
      <c r="K19" s="216">
        <f>IF('Hide - Calculation'!N13="","",'Hide - Calculation'!N13)</f>
        <v>0.6856750257643421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906</v>
      </c>
    </row>
    <row r="20" spans="2:29" s="63" customFormat="1" ht="33.75" customHeight="1">
      <c r="B20" s="327"/>
      <c r="C20" s="136">
        <v>8</v>
      </c>
      <c r="D20" s="131" t="s">
        <v>234</v>
      </c>
      <c r="E20" s="85"/>
      <c r="F20" s="85"/>
      <c r="G20" s="219">
        <f>IF(OR(VLOOKUP('Hide - Control'!A$3,'All practice data'!A:CA,C20+4,FALSE)=" ",VLOOKUP('Hide - Control'!A$3,'All practice data'!A:CA,C20+52,FALSE)=0)," n/a",VLOOKUP('Hide - Control'!A$3,'All practice data'!A:CA,C20+4,FALSE))</f>
        <v>1084</v>
      </c>
      <c r="H20" s="216">
        <f>IF(OR(VLOOKUP('Hide - Control'!A$3,'All practice data'!A:CA,C20+30,FALSE)=" ",VLOOKUP('Hide - Control'!A$3,'All practice data'!A:CA,C20+52,FALSE)=0)," n/a",VLOOKUP('Hide - Control'!A$3,'All practice data'!A:CA,C20+30,FALSE))</f>
        <v>0.714097</v>
      </c>
      <c r="I20" s="119">
        <f>IF(OR(LEFT(H20,1)=" ",VLOOKUP('Hide - Control'!A$3,'All practice data'!A:CA,C20+52,FALSE)=0)," n/a",+((2*G20+1.96^2-1.96*SQRT(1.96^2+4*G20*(1-G20/(VLOOKUP('Hide - Control'!A$3,'All practice data'!A:CA,C20+52,FALSE)))))/(2*(((VLOOKUP('Hide - Control'!A$3,'All practice data'!A:CA,C20+52,FALSE)))+1.96^2))))</f>
        <v>0.6908488794994847</v>
      </c>
      <c r="J20" s="119">
        <f>IF(OR(LEFT(H20,1)=" ",VLOOKUP('Hide - Control'!A$3,'All practice data'!A:CA,C20+52,FALSE)=0)," n/a",+((2*G20+1.96^2+1.96*SQRT(1.96^2+4*G20*(1-G20/(VLOOKUP('Hide - Control'!A$3,'All practice data'!A:CA,C20+52,FALSE)))))/(2*((VLOOKUP('Hide - Control'!A$3,'All practice data'!A:CA,C20+52,FALSE))+1.96^2))))</f>
        <v>0.7362652170004402</v>
      </c>
      <c r="K20" s="216">
        <f>IF('Hide - Calculation'!N14="","",'Hide - Calculation'!N14)</f>
        <v>0.7204484426418913</v>
      </c>
      <c r="L20" s="154">
        <f>'Hide - Calculation'!O14</f>
        <v>0.7530641252748632</v>
      </c>
      <c r="M20" s="151" t="str">
        <f>IF(ISBLANK('Hide - Calculation'!K14),"",FIXED(100*'Hide - Calculation'!U14,1)&amp;"%")</f>
        <v>54.4%</v>
      </c>
      <c r="N20" s="159"/>
      <c r="O20" s="84"/>
      <c r="P20" s="84"/>
      <c r="Q20" s="84"/>
      <c r="R20" s="84"/>
      <c r="S20" s="84"/>
      <c r="T20" s="84"/>
      <c r="U20" s="84"/>
      <c r="V20" s="84"/>
      <c r="W20" s="84"/>
      <c r="X20" s="84"/>
      <c r="Y20" s="84"/>
      <c r="Z20" s="88"/>
      <c r="AA20" s="151" t="str">
        <f>IF(ISBLANK('Hide - Calculation'!K14),"",FIXED(100*'Hide - Calculation'!T14,1)&amp;"%")</f>
        <v>90.9%</v>
      </c>
      <c r="AB20" s="231" t="s">
        <v>48</v>
      </c>
      <c r="AC20" s="130" t="s">
        <v>908</v>
      </c>
    </row>
    <row r="21" spans="2:29" s="63" customFormat="1" ht="33.75" customHeight="1">
      <c r="B21" s="327"/>
      <c r="C21" s="136">
        <v>9</v>
      </c>
      <c r="D21" s="131" t="s">
        <v>235</v>
      </c>
      <c r="E21" s="85"/>
      <c r="F21" s="85"/>
      <c r="G21" s="219">
        <f>IF(OR(VLOOKUP('Hide - Control'!A$3,'All practice data'!A:CA,C21+4,FALSE)=" ",VLOOKUP('Hide - Control'!A$3,'All practice data'!A:CA,C21+52,FALSE)=0)," n/a",VLOOKUP('Hide - Control'!A$3,'All practice data'!A:CA,C21+4,FALSE))</f>
        <v>56</v>
      </c>
      <c r="H21" s="216">
        <f>IF(OR(VLOOKUP('Hide - Control'!A$3,'All practice data'!A:CA,C21+30,FALSE)=" ",VLOOKUP('Hide - Control'!A$3,'All practice data'!A:CA,C21+52,FALSE)=0)," n/a",VLOOKUP('Hide - Control'!A$3,'All practice data'!A:CA,C21+30,FALSE))</f>
        <v>0.202166</v>
      </c>
      <c r="I21" s="119">
        <f>IF(OR(LEFT(H21,1)=" ",VLOOKUP('Hide - Control'!A$3,'All practice data'!A:CA,C21+52,FALSE)=0)," n/a",+((2*G21+1.96^2-1.96*SQRT(1.96^2+4*G21*(1-G21/(VLOOKUP('Hide - Control'!A$3,'All practice data'!A:CA,C21+52,FALSE)))))/(2*(((VLOOKUP('Hide - Control'!A$3,'All practice data'!A:CA,C21+52,FALSE)))+1.96^2))))</f>
        <v>0.1590921125387916</v>
      </c>
      <c r="J21" s="119">
        <f>IF(OR(LEFT(H21,1)=" ",VLOOKUP('Hide - Control'!A$3,'All practice data'!A:CA,C21+52,FALSE)=0)," n/a",+((2*G21+1.96^2+1.96*SQRT(1.96^2+4*G21*(1-G21/(VLOOKUP('Hide - Control'!A$3,'All practice data'!A:CA,C21+52,FALSE)))))/(2*((VLOOKUP('Hide - Control'!A$3,'All practice data'!A:CA,C21+52,FALSE))+1.96^2))))</f>
        <v>0.25338808982439115</v>
      </c>
      <c r="K21" s="216">
        <f>IF('Hide - Calculation'!N15="","",'Hide - Calculation'!N15)</f>
        <v>0.4624722716524876</v>
      </c>
      <c r="L21" s="154">
        <f>'Hide - Calculation'!O15</f>
        <v>0.5744521249276766</v>
      </c>
      <c r="M21" s="151" t="str">
        <f>IF(ISBLANK('Hide - Calculation'!K15),"",FIXED(100*'Hide - Calculation'!U15,1)&amp;"%")</f>
        <v>11.8%</v>
      </c>
      <c r="N21" s="159"/>
      <c r="O21" s="84"/>
      <c r="P21" s="84"/>
      <c r="Q21" s="84"/>
      <c r="R21" s="84"/>
      <c r="S21" s="84"/>
      <c r="T21" s="84"/>
      <c r="U21" s="84"/>
      <c r="V21" s="84"/>
      <c r="W21" s="84"/>
      <c r="X21" s="84"/>
      <c r="Y21" s="84"/>
      <c r="Z21" s="88"/>
      <c r="AA21" s="151" t="str">
        <f>IF(ISBLANK('Hide - Calculation'!K15),"",FIXED(100*'Hide - Calculation'!T15,1)&amp;"%")</f>
        <v>64.9%</v>
      </c>
      <c r="AB21" s="231" t="s">
        <v>48</v>
      </c>
      <c r="AC21" s="130" t="s">
        <v>909</v>
      </c>
    </row>
    <row r="22" spans="2:29" s="63" customFormat="1" ht="33.75" customHeight="1" thickBot="1">
      <c r="B22" s="328"/>
      <c r="C22" s="179">
        <v>10</v>
      </c>
      <c r="D22" s="194" t="s">
        <v>236</v>
      </c>
      <c r="E22" s="181"/>
      <c r="F22" s="181"/>
      <c r="G22" s="220">
        <f>IF(OR(VLOOKUP('Hide - Control'!A$3,'All practice data'!A:CA,C22+4,FALSE)=" ",VLOOKUP('Hide - Control'!A$3,'All practice data'!A:CA,C22+52,FALSE)=0)," n/a",VLOOKUP('Hide - Control'!A$3,'All practice data'!A:CA,C22+4,FALSE))</f>
        <v>31</v>
      </c>
      <c r="H22" s="221">
        <f>IF(OR(VLOOKUP('Hide - Control'!A$3,'All practice data'!A:CA,C22+30,FALSE)=" ",VLOOKUP('Hide - Control'!A$3,'All practice data'!A:CA,C22+52,FALSE)=0)," n/a",VLOOKUP('Hide - Control'!A$3,'All practice data'!A:CA,C22+30,FALSE))</f>
        <v>0.172222</v>
      </c>
      <c r="I22" s="195">
        <f>IF(OR(LEFT(H22,1)=" ",VLOOKUP('Hide - Control'!A$3,'All practice data'!A:CA,C22+52,FALSE)=0)," n/a",+((2*G22+1.96^2-1.96*SQRT(1.96^2+4*G22*(1-G22/(VLOOKUP('Hide - Control'!A$3,'All practice data'!A:CA,C22+52,FALSE)))))/(2*(((VLOOKUP('Hide - Control'!A$3,'All practice data'!A:CA,C22+52,FALSE)))+1.96^2))))</f>
        <v>0.12406319680495358</v>
      </c>
      <c r="J22" s="195">
        <f>IF(OR(LEFT(H22,1)=" ",VLOOKUP('Hide - Control'!A$3,'All practice data'!A:CA,C22+52,FALSE)=0)," n/a",+((2*G22+1.96^2+1.96*SQRT(1.96^2+4*G22*(1-G22/(VLOOKUP('Hide - Control'!A$3,'All practice data'!A:CA,C22+52,FALSE)))))/(2*((VLOOKUP('Hide - Control'!A$3,'All practice data'!A:CA,C22+52,FALSE))+1.96^2))))</f>
        <v>0.23407990029602901</v>
      </c>
      <c r="K22" s="221">
        <f>IF('Hide - Calculation'!N16="","",'Hide - Calculation'!N16)</f>
        <v>0.4321438606350098</v>
      </c>
      <c r="L22" s="196">
        <f>'Hide - Calculation'!O16</f>
        <v>0.5565049054289257</v>
      </c>
      <c r="M22" s="197" t="str">
        <f>IF(ISBLANK('Hide - Calculation'!K16),"",FIXED(100*'Hide - Calculation'!U16,1)&amp;"%")</f>
        <v>13.3%</v>
      </c>
      <c r="N22" s="198"/>
      <c r="O22" s="91"/>
      <c r="P22" s="91"/>
      <c r="Q22" s="91"/>
      <c r="R22" s="91"/>
      <c r="S22" s="91"/>
      <c r="T22" s="91"/>
      <c r="U22" s="91"/>
      <c r="V22" s="91"/>
      <c r="W22" s="91"/>
      <c r="X22" s="91"/>
      <c r="Y22" s="91"/>
      <c r="Z22" s="187"/>
      <c r="AA22" s="197" t="str">
        <f>IF(ISBLANK('Hide - Calculation'!K16),"",FIXED(100*'Hide - Calculation'!T16,1)&amp;"%")</f>
        <v>60.6%</v>
      </c>
      <c r="AB22" s="232" t="s">
        <v>48</v>
      </c>
      <c r="AC22" s="188" t="s">
        <v>906</v>
      </c>
    </row>
    <row r="23" spans="2:29" s="63" customFormat="1" ht="33.75" customHeight="1">
      <c r="B23" s="326" t="s">
        <v>159</v>
      </c>
      <c r="C23" s="162">
        <v>11</v>
      </c>
      <c r="D23" s="178" t="s">
        <v>170</v>
      </c>
      <c r="E23" s="164"/>
      <c r="F23" s="164"/>
      <c r="G23" s="117">
        <f>IF(VLOOKUP('Hide - Control'!A$3,'All practice data'!A:CA,C23+4,FALSE)=" "," ",VLOOKUP('Hide - Control'!A$3,'All practice data'!A:CA,C23+4,FALSE))</f>
        <v>39</v>
      </c>
      <c r="H23" s="214">
        <f>IF(VLOOKUP('Hide - Control'!A$3,'All practice data'!A:CA,C23+30,FALSE)=" "," ",VLOOKUP('Hide - Control'!A$3,'All practice data'!A:CA,C23+30,FALSE))</f>
        <v>534.6127484578478</v>
      </c>
      <c r="I23" s="213">
        <f>IF(LEFT(G23,1)=" "," n/a",IF(G23&lt;5,100000*VLOOKUP(G23,'Hide - Calculation'!AQ:AR,2,FALSE)/$E$8,100000*(G23*(1-1/(9*G23)-1.96/(3*SQRT(G23)))^3)/$E$8))</f>
        <v>380.1137024025446</v>
      </c>
      <c r="J23" s="213">
        <f>IF(LEFT(G23,1)=" "," n/a",IF(G23&lt;5,100000*VLOOKUP(G23,'Hide - Calculation'!AQ:AS,3,FALSE)/$E$8,100000*((G23+1)*(1-1/(9*(G23+1))+1.96/(3*SQRT(G23+1)))^3)/$E$8))</f>
        <v>730.8570009092283</v>
      </c>
      <c r="K23" s="214">
        <f>IF('Hide - Calculation'!N17="","",'Hide - Calculation'!N17)</f>
        <v>1477.532339885261</v>
      </c>
      <c r="L23" s="215">
        <f>'Hide - Calculation'!O17</f>
        <v>1981.9429445600304</v>
      </c>
      <c r="M23" s="169" t="str">
        <f>IF(ISBLANK('Hide - Calculation'!K17),"",FIXED('Hide - Calculation'!U17,0))</f>
        <v>300</v>
      </c>
      <c r="N23" s="170"/>
      <c r="O23" s="171"/>
      <c r="P23" s="171"/>
      <c r="Q23" s="171"/>
      <c r="R23" s="172"/>
      <c r="S23" s="172"/>
      <c r="T23" s="172"/>
      <c r="U23" s="172"/>
      <c r="V23" s="172"/>
      <c r="W23" s="172"/>
      <c r="X23" s="172"/>
      <c r="Y23" s="172"/>
      <c r="Z23" s="173"/>
      <c r="AA23" s="169" t="str">
        <f>IF(ISBLANK('Hide - Calculation'!K17),"",FIXED('Hide - Calculation'!T17,0))</f>
        <v>3,721</v>
      </c>
      <c r="AB23" s="230" t="s">
        <v>26</v>
      </c>
      <c r="AC23" s="174" t="s">
        <v>906</v>
      </c>
    </row>
    <row r="24" spans="2:29" s="63" customFormat="1" ht="33.75" customHeight="1">
      <c r="B24" s="327"/>
      <c r="C24" s="136">
        <v>12</v>
      </c>
      <c r="D24" s="146" t="s">
        <v>241</v>
      </c>
      <c r="E24" s="85"/>
      <c r="F24" s="85"/>
      <c r="G24" s="117">
        <f>IF(VLOOKUP('Hide - Control'!A$3,'All practice data'!A:CA,C24+4,FALSE)=" "," ",VLOOKUP('Hide - Control'!A$3,'All practice data'!A:CA,C24+4,FALSE))</f>
        <v>39</v>
      </c>
      <c r="H24" s="118">
        <f>IF(VLOOKUP('Hide - Control'!A$3,'All practice data'!A:CA,C24+30,FALSE)=" "," ",VLOOKUP('Hide - Control'!A$3,'All practice data'!A:CA,C24+30,FALSE))</f>
        <v>0.43770000000000003</v>
      </c>
      <c r="I24" s="210">
        <f>IF(LEFT(VLOOKUP('Hide - Control'!A$3,'All practice data'!A:CA,C24+44,FALSE),1)=" "," n/a",VLOOKUP('Hide - Control'!A$3,'All practice data'!A:CA,C24+44,FALSE))</f>
        <v>0.31120000000000003</v>
      </c>
      <c r="J24" s="210">
        <f>IF(LEFT(VLOOKUP('Hide - Control'!A$3,'All practice data'!A:CA,C24+45,FALSE),1)=" "," n/a",VLOOKUP('Hide - Control'!A$3,'All practice data'!A:CA,C24+45,FALSE))</f>
        <v>0.5982999999999999</v>
      </c>
      <c r="K24" s="151" t="s">
        <v>332</v>
      </c>
      <c r="L24" s="211">
        <v>1</v>
      </c>
      <c r="M24" s="151" t="str">
        <f>IF(ISBLANK('Hide - Calculation'!K18),"",FIXED(100*'Hide - Calculation'!U18,1)&amp;"%")</f>
        <v>19.4%</v>
      </c>
      <c r="N24" s="86"/>
      <c r="O24" s="87"/>
      <c r="P24" s="87"/>
      <c r="Q24" s="87"/>
      <c r="R24" s="84"/>
      <c r="S24" s="84"/>
      <c r="T24" s="84"/>
      <c r="U24" s="84"/>
      <c r="V24" s="84"/>
      <c r="W24" s="84"/>
      <c r="X24" s="84"/>
      <c r="Y24" s="84"/>
      <c r="Z24" s="88"/>
      <c r="AA24" s="151" t="str">
        <f>IF(ISBLANK('Hide - Calculation'!K18),"",FIXED(100*'Hide - Calculation'!T18,1)&amp;"%")</f>
        <v>152.0%</v>
      </c>
      <c r="AB24" s="231" t="s">
        <v>26</v>
      </c>
      <c r="AC24" s="130" t="s">
        <v>906</v>
      </c>
    </row>
    <row r="25" spans="2:29" s="63" customFormat="1" ht="33.75" customHeight="1">
      <c r="B25" s="327"/>
      <c r="C25" s="136">
        <v>13</v>
      </c>
      <c r="D25" s="146" t="s">
        <v>166</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0.0975485188968335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28.0%</v>
      </c>
      <c r="AB25" s="231" t="s">
        <v>26</v>
      </c>
      <c r="AC25" s="130" t="s">
        <v>906</v>
      </c>
    </row>
    <row r="26" spans="2:29" s="63" customFormat="1" ht="33.75" customHeight="1">
      <c r="B26" s="327"/>
      <c r="C26" s="136">
        <v>14</v>
      </c>
      <c r="D26" s="146" t="s">
        <v>229</v>
      </c>
      <c r="E26" s="85"/>
      <c r="F26" s="85"/>
      <c r="G26" s="120">
        <f>IF(VLOOKUP('Hide - Control'!A$3,'All practice data'!A:CA,C26+4,FALSE)=" "," ",VLOOKUP('Hide - Control'!A$3,'All practice data'!A:CA,C26+4,FALSE))</f>
        <v>8</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0.38391959798994973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906</v>
      </c>
    </row>
    <row r="27" spans="2:29" s="63" customFormat="1" ht="33.75" customHeight="1">
      <c r="B27" s="327"/>
      <c r="C27" s="136">
        <v>15</v>
      </c>
      <c r="D27" s="146" t="s">
        <v>218</v>
      </c>
      <c r="E27" s="85"/>
      <c r="F27" s="85"/>
      <c r="G27" s="120">
        <f>IF(VLOOKUP('Hide - Control'!A$3,'All practice data'!A:CA,C27+4,FALSE)=" "," ",VLOOKUP('Hide - Control'!A$3,'All practice data'!A:CA,C27+4,FALSE))</f>
        <v>16</v>
      </c>
      <c r="H27" s="121">
        <f>IF(VLOOKUP('Hide - Control'!A$3,'All practice data'!A:CA,C27+30,FALSE)=" "," ",VLOOKUP('Hide - Control'!A$3,'All practice data'!A:CA,C27+30,FALSE))</f>
        <v>219.32830705962988</v>
      </c>
      <c r="I27" s="122">
        <f>IF(LEFT(G27,1)=" "," n/a",IF(G27&lt;5,100000*VLOOKUP(G27,'Hide - Calculation'!AQ:AR,2,FALSE)/$E$8,100000*(G27*(1-1/(9*G27)-1.96/(3*SQRT(G27)))^3)/$E$8))</f>
        <v>125.28320411785892</v>
      </c>
      <c r="J27" s="122">
        <f>IF(LEFT(G27,1)=" "," n/a",IF(G27&lt;5,100000*VLOOKUP(G27,'Hide - Calculation'!AQ:AS,3,FALSE)/$E$8,100000*((G27+1)*(1-1/(9*(G27+1))+1.96/(3*SQRT(G27+1)))^3)/$E$8))</f>
        <v>356.1978784846044</v>
      </c>
      <c r="K27" s="121">
        <f>IF('Hide - Calculation'!N21="","",'Hide - Calculation'!N21)</f>
        <v>403.3406719451849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841</v>
      </c>
      <c r="AB27" s="231" t="s">
        <v>26</v>
      </c>
      <c r="AC27" s="130" t="s">
        <v>906</v>
      </c>
    </row>
    <row r="28" spans="2:29" s="63" customFormat="1" ht="33.75" customHeight="1">
      <c r="B28" s="327"/>
      <c r="C28" s="136">
        <v>16</v>
      </c>
      <c r="D28" s="146" t="s">
        <v>219</v>
      </c>
      <c r="E28" s="85"/>
      <c r="F28" s="85"/>
      <c r="G28" s="120">
        <f>IF(VLOOKUP('Hide - Control'!A$3,'All practice data'!A:CA,C28+4,FALSE)=" "," ",VLOOKUP('Hide - Control'!A$3,'All practice data'!A:CA,C28+4,FALSE))</f>
        <v>7</v>
      </c>
      <c r="H28" s="121">
        <f>IF(VLOOKUP('Hide - Control'!A$3,'All practice data'!A:CA,C28+30,FALSE)=" "," ",VLOOKUP('Hide - Control'!A$3,'All practice data'!A:CA,C28+30,FALSE))</f>
        <v>95.95613433858807</v>
      </c>
      <c r="I28" s="122">
        <f>IF(LEFT(G28,1)=" "," n/a",IF(G28&lt;5,100000*VLOOKUP(G28,'Hide - Calculation'!AQ:AR,2,FALSE)/$E$8,100000*(G28*(1-1/(9*G28)-1.96/(3*SQRT(G28)))^3)/$E$8))</f>
        <v>38.442479788600664</v>
      </c>
      <c r="J28" s="122">
        <f>IF(LEFT(G28,1)=" "," n/a",IF(G28&lt;5,100000*VLOOKUP(G28,'Hide - Calculation'!AQ:AS,3,FALSE)/$E$8,100000*((G28+1)*(1-1/(9*(G28+1))+1.96/(3*SQRT(G28+1)))^3)/$E$8))</f>
        <v>197.716428489214</v>
      </c>
      <c r="K28" s="121">
        <f>IF('Hide - Calculation'!N22="","",'Hide - Calculation'!N22)</f>
        <v>221.66758163498235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801</v>
      </c>
      <c r="AB28" s="231" t="s">
        <v>26</v>
      </c>
      <c r="AC28" s="130" t="s">
        <v>906</v>
      </c>
    </row>
    <row r="29" spans="2:29" s="63" customFormat="1" ht="33.75" customHeight="1">
      <c r="B29" s="327"/>
      <c r="C29" s="136">
        <v>17</v>
      </c>
      <c r="D29" s="146" t="s">
        <v>220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28.10933588392542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229</v>
      </c>
      <c r="AB29" s="231" t="s">
        <v>26</v>
      </c>
      <c r="AC29" s="130" t="s">
        <v>906</v>
      </c>
    </row>
    <row r="30" spans="2:29" s="63" customFormat="1" ht="33.75" customHeight="1" thickBot="1">
      <c r="B30" s="328"/>
      <c r="C30" s="179">
        <v>18</v>
      </c>
      <c r="D30" s="180" t="s">
        <v>221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179.40925117861124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841</v>
      </c>
      <c r="AB30" s="232" t="s">
        <v>26</v>
      </c>
      <c r="AC30" s="188" t="s">
        <v>906</v>
      </c>
    </row>
    <row r="31" spans="2:29" s="63" customFormat="1" ht="33.75" customHeight="1">
      <c r="B31" s="329" t="s">
        <v>167</v>
      </c>
      <c r="C31" s="162">
        <v>19</v>
      </c>
      <c r="D31" s="163" t="s">
        <v>171</v>
      </c>
      <c r="E31" s="164"/>
      <c r="F31" s="164"/>
      <c r="G31" s="165">
        <f>IF(VLOOKUP('Hide - Control'!A$3,'All practice data'!A:CA,C31+4,FALSE)=" "," ",VLOOKUP('Hide - Control'!A$3,'All practice data'!A:CA,C31+4,FALSE))</f>
        <v>6</v>
      </c>
      <c r="H31" s="166">
        <f>IF(VLOOKUP('Hide - Control'!A$3,'All practice data'!A:CA,C31+30,FALSE)=" "," ",VLOOKUP('Hide - Control'!A$3,'All practice data'!A:CA,C31+30,FALSE))</f>
        <v>82.2481151473612</v>
      </c>
      <c r="I31" s="167">
        <f>IF(LEFT(G31,1)=" "," n/a",IF(G31&lt;5,100000*VLOOKUP(G31,'Hide - Calculation'!AQ:AR,2,FALSE)/$E$8,100000*(G31*(1-1/(9*G31)-1.96/(3*SQRT(G31)))^3)/$E$8))</f>
        <v>30.033457720132688</v>
      </c>
      <c r="J31" s="167">
        <f>IF(LEFT(G31,1)=" "," n/a",IF(G31&lt;5,100000*VLOOKUP(G31,'Hide - Calculation'!AQ:AS,3,FALSE)/$E$8,100000*((G31+1)*(1-1/(9*(G31+1))+1.96/(3*SQRT(G31+1)))^3)/$E$8))</f>
        <v>179.0252949784477</v>
      </c>
      <c r="K31" s="166">
        <f>IF('Hide - Calculation'!N25="","",'Hide - Calculation'!N25)</f>
        <v>254.11594252112445</v>
      </c>
      <c r="L31" s="168">
        <f>'Hide - Calculation'!O25</f>
        <v>623.2878522577265</v>
      </c>
      <c r="M31" s="169" t="str">
        <f>IF(ISBLANK('Hide - Calculation'!K25),"",FIXED('Hide - Calculation'!U25,0))</f>
        <v>61</v>
      </c>
      <c r="N31" s="170"/>
      <c r="O31" s="171"/>
      <c r="P31" s="171"/>
      <c r="Q31" s="171"/>
      <c r="R31" s="172"/>
      <c r="S31" s="172"/>
      <c r="T31" s="172"/>
      <c r="U31" s="172"/>
      <c r="V31" s="172"/>
      <c r="W31" s="172"/>
      <c r="X31" s="172"/>
      <c r="Y31" s="172"/>
      <c r="Z31" s="173"/>
      <c r="AA31" s="169" t="str">
        <f>IF(ISBLANK('Hide - Calculation'!K25),"",FIXED('Hide - Calculation'!T25,0))</f>
        <v>801</v>
      </c>
      <c r="AB31" s="230" t="s">
        <v>47</v>
      </c>
      <c r="AC31" s="174" t="s">
        <v>906</v>
      </c>
    </row>
    <row r="32" spans="2:29" s="63" customFormat="1" ht="33.75" customHeight="1">
      <c r="B32" s="330"/>
      <c r="C32" s="136">
        <v>20</v>
      </c>
      <c r="D32" s="131" t="s">
        <v>172</v>
      </c>
      <c r="E32" s="85"/>
      <c r="F32" s="85"/>
      <c r="G32" s="120">
        <f>IF(VLOOKUP('Hide - Control'!A$3,'All practice data'!A:CA,C32+4,FALSE)=" "," ",VLOOKUP('Hide - Control'!A$3,'All practice data'!A:CA,C32+4,FALSE))</f>
        <v>11</v>
      </c>
      <c r="H32" s="121">
        <f>IF(VLOOKUP('Hide - Control'!A$3,'All practice data'!A:CA,C32+30,FALSE)=" "," ",VLOOKUP('Hide - Control'!A$3,'All practice data'!A:CA,C32+30,FALSE))</f>
        <v>150.78821110349554</v>
      </c>
      <c r="I32" s="122">
        <f>IF(LEFT(G32,1)=" "," n/a",IF(G32&lt;5,100000*VLOOKUP(G32,'Hide - Calculation'!AQ:AR,2,FALSE)/$E$8,100000*(G32*(1-1/(9*G32)-1.96/(3*SQRT(G32)))^3)/$E$8))</f>
        <v>75.1695010142671</v>
      </c>
      <c r="J32" s="122">
        <f>IF(LEFT(G32,1)=" "," n/a",IF(G32&lt;5,100000*VLOOKUP(G32,'Hide - Calculation'!AQ:AS,3,FALSE)/$E$8,100000*((G32+1)*(1-1/(9*(G32+1))+1.96/(3*SQRT(G32+1)))^3)/$E$8))</f>
        <v>269.82057079388386</v>
      </c>
      <c r="K32" s="121">
        <f>IF('Hide - Calculation'!N26="","",'Hide - Calculation'!N26)</f>
        <v>484.2729208995742</v>
      </c>
      <c r="L32" s="155">
        <f>'Hide - Calculation'!O26</f>
        <v>432.5467854266958</v>
      </c>
      <c r="M32" s="147" t="str">
        <f>IF(ISBLANK('Hide - Calculation'!K26),"",FIXED('Hide - Calculation'!U26,0))</f>
        <v>82</v>
      </c>
      <c r="N32" s="86"/>
      <c r="O32" s="87"/>
      <c r="P32" s="87"/>
      <c r="Q32" s="87"/>
      <c r="R32" s="84"/>
      <c r="S32" s="84"/>
      <c r="T32" s="84"/>
      <c r="U32" s="84"/>
      <c r="V32" s="84"/>
      <c r="W32" s="84"/>
      <c r="X32" s="84"/>
      <c r="Y32" s="84"/>
      <c r="Z32" s="88"/>
      <c r="AA32" s="147" t="str">
        <f>IF(ISBLANK('Hide - Calculation'!K26),"",FIXED('Hide - Calculation'!T26,0))</f>
        <v>1,394</v>
      </c>
      <c r="AB32" s="231" t="s">
        <v>47</v>
      </c>
      <c r="AC32" s="130" t="s">
        <v>906</v>
      </c>
    </row>
    <row r="33" spans="2:29" s="63" customFormat="1" ht="33.75" customHeight="1">
      <c r="B33" s="330"/>
      <c r="C33" s="136">
        <v>21</v>
      </c>
      <c r="D33" s="131" t="s">
        <v>174</v>
      </c>
      <c r="E33" s="85"/>
      <c r="F33" s="85"/>
      <c r="G33" s="120">
        <f>IF(VLOOKUP('Hide - Control'!A$3,'All practice data'!A:CA,C33+4,FALSE)=" "," ",VLOOKUP('Hide - Control'!A$3,'All practice data'!A:CA,C33+4,FALSE))</f>
        <v>18</v>
      </c>
      <c r="H33" s="121">
        <f>IF(VLOOKUP('Hide - Control'!A$3,'All practice data'!A:CA,C33+30,FALSE)=" "," ",VLOOKUP('Hide - Control'!A$3,'All practice data'!A:CA,C33+30,FALSE))</f>
        <v>246.7443454420836</v>
      </c>
      <c r="I33" s="122">
        <f>IF(LEFT(G33,1)=" "," n/a",IF(G33&lt;5,100000*VLOOKUP(G33,'Hide - Calculation'!AQ:AR,2,FALSE)/$E$8,100000*(G33*(1-1/(9*G33)-1.96/(3*SQRT(G33)))^3)/$E$8))</f>
        <v>146.1602054514146</v>
      </c>
      <c r="J33" s="122">
        <f>IF(LEFT(G33,1)=" "," n/a",IF(G33&lt;5,100000*VLOOKUP(G33,'Hide - Calculation'!AQ:AS,3,FALSE)/$E$8,100000*((G33+1)*(1-1/(9*(G33+1))+1.96/(3*SQRT(G33+1)))^3)/$E$8))</f>
        <v>389.9855432589381</v>
      </c>
      <c r="K33" s="121">
        <f>IF('Hide - Calculation'!N27="","",'Hide - Calculation'!N27)</f>
        <v>611.0479122686875</v>
      </c>
      <c r="L33" s="155">
        <f>'Hide - Calculation'!O27</f>
        <v>1003.4847591501348</v>
      </c>
      <c r="M33" s="147" t="str">
        <f>IF(ISBLANK('Hide - Calculation'!K27),"",FIXED('Hide - Calculation'!U27,0))</f>
        <v>112</v>
      </c>
      <c r="N33" s="86"/>
      <c r="O33" s="87"/>
      <c r="P33" s="87"/>
      <c r="Q33" s="87"/>
      <c r="R33" s="84"/>
      <c r="S33" s="84"/>
      <c r="T33" s="84"/>
      <c r="U33" s="84"/>
      <c r="V33" s="84"/>
      <c r="W33" s="84"/>
      <c r="X33" s="84"/>
      <c r="Y33" s="84"/>
      <c r="Z33" s="88"/>
      <c r="AA33" s="147" t="str">
        <f>IF(ISBLANK('Hide - Calculation'!K27),"",FIXED('Hide - Calculation'!T27,0))</f>
        <v>1,615</v>
      </c>
      <c r="AB33" s="231" t="s">
        <v>47</v>
      </c>
      <c r="AC33" s="130" t="s">
        <v>906</v>
      </c>
    </row>
    <row r="34" spans="2:29" s="63" customFormat="1" ht="33.75" customHeight="1">
      <c r="B34" s="330"/>
      <c r="C34" s="136">
        <v>22</v>
      </c>
      <c r="D34" s="131" t="s">
        <v>173</v>
      </c>
      <c r="E34" s="85"/>
      <c r="F34" s="85"/>
      <c r="G34" s="117">
        <f>IF(VLOOKUP('Hide - Control'!A$3,'All practice data'!A:CA,C34+4,FALSE)=" "," ",VLOOKUP('Hide - Control'!A$3,'All practice data'!A:CA,C34+4,FALSE))</f>
        <v>22</v>
      </c>
      <c r="H34" s="121">
        <f>IF(VLOOKUP('Hide - Control'!A$3,'All practice data'!A:CA,C34+30,FALSE)=" "," ",VLOOKUP('Hide - Control'!A$3,'All practice data'!A:CA,C34+30,FALSE))</f>
        <v>301.5764222069911</v>
      </c>
      <c r="I34" s="122">
        <f>IF(LEFT(G34,1)=" "," n/a",IF(G34&lt;5,100000*VLOOKUP(G34,'Hide - Calculation'!AQ:AR,2,FALSE)/$E$8,100000*(G34*(1-1/(9*G34)-1.96/(3*SQRT(G34)))^3)/$E$8))</f>
        <v>188.92897944867377</v>
      </c>
      <c r="J34" s="122">
        <f>IF(LEFT(G34,1)=" "," n/a",IF(G34&lt;5,100000*VLOOKUP(G34,'Hide - Calculation'!AQ:AS,3,FALSE)/$E$8,100000*((G34+1)*(1-1/(9*(G34+1))+1.96/(3*SQRT(G34+1)))^3)/$E$8))</f>
        <v>456.6141175692679</v>
      </c>
      <c r="K34" s="121">
        <f>IF('Hide - Calculation'!N28="","",'Hide - Calculation'!N28)</f>
        <v>510.1184176519083</v>
      </c>
      <c r="L34" s="155">
        <f>'Hide - Calculation'!O28</f>
        <v>586.9262672471904</v>
      </c>
      <c r="M34" s="147" t="str">
        <f>IF(ISBLANK('Hide - Calculation'!K28),"",FIXED('Hide - Calculation'!U28,0))</f>
        <v>117</v>
      </c>
      <c r="N34" s="86"/>
      <c r="O34" s="87"/>
      <c r="P34" s="87"/>
      <c r="Q34" s="87"/>
      <c r="R34" s="84"/>
      <c r="S34" s="84"/>
      <c r="T34" s="84"/>
      <c r="U34" s="84"/>
      <c r="V34" s="84"/>
      <c r="W34" s="84"/>
      <c r="X34" s="84"/>
      <c r="Y34" s="84"/>
      <c r="Z34" s="88"/>
      <c r="AA34" s="147" t="str">
        <f>IF(ISBLANK('Hide - Calculation'!K28),"",FIXED('Hide - Calculation'!T28,0))</f>
        <v>1,317</v>
      </c>
      <c r="AB34" s="231" t="s">
        <v>47</v>
      </c>
      <c r="AC34" s="130" t="s">
        <v>910</v>
      </c>
    </row>
    <row r="35" spans="2:29" s="63" customFormat="1" ht="33.75" customHeight="1">
      <c r="B35" s="330"/>
      <c r="C35" s="136">
        <v>23</v>
      </c>
      <c r="D35" s="137" t="s">
        <v>222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0.24602739726027398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160</v>
      </c>
      <c r="AC35" s="130" t="s">
        <v>911</v>
      </c>
    </row>
    <row r="36" spans="2:29" ht="33.75" customHeight="1">
      <c r="B36" s="327"/>
      <c r="C36" s="136">
        <v>24</v>
      </c>
      <c r="D36" s="222" t="s">
        <v>223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0.47178082191780824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160</v>
      </c>
      <c r="AC36" s="130" t="s">
        <v>911</v>
      </c>
    </row>
    <row r="37" spans="2:29" ht="33.75" customHeight="1" thickBot="1">
      <c r="B37" s="331"/>
      <c r="C37" s="175">
        <v>25</v>
      </c>
      <c r="D37" s="176" t="s">
        <v>175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0.2821917808219178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160</v>
      </c>
      <c r="AC37" s="148" t="s">
        <v>911</v>
      </c>
    </row>
    <row r="38" spans="2:29" ht="23.25" customHeight="1">
      <c r="B38" s="69"/>
      <c r="C38" s="69"/>
      <c r="D38" s="65" t="s">
        <v>158</v>
      </c>
      <c r="E38" s="303" t="s">
        <v>915</v>
      </c>
      <c r="F38" s="303"/>
      <c r="G38" s="303"/>
      <c r="H38" s="303"/>
      <c r="I38" s="110"/>
      <c r="J38" s="299" t="s">
        <v>932</v>
      </c>
      <c r="K38" s="92"/>
      <c r="L38" s="110"/>
      <c r="M38" s="65"/>
      <c r="N38" s="65"/>
      <c r="O38" s="65"/>
      <c r="P38" s="65"/>
      <c r="Q38" s="65"/>
      <c r="R38" s="66"/>
      <c r="S38" s="66"/>
      <c r="T38" s="66"/>
      <c r="U38" s="66"/>
      <c r="V38" s="66"/>
      <c r="W38" s="66"/>
      <c r="X38" s="66"/>
      <c r="Y38" s="66"/>
      <c r="Z38" s="66"/>
      <c r="AA38" s="66"/>
      <c r="AB38" s="82"/>
      <c r="AC38" s="83"/>
    </row>
    <row r="39" spans="2:29" ht="23.25" customHeight="1">
      <c r="B39" s="242" t="s">
        <v>913</v>
      </c>
      <c r="C39" s="241"/>
      <c r="D39" s="241"/>
      <c r="E39" s="304"/>
      <c r="F39" s="304"/>
      <c r="G39" s="304"/>
      <c r="H39" s="304"/>
      <c r="I39" s="241"/>
      <c r="J39" s="299" t="s">
        <v>912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240</v>
      </c>
      <c r="BE2" s="342"/>
      <c r="BF2" s="342"/>
      <c r="BG2" s="342"/>
      <c r="BH2" s="342"/>
      <c r="BI2" s="342"/>
      <c r="BJ2" s="343"/>
    </row>
    <row r="3" spans="1:82" s="72" customFormat="1" ht="76.5" customHeight="1">
      <c r="A3" s="263" t="s">
        <v>51</v>
      </c>
      <c r="B3" s="272" t="s">
        <v>52</v>
      </c>
      <c r="C3" s="273" t="s">
        <v>49</v>
      </c>
      <c r="D3" s="271" t="s">
        <v>930</v>
      </c>
      <c r="E3" s="264" t="s">
        <v>180</v>
      </c>
      <c r="F3" s="264" t="s">
        <v>931</v>
      </c>
      <c r="G3" s="264" t="s">
        <v>182</v>
      </c>
      <c r="H3" s="264" t="s">
        <v>183</v>
      </c>
      <c r="I3" s="264" t="s">
        <v>184</v>
      </c>
      <c r="J3" s="264" t="s">
        <v>247</v>
      </c>
      <c r="K3" s="264" t="s">
        <v>248</v>
      </c>
      <c r="L3" s="264" t="s">
        <v>249</v>
      </c>
      <c r="M3" s="264" t="s">
        <v>185</v>
      </c>
      <c r="N3" s="264" t="s">
        <v>186</v>
      </c>
      <c r="O3" s="264" t="s">
        <v>187</v>
      </c>
      <c r="P3" s="264" t="s">
        <v>239</v>
      </c>
      <c r="Q3" s="264" t="s">
        <v>188</v>
      </c>
      <c r="R3" s="264" t="s">
        <v>189</v>
      </c>
      <c r="S3" s="264" t="s">
        <v>190</v>
      </c>
      <c r="T3" s="264" t="s">
        <v>191</v>
      </c>
      <c r="U3" s="264" t="s">
        <v>192</v>
      </c>
      <c r="V3" s="264" t="s">
        <v>193</v>
      </c>
      <c r="W3" s="264" t="s">
        <v>194</v>
      </c>
      <c r="X3" s="264" t="s">
        <v>195</v>
      </c>
      <c r="Y3" s="264" t="s">
        <v>196</v>
      </c>
      <c r="Z3" s="264" t="s">
        <v>197</v>
      </c>
      <c r="AA3" s="264" t="s">
        <v>198</v>
      </c>
      <c r="AB3" s="264" t="s">
        <v>199</v>
      </c>
      <c r="AC3" s="264" t="s">
        <v>200</v>
      </c>
      <c r="AD3" s="265" t="s">
        <v>201</v>
      </c>
      <c r="AE3" s="265" t="s">
        <v>180</v>
      </c>
      <c r="AF3" s="266" t="s">
        <v>181</v>
      </c>
      <c r="AG3" s="265" t="s">
        <v>182</v>
      </c>
      <c r="AH3" s="265" t="s">
        <v>183</v>
      </c>
      <c r="AI3" s="265" t="s">
        <v>184</v>
      </c>
      <c r="AJ3" s="265" t="s">
        <v>247</v>
      </c>
      <c r="AK3" s="265" t="s">
        <v>248</v>
      </c>
      <c r="AL3" s="265" t="s">
        <v>249</v>
      </c>
      <c r="AM3" s="265" t="s">
        <v>185</v>
      </c>
      <c r="AN3" s="265" t="s">
        <v>186</v>
      </c>
      <c r="AO3" s="265" t="s">
        <v>187</v>
      </c>
      <c r="AP3" s="265" t="s">
        <v>239</v>
      </c>
      <c r="AQ3" s="265" t="s">
        <v>188</v>
      </c>
      <c r="AR3" s="265" t="s">
        <v>189</v>
      </c>
      <c r="AS3" s="265" t="s">
        <v>190</v>
      </c>
      <c r="AT3" s="265" t="s">
        <v>191</v>
      </c>
      <c r="AU3" s="265" t="s">
        <v>192</v>
      </c>
      <c r="AV3" s="265" t="s">
        <v>193</v>
      </c>
      <c r="AW3" s="265" t="s">
        <v>194</v>
      </c>
      <c r="AX3" s="265" t="s">
        <v>195</v>
      </c>
      <c r="AY3" s="267" t="s">
        <v>196</v>
      </c>
      <c r="AZ3" s="268" t="s">
        <v>197</v>
      </c>
      <c r="BA3" s="268" t="s">
        <v>198</v>
      </c>
      <c r="BB3" s="268" t="s">
        <v>199</v>
      </c>
      <c r="BC3" s="269" t="s">
        <v>200</v>
      </c>
      <c r="BD3" s="270" t="s">
        <v>237</v>
      </c>
      <c r="BE3" s="270" t="s">
        <v>238</v>
      </c>
      <c r="BF3" s="270" t="s">
        <v>243</v>
      </c>
      <c r="BG3" s="270" t="s">
        <v>244</v>
      </c>
      <c r="BH3" s="270" t="s">
        <v>242</v>
      </c>
      <c r="BI3" s="270" t="s">
        <v>245</v>
      </c>
      <c r="BJ3" s="270" t="s">
        <v>246</v>
      </c>
      <c r="BK3" s="73"/>
      <c r="BL3" s="73"/>
      <c r="BM3" s="73"/>
      <c r="BN3" s="73"/>
      <c r="BO3" s="73"/>
      <c r="BP3" s="73"/>
      <c r="BQ3" s="73"/>
      <c r="BR3" s="73"/>
      <c r="BS3" s="73"/>
      <c r="BT3" s="73"/>
      <c r="BU3" s="73"/>
      <c r="BV3" s="73"/>
      <c r="BW3" s="73"/>
      <c r="BX3" s="73"/>
      <c r="BY3" s="73"/>
      <c r="BZ3" s="73"/>
      <c r="CA3" s="73"/>
      <c r="CB3" s="73"/>
      <c r="CC3" s="73"/>
      <c r="CD3" s="73"/>
    </row>
    <row r="4" spans="1:66" ht="12.75">
      <c r="A4" s="79" t="s">
        <v>265</v>
      </c>
      <c r="B4" s="79" t="s">
        <v>68</v>
      </c>
      <c r="C4" s="79" t="s">
        <v>367</v>
      </c>
      <c r="D4" s="99">
        <v>7295</v>
      </c>
      <c r="E4" s="99">
        <v>548</v>
      </c>
      <c r="F4" s="99" t="s">
        <v>177</v>
      </c>
      <c r="G4" s="99">
        <v>12</v>
      </c>
      <c r="H4" s="99">
        <v>6</v>
      </c>
      <c r="I4" s="99">
        <v>35</v>
      </c>
      <c r="J4" s="99">
        <v>217</v>
      </c>
      <c r="K4" s="99">
        <v>197</v>
      </c>
      <c r="L4" s="99">
        <v>1084</v>
      </c>
      <c r="M4" s="99">
        <v>56</v>
      </c>
      <c r="N4" s="99">
        <v>31</v>
      </c>
      <c r="O4" s="99">
        <v>39</v>
      </c>
      <c r="P4" s="158">
        <v>39</v>
      </c>
      <c r="Q4" s="99" t="s">
        <v>916</v>
      </c>
      <c r="R4" s="99">
        <v>8</v>
      </c>
      <c r="S4" s="99">
        <v>16</v>
      </c>
      <c r="T4" s="99">
        <v>7</v>
      </c>
      <c r="U4" s="99" t="s">
        <v>916</v>
      </c>
      <c r="V4" s="99" t="s">
        <v>916</v>
      </c>
      <c r="W4" s="99">
        <v>6</v>
      </c>
      <c r="X4" s="99">
        <v>11</v>
      </c>
      <c r="Y4" s="99">
        <v>18</v>
      </c>
      <c r="Z4" s="99">
        <v>22</v>
      </c>
      <c r="AA4" s="99" t="s">
        <v>916</v>
      </c>
      <c r="AB4" s="99" t="s">
        <v>916</v>
      </c>
      <c r="AC4" s="99" t="s">
        <v>916</v>
      </c>
      <c r="AD4" s="98" t="s">
        <v>158</v>
      </c>
      <c r="AE4" s="100">
        <v>0.07511994516792324</v>
      </c>
      <c r="AF4" s="100">
        <v>0.4</v>
      </c>
      <c r="AG4" s="98">
        <v>164.4962302947224</v>
      </c>
      <c r="AH4" s="98">
        <v>82.2481151473612</v>
      </c>
      <c r="AI4" s="100">
        <v>0.0048</v>
      </c>
      <c r="AJ4" s="100">
        <v>0.560724</v>
      </c>
      <c r="AK4" s="100">
        <v>0.518421</v>
      </c>
      <c r="AL4" s="100">
        <v>0.714097</v>
      </c>
      <c r="AM4" s="100">
        <v>0.202166</v>
      </c>
      <c r="AN4" s="100">
        <v>0.172222</v>
      </c>
      <c r="AO4" s="98">
        <v>534.6127484578478</v>
      </c>
      <c r="AP4" s="157">
        <v>0.43770000000000003</v>
      </c>
      <c r="AQ4" s="100" t="s">
        <v>916</v>
      </c>
      <c r="AR4" s="100" t="s">
        <v>916</v>
      </c>
      <c r="AS4" s="98">
        <v>219.32830705962988</v>
      </c>
      <c r="AT4" s="98">
        <v>95.95613433858807</v>
      </c>
      <c r="AU4" s="98" t="s">
        <v>916</v>
      </c>
      <c r="AV4" s="98" t="s">
        <v>916</v>
      </c>
      <c r="AW4" s="98">
        <v>82.2481151473612</v>
      </c>
      <c r="AX4" s="98">
        <v>150.78821110349554</v>
      </c>
      <c r="AY4" s="98">
        <v>246.7443454420836</v>
      </c>
      <c r="AZ4" s="98">
        <v>301.5764222069911</v>
      </c>
      <c r="BA4" s="100" t="s">
        <v>916</v>
      </c>
      <c r="BB4" s="100" t="s">
        <v>916</v>
      </c>
      <c r="BC4" s="100" t="s">
        <v>916</v>
      </c>
      <c r="BD4" s="157">
        <v>0.31120000000000003</v>
      </c>
      <c r="BE4" s="157">
        <v>0.5982999999999999</v>
      </c>
      <c r="BF4" s="161">
        <v>387</v>
      </c>
      <c r="BG4" s="161">
        <v>380</v>
      </c>
      <c r="BH4" s="161">
        <v>1518</v>
      </c>
      <c r="BI4" s="161">
        <v>277</v>
      </c>
      <c r="BJ4" s="161">
        <v>180</v>
      </c>
      <c r="BK4" s="97"/>
      <c r="BL4" s="97"/>
      <c r="BM4" s="97"/>
      <c r="BN4" s="97"/>
    </row>
    <row r="5" spans="1:66" ht="12.75">
      <c r="A5" s="79" t="s">
        <v>328</v>
      </c>
      <c r="B5" s="79" t="s">
        <v>157</v>
      </c>
      <c r="C5" s="79" t="s">
        <v>367</v>
      </c>
      <c r="D5" s="99">
        <v>6658</v>
      </c>
      <c r="E5" s="99">
        <v>283</v>
      </c>
      <c r="F5" s="99" t="s">
        <v>177</v>
      </c>
      <c r="G5" s="99" t="s">
        <v>916</v>
      </c>
      <c r="H5" s="99" t="s">
        <v>916</v>
      </c>
      <c r="I5" s="99">
        <v>32</v>
      </c>
      <c r="J5" s="99">
        <v>171</v>
      </c>
      <c r="K5" s="99">
        <v>122</v>
      </c>
      <c r="L5" s="99">
        <v>991</v>
      </c>
      <c r="M5" s="99">
        <v>53</v>
      </c>
      <c r="N5" s="99">
        <v>16</v>
      </c>
      <c r="O5" s="99">
        <v>72</v>
      </c>
      <c r="P5" s="158">
        <v>72</v>
      </c>
      <c r="Q5" s="99" t="s">
        <v>916</v>
      </c>
      <c r="R5" s="99">
        <v>10</v>
      </c>
      <c r="S5" s="99">
        <v>16</v>
      </c>
      <c r="T5" s="99" t="s">
        <v>916</v>
      </c>
      <c r="U5" s="99" t="s">
        <v>916</v>
      </c>
      <c r="V5" s="99" t="s">
        <v>916</v>
      </c>
      <c r="W5" s="99" t="s">
        <v>916</v>
      </c>
      <c r="X5" s="99">
        <v>9</v>
      </c>
      <c r="Y5" s="99">
        <v>12</v>
      </c>
      <c r="Z5" s="99">
        <v>11</v>
      </c>
      <c r="AA5" s="99" t="s">
        <v>916</v>
      </c>
      <c r="AB5" s="99" t="s">
        <v>916</v>
      </c>
      <c r="AC5" s="99" t="s">
        <v>916</v>
      </c>
      <c r="AD5" s="98" t="s">
        <v>158</v>
      </c>
      <c r="AE5" s="100">
        <v>0.04250525683388405</v>
      </c>
      <c r="AF5" s="100">
        <v>0.41</v>
      </c>
      <c r="AG5" s="98" t="s">
        <v>916</v>
      </c>
      <c r="AH5" s="98" t="s">
        <v>916</v>
      </c>
      <c r="AI5" s="100">
        <v>0.0048</v>
      </c>
      <c r="AJ5" s="100">
        <v>0.57</v>
      </c>
      <c r="AK5" s="100">
        <v>0.410774</v>
      </c>
      <c r="AL5" s="100">
        <v>0.642255</v>
      </c>
      <c r="AM5" s="100">
        <v>0.294444</v>
      </c>
      <c r="AN5" s="100">
        <v>0.285714</v>
      </c>
      <c r="AO5" s="98">
        <v>1081.4058275758487</v>
      </c>
      <c r="AP5" s="157">
        <v>1.0421</v>
      </c>
      <c r="AQ5" s="100" t="s">
        <v>916</v>
      </c>
      <c r="AR5" s="100" t="s">
        <v>916</v>
      </c>
      <c r="AS5" s="98">
        <v>240.31240612796637</v>
      </c>
      <c r="AT5" s="98" t="s">
        <v>916</v>
      </c>
      <c r="AU5" s="98" t="s">
        <v>916</v>
      </c>
      <c r="AV5" s="98" t="s">
        <v>916</v>
      </c>
      <c r="AW5" s="98" t="s">
        <v>916</v>
      </c>
      <c r="AX5" s="98">
        <v>135.17572844698108</v>
      </c>
      <c r="AY5" s="98">
        <v>180.23430459597478</v>
      </c>
      <c r="AZ5" s="98">
        <v>165.21477921297688</v>
      </c>
      <c r="BA5" s="100" t="s">
        <v>916</v>
      </c>
      <c r="BB5" s="100" t="s">
        <v>916</v>
      </c>
      <c r="BC5" s="100" t="s">
        <v>916</v>
      </c>
      <c r="BD5" s="157">
        <v>0.8154</v>
      </c>
      <c r="BE5" s="157">
        <v>1.3124</v>
      </c>
      <c r="BF5" s="161">
        <v>300</v>
      </c>
      <c r="BG5" s="161">
        <v>297</v>
      </c>
      <c r="BH5" s="161">
        <v>1543</v>
      </c>
      <c r="BI5" s="161">
        <v>180</v>
      </c>
      <c r="BJ5" s="161">
        <v>56</v>
      </c>
      <c r="BK5" s="97"/>
      <c r="BL5" s="97"/>
      <c r="BM5" s="97"/>
      <c r="BN5" s="97"/>
    </row>
    <row r="6" spans="1:66" ht="12.75">
      <c r="A6" s="79" t="s">
        <v>308</v>
      </c>
      <c r="B6" s="79" t="s">
        <v>126</v>
      </c>
      <c r="C6" s="79" t="s">
        <v>367</v>
      </c>
      <c r="D6" s="99">
        <v>3983</v>
      </c>
      <c r="E6" s="99">
        <v>439</v>
      </c>
      <c r="F6" s="99" t="s">
        <v>176</v>
      </c>
      <c r="G6" s="99">
        <v>10</v>
      </c>
      <c r="H6" s="99">
        <v>7</v>
      </c>
      <c r="I6" s="99">
        <v>53</v>
      </c>
      <c r="J6" s="99">
        <v>281</v>
      </c>
      <c r="K6" s="99">
        <v>259</v>
      </c>
      <c r="L6" s="99">
        <v>890</v>
      </c>
      <c r="M6" s="99">
        <v>137</v>
      </c>
      <c r="N6" s="99">
        <v>75</v>
      </c>
      <c r="O6" s="99">
        <v>30</v>
      </c>
      <c r="P6" s="158">
        <v>30</v>
      </c>
      <c r="Q6" s="99" t="s">
        <v>916</v>
      </c>
      <c r="R6" s="99">
        <v>11</v>
      </c>
      <c r="S6" s="99">
        <v>13</v>
      </c>
      <c r="T6" s="99" t="s">
        <v>916</v>
      </c>
      <c r="U6" s="99" t="s">
        <v>916</v>
      </c>
      <c r="V6" s="99">
        <v>6</v>
      </c>
      <c r="W6" s="99">
        <v>7</v>
      </c>
      <c r="X6" s="99">
        <v>18</v>
      </c>
      <c r="Y6" s="99">
        <v>17</v>
      </c>
      <c r="Z6" s="99">
        <v>17</v>
      </c>
      <c r="AA6" s="99" t="s">
        <v>916</v>
      </c>
      <c r="AB6" s="99" t="s">
        <v>916</v>
      </c>
      <c r="AC6" s="99" t="s">
        <v>916</v>
      </c>
      <c r="AD6" s="98" t="s">
        <v>158</v>
      </c>
      <c r="AE6" s="100">
        <v>0.11021842832036154</v>
      </c>
      <c r="AF6" s="100">
        <v>0.18</v>
      </c>
      <c r="AG6" s="98">
        <v>251.06703489831784</v>
      </c>
      <c r="AH6" s="98">
        <v>175.7469244288225</v>
      </c>
      <c r="AI6" s="100">
        <v>0.013300000000000001</v>
      </c>
      <c r="AJ6" s="100">
        <v>0.769863</v>
      </c>
      <c r="AK6" s="100">
        <v>0.737892</v>
      </c>
      <c r="AL6" s="100">
        <v>0.803975</v>
      </c>
      <c r="AM6" s="100">
        <v>0.434921</v>
      </c>
      <c r="AN6" s="100">
        <v>0.407609</v>
      </c>
      <c r="AO6" s="98">
        <v>753.2011046949535</v>
      </c>
      <c r="AP6" s="157">
        <v>0.4481</v>
      </c>
      <c r="AQ6" s="100" t="s">
        <v>916</v>
      </c>
      <c r="AR6" s="100" t="s">
        <v>916</v>
      </c>
      <c r="AS6" s="98">
        <v>326.3871453678132</v>
      </c>
      <c r="AT6" s="98" t="s">
        <v>916</v>
      </c>
      <c r="AU6" s="98" t="s">
        <v>916</v>
      </c>
      <c r="AV6" s="98">
        <v>150.64022093899072</v>
      </c>
      <c r="AW6" s="98">
        <v>175.7469244288225</v>
      </c>
      <c r="AX6" s="98">
        <v>451.92066281697214</v>
      </c>
      <c r="AY6" s="98">
        <v>426.81395932714037</v>
      </c>
      <c r="AZ6" s="98">
        <v>426.81395932714037</v>
      </c>
      <c r="BA6" s="100" t="s">
        <v>916</v>
      </c>
      <c r="BB6" s="100" t="s">
        <v>916</v>
      </c>
      <c r="BC6" s="100" t="s">
        <v>916</v>
      </c>
      <c r="BD6" s="157">
        <v>0.3023</v>
      </c>
      <c r="BE6" s="157">
        <v>0.6396999999999999</v>
      </c>
      <c r="BF6" s="161">
        <v>365</v>
      </c>
      <c r="BG6" s="161">
        <v>351</v>
      </c>
      <c r="BH6" s="161">
        <v>1107</v>
      </c>
      <c r="BI6" s="161">
        <v>315</v>
      </c>
      <c r="BJ6" s="161">
        <v>184</v>
      </c>
      <c r="BK6" s="97"/>
      <c r="BL6" s="97"/>
      <c r="BM6" s="97"/>
      <c r="BN6" s="97"/>
    </row>
    <row r="7" spans="1:66" ht="12.75">
      <c r="A7" s="79" t="s">
        <v>298</v>
      </c>
      <c r="B7" s="79" t="s">
        <v>112</v>
      </c>
      <c r="C7" s="79" t="s">
        <v>367</v>
      </c>
      <c r="D7" s="99">
        <v>2482</v>
      </c>
      <c r="E7" s="99">
        <v>423</v>
      </c>
      <c r="F7" s="99" t="s">
        <v>177</v>
      </c>
      <c r="G7" s="99">
        <v>14</v>
      </c>
      <c r="H7" s="99">
        <v>8</v>
      </c>
      <c r="I7" s="99">
        <v>24</v>
      </c>
      <c r="J7" s="99">
        <v>176</v>
      </c>
      <c r="K7" s="99">
        <v>148</v>
      </c>
      <c r="L7" s="99">
        <v>394</v>
      </c>
      <c r="M7" s="99">
        <v>101</v>
      </c>
      <c r="N7" s="99">
        <v>59</v>
      </c>
      <c r="O7" s="99">
        <v>15</v>
      </c>
      <c r="P7" s="158">
        <v>15</v>
      </c>
      <c r="Q7" s="99" t="s">
        <v>916</v>
      </c>
      <c r="R7" s="99">
        <v>15</v>
      </c>
      <c r="S7" s="99" t="s">
        <v>916</v>
      </c>
      <c r="T7" s="99" t="s">
        <v>916</v>
      </c>
      <c r="U7" s="99" t="s">
        <v>916</v>
      </c>
      <c r="V7" s="99" t="s">
        <v>916</v>
      </c>
      <c r="W7" s="99" t="s">
        <v>916</v>
      </c>
      <c r="X7" s="99">
        <v>8</v>
      </c>
      <c r="Y7" s="99">
        <v>7</v>
      </c>
      <c r="Z7" s="99">
        <v>23</v>
      </c>
      <c r="AA7" s="99" t="s">
        <v>916</v>
      </c>
      <c r="AB7" s="99" t="s">
        <v>916</v>
      </c>
      <c r="AC7" s="99" t="s">
        <v>916</v>
      </c>
      <c r="AD7" s="98" t="s">
        <v>158</v>
      </c>
      <c r="AE7" s="100">
        <v>0.17042707493956485</v>
      </c>
      <c r="AF7" s="100">
        <v>0.24</v>
      </c>
      <c r="AG7" s="98">
        <v>564.0612409347301</v>
      </c>
      <c r="AH7" s="98">
        <v>322.32070910556</v>
      </c>
      <c r="AI7" s="100">
        <v>0.0097</v>
      </c>
      <c r="AJ7" s="100">
        <v>0.77533</v>
      </c>
      <c r="AK7" s="100">
        <v>0.691589</v>
      </c>
      <c r="AL7" s="100">
        <v>0.680484</v>
      </c>
      <c r="AM7" s="100">
        <v>0.433476</v>
      </c>
      <c r="AN7" s="100">
        <v>0.415493</v>
      </c>
      <c r="AO7" s="98">
        <v>604.351329572925</v>
      </c>
      <c r="AP7" s="157">
        <v>0.3147</v>
      </c>
      <c r="AQ7" s="100" t="s">
        <v>916</v>
      </c>
      <c r="AR7" s="100" t="s">
        <v>916</v>
      </c>
      <c r="AS7" s="98" t="s">
        <v>916</v>
      </c>
      <c r="AT7" s="98" t="s">
        <v>916</v>
      </c>
      <c r="AU7" s="98" t="s">
        <v>916</v>
      </c>
      <c r="AV7" s="98" t="s">
        <v>916</v>
      </c>
      <c r="AW7" s="98" t="s">
        <v>916</v>
      </c>
      <c r="AX7" s="98">
        <v>322.32070910556</v>
      </c>
      <c r="AY7" s="98">
        <v>282.03062046736505</v>
      </c>
      <c r="AZ7" s="98">
        <v>926.6720386784851</v>
      </c>
      <c r="BA7" s="100" t="s">
        <v>916</v>
      </c>
      <c r="BB7" s="100" t="s">
        <v>916</v>
      </c>
      <c r="BC7" s="100" t="s">
        <v>916</v>
      </c>
      <c r="BD7" s="157">
        <v>0.17620000000000002</v>
      </c>
      <c r="BE7" s="157">
        <v>0.5191</v>
      </c>
      <c r="BF7" s="161">
        <v>227</v>
      </c>
      <c r="BG7" s="161">
        <v>214</v>
      </c>
      <c r="BH7" s="161">
        <v>579</v>
      </c>
      <c r="BI7" s="161">
        <v>233</v>
      </c>
      <c r="BJ7" s="161">
        <v>142</v>
      </c>
      <c r="BK7" s="97"/>
      <c r="BL7" s="97"/>
      <c r="BM7" s="97"/>
      <c r="BN7" s="97"/>
    </row>
    <row r="8" spans="1:66" ht="12.75">
      <c r="A8" s="79" t="s">
        <v>294</v>
      </c>
      <c r="B8" s="79" t="s">
        <v>106</v>
      </c>
      <c r="C8" s="79" t="s">
        <v>367</v>
      </c>
      <c r="D8" s="99">
        <v>13374</v>
      </c>
      <c r="E8" s="99">
        <v>2242</v>
      </c>
      <c r="F8" s="99" t="s">
        <v>177</v>
      </c>
      <c r="G8" s="99">
        <v>52</v>
      </c>
      <c r="H8" s="99">
        <v>34</v>
      </c>
      <c r="I8" s="99">
        <v>198</v>
      </c>
      <c r="J8" s="99">
        <v>1062</v>
      </c>
      <c r="K8" s="99">
        <v>1037</v>
      </c>
      <c r="L8" s="99">
        <v>2435</v>
      </c>
      <c r="M8" s="99">
        <v>669</v>
      </c>
      <c r="N8" s="99">
        <v>371</v>
      </c>
      <c r="O8" s="99">
        <v>286</v>
      </c>
      <c r="P8" s="158">
        <v>286</v>
      </c>
      <c r="Q8" s="99">
        <v>25</v>
      </c>
      <c r="R8" s="99">
        <v>56</v>
      </c>
      <c r="S8" s="99">
        <v>71</v>
      </c>
      <c r="T8" s="99">
        <v>41</v>
      </c>
      <c r="U8" s="99" t="s">
        <v>916</v>
      </c>
      <c r="V8" s="99">
        <v>48</v>
      </c>
      <c r="W8" s="99">
        <v>39</v>
      </c>
      <c r="X8" s="99">
        <v>94</v>
      </c>
      <c r="Y8" s="99">
        <v>135</v>
      </c>
      <c r="Z8" s="99">
        <v>80</v>
      </c>
      <c r="AA8" s="99">
        <v>11</v>
      </c>
      <c r="AB8" s="99">
        <v>27</v>
      </c>
      <c r="AC8" s="99">
        <v>14</v>
      </c>
      <c r="AD8" s="98" t="s">
        <v>158</v>
      </c>
      <c r="AE8" s="100">
        <v>0.16763870195902497</v>
      </c>
      <c r="AF8" s="100">
        <v>0.27</v>
      </c>
      <c r="AG8" s="98">
        <v>388.81411694332286</v>
      </c>
      <c r="AH8" s="98">
        <v>254.22461492448033</v>
      </c>
      <c r="AI8" s="100">
        <v>0.0148</v>
      </c>
      <c r="AJ8" s="100">
        <v>0.721958</v>
      </c>
      <c r="AK8" s="100">
        <v>0.737029</v>
      </c>
      <c r="AL8" s="100">
        <v>0.735427</v>
      </c>
      <c r="AM8" s="100">
        <v>0.494092</v>
      </c>
      <c r="AN8" s="100">
        <v>0.464912</v>
      </c>
      <c r="AO8" s="98">
        <v>2138.4776431882756</v>
      </c>
      <c r="AP8" s="157">
        <v>1.0943</v>
      </c>
      <c r="AQ8" s="100">
        <v>0.08741258741258741</v>
      </c>
      <c r="AR8" s="100">
        <v>0.44642857142857145</v>
      </c>
      <c r="AS8" s="98">
        <v>530.8808135187678</v>
      </c>
      <c r="AT8" s="98">
        <v>306.56497682069687</v>
      </c>
      <c r="AU8" s="98" t="s">
        <v>916</v>
      </c>
      <c r="AV8" s="98">
        <v>358.90533871691343</v>
      </c>
      <c r="AW8" s="98">
        <v>291.61058770749213</v>
      </c>
      <c r="AX8" s="98">
        <v>702.8562883206221</v>
      </c>
      <c r="AY8" s="98">
        <v>1009.4212651413189</v>
      </c>
      <c r="AZ8" s="98">
        <v>598.175564528189</v>
      </c>
      <c r="BA8" s="100">
        <v>0.21153846153846154</v>
      </c>
      <c r="BB8" s="100">
        <v>0.5192307692307693</v>
      </c>
      <c r="BC8" s="100">
        <v>0.2692307692307692</v>
      </c>
      <c r="BD8" s="157">
        <v>0.9712000000000001</v>
      </c>
      <c r="BE8" s="157">
        <v>1.2288</v>
      </c>
      <c r="BF8" s="161">
        <v>1471</v>
      </c>
      <c r="BG8" s="161">
        <v>1407</v>
      </c>
      <c r="BH8" s="161">
        <v>3311</v>
      </c>
      <c r="BI8" s="161">
        <v>1354</v>
      </c>
      <c r="BJ8" s="161">
        <v>798</v>
      </c>
      <c r="BK8" s="97"/>
      <c r="BL8" s="97"/>
      <c r="BM8" s="97"/>
      <c r="BN8" s="97"/>
    </row>
    <row r="9" spans="1:66" ht="12.75">
      <c r="A9" s="79" t="s">
        <v>273</v>
      </c>
      <c r="B9" s="79" t="s">
        <v>81</v>
      </c>
      <c r="C9" s="79" t="s">
        <v>367</v>
      </c>
      <c r="D9" s="99">
        <v>2882</v>
      </c>
      <c r="E9" s="99">
        <v>243</v>
      </c>
      <c r="F9" s="99" t="s">
        <v>177</v>
      </c>
      <c r="G9" s="99">
        <v>10</v>
      </c>
      <c r="H9" s="99" t="s">
        <v>916</v>
      </c>
      <c r="I9" s="99">
        <v>18</v>
      </c>
      <c r="J9" s="99">
        <v>108</v>
      </c>
      <c r="K9" s="99" t="s">
        <v>916</v>
      </c>
      <c r="L9" s="99">
        <v>414</v>
      </c>
      <c r="M9" s="99">
        <v>53</v>
      </c>
      <c r="N9" s="99">
        <v>34</v>
      </c>
      <c r="O9" s="99">
        <v>13</v>
      </c>
      <c r="P9" s="158">
        <v>13</v>
      </c>
      <c r="Q9" s="99" t="s">
        <v>916</v>
      </c>
      <c r="R9" s="99">
        <v>7</v>
      </c>
      <c r="S9" s="99" t="s">
        <v>916</v>
      </c>
      <c r="T9" s="99" t="s">
        <v>916</v>
      </c>
      <c r="U9" s="99" t="s">
        <v>916</v>
      </c>
      <c r="V9" s="99" t="s">
        <v>916</v>
      </c>
      <c r="W9" s="99" t="s">
        <v>916</v>
      </c>
      <c r="X9" s="99">
        <v>6</v>
      </c>
      <c r="Y9" s="99">
        <v>12</v>
      </c>
      <c r="Z9" s="99" t="s">
        <v>916</v>
      </c>
      <c r="AA9" s="99" t="s">
        <v>916</v>
      </c>
      <c r="AB9" s="99" t="s">
        <v>916</v>
      </c>
      <c r="AC9" s="99" t="s">
        <v>916</v>
      </c>
      <c r="AD9" s="98" t="s">
        <v>158</v>
      </c>
      <c r="AE9" s="100">
        <v>0.08431644691186677</v>
      </c>
      <c r="AF9" s="100">
        <v>0.45</v>
      </c>
      <c r="AG9" s="98">
        <v>346.98126301179735</v>
      </c>
      <c r="AH9" s="98" t="s">
        <v>916</v>
      </c>
      <c r="AI9" s="100">
        <v>0.0062</v>
      </c>
      <c r="AJ9" s="100">
        <v>0.537313</v>
      </c>
      <c r="AK9" s="100" t="s">
        <v>916</v>
      </c>
      <c r="AL9" s="100">
        <v>0.643857</v>
      </c>
      <c r="AM9" s="100">
        <v>0.325153</v>
      </c>
      <c r="AN9" s="100">
        <v>0.333333</v>
      </c>
      <c r="AO9" s="98">
        <v>451.0756419153366</v>
      </c>
      <c r="AP9" s="157">
        <v>0.32530000000000003</v>
      </c>
      <c r="AQ9" s="100" t="s">
        <v>916</v>
      </c>
      <c r="AR9" s="100" t="s">
        <v>916</v>
      </c>
      <c r="AS9" s="98" t="s">
        <v>916</v>
      </c>
      <c r="AT9" s="98" t="s">
        <v>916</v>
      </c>
      <c r="AU9" s="98" t="s">
        <v>916</v>
      </c>
      <c r="AV9" s="98" t="s">
        <v>916</v>
      </c>
      <c r="AW9" s="98" t="s">
        <v>916</v>
      </c>
      <c r="AX9" s="98">
        <v>208.18875780707842</v>
      </c>
      <c r="AY9" s="98">
        <v>416.37751561415683</v>
      </c>
      <c r="AZ9" s="98" t="s">
        <v>916</v>
      </c>
      <c r="BA9" s="100" t="s">
        <v>916</v>
      </c>
      <c r="BB9" s="100" t="s">
        <v>916</v>
      </c>
      <c r="BC9" s="100" t="s">
        <v>916</v>
      </c>
      <c r="BD9" s="157">
        <v>0.1732</v>
      </c>
      <c r="BE9" s="157">
        <v>0.5562</v>
      </c>
      <c r="BF9" s="161">
        <v>201</v>
      </c>
      <c r="BG9" s="161" t="s">
        <v>916</v>
      </c>
      <c r="BH9" s="161">
        <v>643</v>
      </c>
      <c r="BI9" s="161">
        <v>163</v>
      </c>
      <c r="BJ9" s="161">
        <v>102</v>
      </c>
      <c r="BK9" s="97"/>
      <c r="BL9" s="97"/>
      <c r="BM9" s="97"/>
      <c r="BN9" s="97"/>
    </row>
    <row r="10" spans="1:66" ht="12.75">
      <c r="A10" s="79" t="s">
        <v>327</v>
      </c>
      <c r="B10" s="79" t="s">
        <v>154</v>
      </c>
      <c r="C10" s="79" t="s">
        <v>367</v>
      </c>
      <c r="D10" s="99">
        <v>3724</v>
      </c>
      <c r="E10" s="99">
        <v>339</v>
      </c>
      <c r="F10" s="99" t="s">
        <v>177</v>
      </c>
      <c r="G10" s="99">
        <v>15</v>
      </c>
      <c r="H10" s="99" t="s">
        <v>916</v>
      </c>
      <c r="I10" s="99">
        <v>39</v>
      </c>
      <c r="J10" s="99">
        <v>156</v>
      </c>
      <c r="K10" s="99" t="s">
        <v>916</v>
      </c>
      <c r="L10" s="99">
        <v>647</v>
      </c>
      <c r="M10" s="99">
        <v>87</v>
      </c>
      <c r="N10" s="99">
        <v>61</v>
      </c>
      <c r="O10" s="99">
        <v>35</v>
      </c>
      <c r="P10" s="158">
        <v>35</v>
      </c>
      <c r="Q10" s="99" t="s">
        <v>916</v>
      </c>
      <c r="R10" s="99">
        <v>13</v>
      </c>
      <c r="S10" s="99">
        <v>8</v>
      </c>
      <c r="T10" s="99">
        <v>6</v>
      </c>
      <c r="U10" s="99" t="s">
        <v>916</v>
      </c>
      <c r="V10" s="99" t="s">
        <v>916</v>
      </c>
      <c r="W10" s="99">
        <v>8</v>
      </c>
      <c r="X10" s="99">
        <v>10</v>
      </c>
      <c r="Y10" s="99">
        <v>13</v>
      </c>
      <c r="Z10" s="99">
        <v>17</v>
      </c>
      <c r="AA10" s="99" t="s">
        <v>916</v>
      </c>
      <c r="AB10" s="99" t="s">
        <v>916</v>
      </c>
      <c r="AC10" s="99" t="s">
        <v>916</v>
      </c>
      <c r="AD10" s="98" t="s">
        <v>158</v>
      </c>
      <c r="AE10" s="100">
        <v>0.091031149301826</v>
      </c>
      <c r="AF10" s="100">
        <v>0.34</v>
      </c>
      <c r="AG10" s="98">
        <v>402.79269602577875</v>
      </c>
      <c r="AH10" s="98" t="s">
        <v>916</v>
      </c>
      <c r="AI10" s="100">
        <v>0.0105</v>
      </c>
      <c r="AJ10" s="100">
        <v>0.59542</v>
      </c>
      <c r="AK10" s="100" t="s">
        <v>916</v>
      </c>
      <c r="AL10" s="100">
        <v>0.697198</v>
      </c>
      <c r="AM10" s="100">
        <v>0.370213</v>
      </c>
      <c r="AN10" s="100">
        <v>0.386076</v>
      </c>
      <c r="AO10" s="98">
        <v>939.8496240601504</v>
      </c>
      <c r="AP10" s="157">
        <v>0.6279</v>
      </c>
      <c r="AQ10" s="100" t="s">
        <v>916</v>
      </c>
      <c r="AR10" s="100" t="s">
        <v>916</v>
      </c>
      <c r="AS10" s="98">
        <v>214.82277121374867</v>
      </c>
      <c r="AT10" s="98">
        <v>161.1170784103115</v>
      </c>
      <c r="AU10" s="98" t="s">
        <v>916</v>
      </c>
      <c r="AV10" s="98" t="s">
        <v>916</v>
      </c>
      <c r="AW10" s="98">
        <v>214.82277121374867</v>
      </c>
      <c r="AX10" s="98">
        <v>268.5284640171858</v>
      </c>
      <c r="AY10" s="98">
        <v>349.0870032223416</v>
      </c>
      <c r="AZ10" s="98">
        <v>456.4983888292159</v>
      </c>
      <c r="BA10" s="100" t="s">
        <v>916</v>
      </c>
      <c r="BB10" s="100" t="s">
        <v>916</v>
      </c>
      <c r="BC10" s="100" t="s">
        <v>916</v>
      </c>
      <c r="BD10" s="157">
        <v>0.4374</v>
      </c>
      <c r="BE10" s="157">
        <v>0.8733</v>
      </c>
      <c r="BF10" s="161">
        <v>262</v>
      </c>
      <c r="BG10" s="161" t="s">
        <v>916</v>
      </c>
      <c r="BH10" s="161">
        <v>928</v>
      </c>
      <c r="BI10" s="161">
        <v>235</v>
      </c>
      <c r="BJ10" s="161">
        <v>158</v>
      </c>
      <c r="BK10" s="97"/>
      <c r="BL10" s="97"/>
      <c r="BM10" s="97"/>
      <c r="BN10" s="97"/>
    </row>
    <row r="11" spans="1:66" ht="12.75">
      <c r="A11" s="79" t="s">
        <v>293</v>
      </c>
      <c r="B11" s="79" t="s">
        <v>105</v>
      </c>
      <c r="C11" s="79" t="s">
        <v>367</v>
      </c>
      <c r="D11" s="99">
        <v>8719</v>
      </c>
      <c r="E11" s="99">
        <v>1336</v>
      </c>
      <c r="F11" s="99" t="s">
        <v>177</v>
      </c>
      <c r="G11" s="99">
        <v>43</v>
      </c>
      <c r="H11" s="99">
        <v>19</v>
      </c>
      <c r="I11" s="99">
        <v>144</v>
      </c>
      <c r="J11" s="99">
        <v>667</v>
      </c>
      <c r="K11" s="99">
        <v>7</v>
      </c>
      <c r="L11" s="99">
        <v>1555</v>
      </c>
      <c r="M11" s="99">
        <v>413</v>
      </c>
      <c r="N11" s="99">
        <v>232</v>
      </c>
      <c r="O11" s="99">
        <v>252</v>
      </c>
      <c r="P11" s="158">
        <v>252</v>
      </c>
      <c r="Q11" s="99">
        <v>24</v>
      </c>
      <c r="R11" s="99">
        <v>47</v>
      </c>
      <c r="S11" s="99">
        <v>38</v>
      </c>
      <c r="T11" s="99">
        <v>42</v>
      </c>
      <c r="U11" s="99">
        <v>6</v>
      </c>
      <c r="V11" s="99">
        <v>35</v>
      </c>
      <c r="W11" s="99">
        <v>45</v>
      </c>
      <c r="X11" s="99">
        <v>106</v>
      </c>
      <c r="Y11" s="99">
        <v>127</v>
      </c>
      <c r="Z11" s="99">
        <v>51</v>
      </c>
      <c r="AA11" s="99">
        <v>10</v>
      </c>
      <c r="AB11" s="99">
        <v>11</v>
      </c>
      <c r="AC11" s="99">
        <v>15</v>
      </c>
      <c r="AD11" s="98" t="s">
        <v>158</v>
      </c>
      <c r="AE11" s="100">
        <v>0.15322858125931874</v>
      </c>
      <c r="AF11" s="100">
        <v>0.27</v>
      </c>
      <c r="AG11" s="98">
        <v>493.17582291547194</v>
      </c>
      <c r="AH11" s="98">
        <v>217.91489849753412</v>
      </c>
      <c r="AI11" s="100">
        <v>0.0165</v>
      </c>
      <c r="AJ11" s="100">
        <v>0.690476</v>
      </c>
      <c r="AK11" s="100">
        <v>0.318182</v>
      </c>
      <c r="AL11" s="100">
        <v>0.697309</v>
      </c>
      <c r="AM11" s="100">
        <v>0.512407</v>
      </c>
      <c r="AN11" s="100">
        <v>0.471545</v>
      </c>
      <c r="AO11" s="98">
        <v>2890.2397063883473</v>
      </c>
      <c r="AP11" s="157">
        <v>1.5047</v>
      </c>
      <c r="AQ11" s="100">
        <v>0.09523809523809523</v>
      </c>
      <c r="AR11" s="100">
        <v>0.5106382978723404</v>
      </c>
      <c r="AS11" s="98">
        <v>435.82979699506825</v>
      </c>
      <c r="AT11" s="98">
        <v>481.7066177313912</v>
      </c>
      <c r="AU11" s="98">
        <v>68.81523110448445</v>
      </c>
      <c r="AV11" s="98">
        <v>401.422181442826</v>
      </c>
      <c r="AW11" s="98">
        <v>516.1142332836334</v>
      </c>
      <c r="AX11" s="98">
        <v>1215.7357495125589</v>
      </c>
      <c r="AY11" s="98">
        <v>1456.5890583782543</v>
      </c>
      <c r="AZ11" s="98">
        <v>584.9294643881179</v>
      </c>
      <c r="BA11" s="101">
        <v>0.2777777777777778</v>
      </c>
      <c r="BB11" s="101">
        <v>0.3055555555555556</v>
      </c>
      <c r="BC11" s="101">
        <v>0.4166666666666667</v>
      </c>
      <c r="BD11" s="157">
        <v>1.3246</v>
      </c>
      <c r="BE11" s="157">
        <v>1.7024000000000001</v>
      </c>
      <c r="BF11" s="161">
        <v>966</v>
      </c>
      <c r="BG11" s="161">
        <v>22</v>
      </c>
      <c r="BH11" s="161">
        <v>2230</v>
      </c>
      <c r="BI11" s="161">
        <v>806</v>
      </c>
      <c r="BJ11" s="161">
        <v>492</v>
      </c>
      <c r="BK11" s="97"/>
      <c r="BL11" s="97"/>
      <c r="BM11" s="97"/>
      <c r="BN11" s="97"/>
    </row>
    <row r="12" spans="1:66" ht="12.75">
      <c r="A12" s="79" t="s">
        <v>313</v>
      </c>
      <c r="B12" s="79" t="s">
        <v>136</v>
      </c>
      <c r="C12" s="79" t="s">
        <v>367</v>
      </c>
      <c r="D12" s="99">
        <v>2314</v>
      </c>
      <c r="E12" s="99">
        <v>357</v>
      </c>
      <c r="F12" s="99" t="s">
        <v>176</v>
      </c>
      <c r="G12" s="99">
        <v>17</v>
      </c>
      <c r="H12" s="99">
        <v>6</v>
      </c>
      <c r="I12" s="99">
        <v>43</v>
      </c>
      <c r="J12" s="99">
        <v>133</v>
      </c>
      <c r="K12" s="99" t="s">
        <v>916</v>
      </c>
      <c r="L12" s="99">
        <v>374</v>
      </c>
      <c r="M12" s="99">
        <v>91</v>
      </c>
      <c r="N12" s="99">
        <v>50</v>
      </c>
      <c r="O12" s="99">
        <v>15</v>
      </c>
      <c r="P12" s="158">
        <v>15</v>
      </c>
      <c r="Q12" s="99" t="s">
        <v>916</v>
      </c>
      <c r="R12" s="99" t="s">
        <v>916</v>
      </c>
      <c r="S12" s="99">
        <v>9</v>
      </c>
      <c r="T12" s="99" t="s">
        <v>916</v>
      </c>
      <c r="U12" s="99" t="s">
        <v>916</v>
      </c>
      <c r="V12" s="99" t="s">
        <v>916</v>
      </c>
      <c r="W12" s="99" t="s">
        <v>916</v>
      </c>
      <c r="X12" s="99">
        <v>7</v>
      </c>
      <c r="Y12" s="99">
        <v>20</v>
      </c>
      <c r="Z12" s="99">
        <v>17</v>
      </c>
      <c r="AA12" s="99" t="s">
        <v>916</v>
      </c>
      <c r="AB12" s="99" t="s">
        <v>916</v>
      </c>
      <c r="AC12" s="99" t="s">
        <v>916</v>
      </c>
      <c r="AD12" s="98" t="s">
        <v>158</v>
      </c>
      <c r="AE12" s="100">
        <v>0.15427830596369924</v>
      </c>
      <c r="AF12" s="100">
        <v>0.21</v>
      </c>
      <c r="AG12" s="98">
        <v>734.6585998271391</v>
      </c>
      <c r="AH12" s="98">
        <v>259.2912705272256</v>
      </c>
      <c r="AI12" s="100">
        <v>0.018600000000000002</v>
      </c>
      <c r="AJ12" s="100">
        <v>0.671717</v>
      </c>
      <c r="AK12" s="100" t="s">
        <v>916</v>
      </c>
      <c r="AL12" s="100">
        <v>0.74502</v>
      </c>
      <c r="AM12" s="100">
        <v>0.486631</v>
      </c>
      <c r="AN12" s="100">
        <v>0.471698</v>
      </c>
      <c r="AO12" s="98">
        <v>648.2281763180639</v>
      </c>
      <c r="AP12" s="157">
        <v>0.3506</v>
      </c>
      <c r="AQ12" s="100" t="s">
        <v>916</v>
      </c>
      <c r="AR12" s="100" t="s">
        <v>916</v>
      </c>
      <c r="AS12" s="98">
        <v>388.93690579083835</v>
      </c>
      <c r="AT12" s="98" t="s">
        <v>916</v>
      </c>
      <c r="AU12" s="98" t="s">
        <v>916</v>
      </c>
      <c r="AV12" s="98" t="s">
        <v>916</v>
      </c>
      <c r="AW12" s="98" t="s">
        <v>916</v>
      </c>
      <c r="AX12" s="98">
        <v>302.50648228176317</v>
      </c>
      <c r="AY12" s="98">
        <v>864.304235090752</v>
      </c>
      <c r="AZ12" s="98">
        <v>734.6585998271391</v>
      </c>
      <c r="BA12" s="100" t="s">
        <v>916</v>
      </c>
      <c r="BB12" s="100" t="s">
        <v>916</v>
      </c>
      <c r="BC12" s="100" t="s">
        <v>916</v>
      </c>
      <c r="BD12" s="157">
        <v>0.1962</v>
      </c>
      <c r="BE12" s="157">
        <v>0.5783</v>
      </c>
      <c r="BF12" s="161">
        <v>198</v>
      </c>
      <c r="BG12" s="161" t="s">
        <v>916</v>
      </c>
      <c r="BH12" s="161">
        <v>502</v>
      </c>
      <c r="BI12" s="161">
        <v>187</v>
      </c>
      <c r="BJ12" s="161">
        <v>106</v>
      </c>
      <c r="BK12" s="97"/>
      <c r="BL12" s="97"/>
      <c r="BM12" s="97"/>
      <c r="BN12" s="97"/>
    </row>
    <row r="13" spans="1:66" ht="12.75">
      <c r="A13" s="79" t="s">
        <v>373</v>
      </c>
      <c r="B13" s="79" t="s">
        <v>78</v>
      </c>
      <c r="C13" s="79" t="s">
        <v>367</v>
      </c>
      <c r="D13" s="99">
        <v>4190</v>
      </c>
      <c r="E13" s="99">
        <v>408</v>
      </c>
      <c r="F13" s="99" t="s">
        <v>177</v>
      </c>
      <c r="G13" s="99" t="s">
        <v>916</v>
      </c>
      <c r="H13" s="99" t="s">
        <v>916</v>
      </c>
      <c r="I13" s="99">
        <v>29</v>
      </c>
      <c r="J13" s="99">
        <v>195</v>
      </c>
      <c r="K13" s="99" t="s">
        <v>916</v>
      </c>
      <c r="L13" s="99">
        <v>631</v>
      </c>
      <c r="M13" s="99">
        <v>71</v>
      </c>
      <c r="N13" s="99">
        <v>42</v>
      </c>
      <c r="O13" s="99">
        <v>41</v>
      </c>
      <c r="P13" s="158">
        <v>41</v>
      </c>
      <c r="Q13" s="99">
        <v>6</v>
      </c>
      <c r="R13" s="99">
        <v>11</v>
      </c>
      <c r="S13" s="99">
        <v>11</v>
      </c>
      <c r="T13" s="99" t="s">
        <v>916</v>
      </c>
      <c r="U13" s="99" t="s">
        <v>916</v>
      </c>
      <c r="V13" s="99" t="s">
        <v>916</v>
      </c>
      <c r="W13" s="99">
        <v>7</v>
      </c>
      <c r="X13" s="99">
        <v>11</v>
      </c>
      <c r="Y13" s="99">
        <v>6</v>
      </c>
      <c r="Z13" s="99">
        <v>11</v>
      </c>
      <c r="AA13" s="99" t="s">
        <v>916</v>
      </c>
      <c r="AB13" s="99" t="s">
        <v>916</v>
      </c>
      <c r="AC13" s="99" t="s">
        <v>916</v>
      </c>
      <c r="AD13" s="98" t="s">
        <v>158</v>
      </c>
      <c r="AE13" s="100">
        <v>0.0973747016706444</v>
      </c>
      <c r="AF13" s="100">
        <v>0.36</v>
      </c>
      <c r="AG13" s="98" t="s">
        <v>916</v>
      </c>
      <c r="AH13" s="98" t="s">
        <v>916</v>
      </c>
      <c r="AI13" s="100">
        <v>0.0069</v>
      </c>
      <c r="AJ13" s="100">
        <v>0.580357</v>
      </c>
      <c r="AK13" s="100" t="s">
        <v>916</v>
      </c>
      <c r="AL13" s="100">
        <v>0.641913</v>
      </c>
      <c r="AM13" s="100">
        <v>0.304721</v>
      </c>
      <c r="AN13" s="100">
        <v>0.270968</v>
      </c>
      <c r="AO13" s="98">
        <v>978.5202863961814</v>
      </c>
      <c r="AP13" s="157">
        <v>0.6511</v>
      </c>
      <c r="AQ13" s="100">
        <v>0.14634146341463414</v>
      </c>
      <c r="AR13" s="100">
        <v>0.5454545454545454</v>
      </c>
      <c r="AS13" s="98">
        <v>262.5298329355609</v>
      </c>
      <c r="AT13" s="98" t="s">
        <v>916</v>
      </c>
      <c r="AU13" s="98" t="s">
        <v>916</v>
      </c>
      <c r="AV13" s="98" t="s">
        <v>916</v>
      </c>
      <c r="AW13" s="98">
        <v>167.06443914081146</v>
      </c>
      <c r="AX13" s="98">
        <v>262.5298329355609</v>
      </c>
      <c r="AY13" s="98">
        <v>143.1980906921241</v>
      </c>
      <c r="AZ13" s="98">
        <v>262.5298329355609</v>
      </c>
      <c r="BA13" s="100" t="s">
        <v>916</v>
      </c>
      <c r="BB13" s="100" t="s">
        <v>916</v>
      </c>
      <c r="BC13" s="100" t="s">
        <v>916</v>
      </c>
      <c r="BD13" s="157">
        <v>0.4673</v>
      </c>
      <c r="BE13" s="157">
        <v>0.8833</v>
      </c>
      <c r="BF13" s="161">
        <v>336</v>
      </c>
      <c r="BG13" s="161" t="s">
        <v>916</v>
      </c>
      <c r="BH13" s="161">
        <v>983</v>
      </c>
      <c r="BI13" s="161">
        <v>233</v>
      </c>
      <c r="BJ13" s="161">
        <v>155</v>
      </c>
      <c r="BK13" s="97"/>
      <c r="BL13" s="97"/>
      <c r="BM13" s="97"/>
      <c r="BN13" s="97"/>
    </row>
    <row r="14" spans="1:66" ht="12.75">
      <c r="A14" s="79" t="s">
        <v>276</v>
      </c>
      <c r="B14" s="79" t="s">
        <v>84</v>
      </c>
      <c r="C14" s="79" t="s">
        <v>367</v>
      </c>
      <c r="D14" s="99">
        <v>4170</v>
      </c>
      <c r="E14" s="99">
        <v>356</v>
      </c>
      <c r="F14" s="99" t="s">
        <v>177</v>
      </c>
      <c r="G14" s="99">
        <v>17</v>
      </c>
      <c r="H14" s="99" t="s">
        <v>916</v>
      </c>
      <c r="I14" s="99">
        <v>46</v>
      </c>
      <c r="J14" s="99">
        <v>213</v>
      </c>
      <c r="K14" s="99">
        <v>200</v>
      </c>
      <c r="L14" s="99">
        <v>752</v>
      </c>
      <c r="M14" s="99">
        <v>100</v>
      </c>
      <c r="N14" s="99">
        <v>68</v>
      </c>
      <c r="O14" s="99">
        <v>80</v>
      </c>
      <c r="P14" s="158">
        <v>80</v>
      </c>
      <c r="Q14" s="99">
        <v>7</v>
      </c>
      <c r="R14" s="99">
        <v>11</v>
      </c>
      <c r="S14" s="99">
        <v>20</v>
      </c>
      <c r="T14" s="99">
        <v>13</v>
      </c>
      <c r="U14" s="99" t="s">
        <v>916</v>
      </c>
      <c r="V14" s="99">
        <v>13</v>
      </c>
      <c r="W14" s="99">
        <v>10</v>
      </c>
      <c r="X14" s="99">
        <v>18</v>
      </c>
      <c r="Y14" s="99">
        <v>24</v>
      </c>
      <c r="Z14" s="99">
        <v>13</v>
      </c>
      <c r="AA14" s="99" t="s">
        <v>916</v>
      </c>
      <c r="AB14" s="99" t="s">
        <v>916</v>
      </c>
      <c r="AC14" s="99" t="s">
        <v>916</v>
      </c>
      <c r="AD14" s="98" t="s">
        <v>158</v>
      </c>
      <c r="AE14" s="100">
        <v>0.0853717026378897</v>
      </c>
      <c r="AF14" s="100">
        <v>0.39</v>
      </c>
      <c r="AG14" s="98">
        <v>407.673860911271</v>
      </c>
      <c r="AH14" s="98" t="s">
        <v>916</v>
      </c>
      <c r="AI14" s="100">
        <v>0.011000000000000001</v>
      </c>
      <c r="AJ14" s="100">
        <v>0.622807</v>
      </c>
      <c r="AK14" s="100">
        <v>0.593472</v>
      </c>
      <c r="AL14" s="100">
        <v>0.761905</v>
      </c>
      <c r="AM14" s="100">
        <v>0.380228</v>
      </c>
      <c r="AN14" s="100">
        <v>0.4</v>
      </c>
      <c r="AO14" s="98">
        <v>1918.4652278177457</v>
      </c>
      <c r="AP14" s="157">
        <v>1.3135</v>
      </c>
      <c r="AQ14" s="100">
        <v>0.0875</v>
      </c>
      <c r="AR14" s="100">
        <v>0.6363636363636364</v>
      </c>
      <c r="AS14" s="98">
        <v>479.6163069544364</v>
      </c>
      <c r="AT14" s="98">
        <v>311.7505995203837</v>
      </c>
      <c r="AU14" s="98" t="s">
        <v>916</v>
      </c>
      <c r="AV14" s="98">
        <v>311.7505995203837</v>
      </c>
      <c r="AW14" s="98">
        <v>239.8081534772182</v>
      </c>
      <c r="AX14" s="98">
        <v>431.6546762589928</v>
      </c>
      <c r="AY14" s="98">
        <v>575.5395683453237</v>
      </c>
      <c r="AZ14" s="98">
        <v>311.7505995203837</v>
      </c>
      <c r="BA14" s="100" t="s">
        <v>916</v>
      </c>
      <c r="BB14" s="100" t="s">
        <v>916</v>
      </c>
      <c r="BC14" s="100" t="s">
        <v>916</v>
      </c>
      <c r="BD14" s="157">
        <v>1.0415</v>
      </c>
      <c r="BE14" s="157">
        <v>1.6347999999999998</v>
      </c>
      <c r="BF14" s="161">
        <v>342</v>
      </c>
      <c r="BG14" s="161">
        <v>337</v>
      </c>
      <c r="BH14" s="161">
        <v>987</v>
      </c>
      <c r="BI14" s="161">
        <v>263</v>
      </c>
      <c r="BJ14" s="161">
        <v>170</v>
      </c>
      <c r="BK14" s="97"/>
      <c r="BL14" s="97"/>
      <c r="BM14" s="97"/>
      <c r="BN14" s="97"/>
    </row>
    <row r="15" spans="1:66" ht="12.75">
      <c r="A15" s="79" t="s">
        <v>302</v>
      </c>
      <c r="B15" s="79" t="s">
        <v>118</v>
      </c>
      <c r="C15" s="79" t="s">
        <v>367</v>
      </c>
      <c r="D15" s="99">
        <v>6561</v>
      </c>
      <c r="E15" s="99">
        <v>1456</v>
      </c>
      <c r="F15" s="99" t="s">
        <v>177</v>
      </c>
      <c r="G15" s="99">
        <v>55</v>
      </c>
      <c r="H15" s="99">
        <v>23</v>
      </c>
      <c r="I15" s="99">
        <v>127</v>
      </c>
      <c r="J15" s="99">
        <v>565</v>
      </c>
      <c r="K15" s="99" t="s">
        <v>916</v>
      </c>
      <c r="L15" s="99">
        <v>1129</v>
      </c>
      <c r="M15" s="99">
        <v>442</v>
      </c>
      <c r="N15" s="99">
        <v>247</v>
      </c>
      <c r="O15" s="99">
        <v>200</v>
      </c>
      <c r="P15" s="158">
        <v>200</v>
      </c>
      <c r="Q15" s="99">
        <v>19</v>
      </c>
      <c r="R15" s="99">
        <v>40</v>
      </c>
      <c r="S15" s="99">
        <v>31</v>
      </c>
      <c r="T15" s="99">
        <v>38</v>
      </c>
      <c r="U15" s="99" t="s">
        <v>916</v>
      </c>
      <c r="V15" s="99">
        <v>42</v>
      </c>
      <c r="W15" s="99">
        <v>17</v>
      </c>
      <c r="X15" s="99">
        <v>26</v>
      </c>
      <c r="Y15" s="99">
        <v>56</v>
      </c>
      <c r="Z15" s="99">
        <v>53</v>
      </c>
      <c r="AA15" s="99">
        <v>11</v>
      </c>
      <c r="AB15" s="99">
        <v>19</v>
      </c>
      <c r="AC15" s="99">
        <v>6</v>
      </c>
      <c r="AD15" s="98" t="s">
        <v>158</v>
      </c>
      <c r="AE15" s="100">
        <v>0.2219173906416705</v>
      </c>
      <c r="AF15" s="100">
        <v>0.23</v>
      </c>
      <c r="AG15" s="98">
        <v>838.2868465172992</v>
      </c>
      <c r="AH15" s="98">
        <v>350.5563176345069</v>
      </c>
      <c r="AI15" s="100">
        <v>0.0194</v>
      </c>
      <c r="AJ15" s="100">
        <v>0.709799</v>
      </c>
      <c r="AK15" s="100" t="s">
        <v>916</v>
      </c>
      <c r="AL15" s="100">
        <v>0.75721</v>
      </c>
      <c r="AM15" s="100">
        <v>0.53706</v>
      </c>
      <c r="AN15" s="100">
        <v>0.512448</v>
      </c>
      <c r="AO15" s="98">
        <v>3048.3158055174517</v>
      </c>
      <c r="AP15" s="157">
        <v>1.3735</v>
      </c>
      <c r="AQ15" s="100">
        <v>0.095</v>
      </c>
      <c r="AR15" s="100">
        <v>0.475</v>
      </c>
      <c r="AS15" s="98">
        <v>472.488949855205</v>
      </c>
      <c r="AT15" s="98">
        <v>579.1800030483158</v>
      </c>
      <c r="AU15" s="98" t="s">
        <v>916</v>
      </c>
      <c r="AV15" s="98">
        <v>640.1463191586648</v>
      </c>
      <c r="AW15" s="98">
        <v>259.1068434689834</v>
      </c>
      <c r="AX15" s="98">
        <v>396.2810547172687</v>
      </c>
      <c r="AY15" s="98">
        <v>853.5284255448864</v>
      </c>
      <c r="AZ15" s="98">
        <v>807.8036884621247</v>
      </c>
      <c r="BA15" s="100">
        <v>0.3055555555555556</v>
      </c>
      <c r="BB15" s="100">
        <v>0.5277777777777778</v>
      </c>
      <c r="BC15" s="100">
        <v>0.16666666666666666</v>
      </c>
      <c r="BD15" s="157">
        <v>1.1898</v>
      </c>
      <c r="BE15" s="157">
        <v>1.5777</v>
      </c>
      <c r="BF15" s="161">
        <v>796</v>
      </c>
      <c r="BG15" s="161" t="s">
        <v>916</v>
      </c>
      <c r="BH15" s="161">
        <v>1491</v>
      </c>
      <c r="BI15" s="161">
        <v>823</v>
      </c>
      <c r="BJ15" s="161">
        <v>482</v>
      </c>
      <c r="BK15" s="97"/>
      <c r="BL15" s="97"/>
      <c r="BM15" s="97"/>
      <c r="BN15" s="97"/>
    </row>
    <row r="16" spans="1:66" ht="12.75">
      <c r="A16" s="79" t="s">
        <v>278</v>
      </c>
      <c r="B16" s="79" t="s">
        <v>86</v>
      </c>
      <c r="C16" s="79" t="s">
        <v>367</v>
      </c>
      <c r="D16" s="99">
        <v>1459</v>
      </c>
      <c r="E16" s="99">
        <v>151</v>
      </c>
      <c r="F16" s="99" t="s">
        <v>177</v>
      </c>
      <c r="G16" s="99" t="s">
        <v>916</v>
      </c>
      <c r="H16" s="99" t="s">
        <v>916</v>
      </c>
      <c r="I16" s="99">
        <v>10</v>
      </c>
      <c r="J16" s="99">
        <v>98</v>
      </c>
      <c r="K16" s="99" t="s">
        <v>916</v>
      </c>
      <c r="L16" s="99">
        <v>320</v>
      </c>
      <c r="M16" s="99">
        <v>39</v>
      </c>
      <c r="N16" s="99">
        <v>25</v>
      </c>
      <c r="O16" s="99" t="s">
        <v>916</v>
      </c>
      <c r="P16" s="158" t="s">
        <v>916</v>
      </c>
      <c r="Q16" s="99" t="s">
        <v>916</v>
      </c>
      <c r="R16" s="99" t="s">
        <v>916</v>
      </c>
      <c r="S16" s="99" t="s">
        <v>916</v>
      </c>
      <c r="T16" s="99" t="s">
        <v>916</v>
      </c>
      <c r="U16" s="99" t="s">
        <v>916</v>
      </c>
      <c r="V16" s="99" t="s">
        <v>916</v>
      </c>
      <c r="W16" s="99" t="s">
        <v>916</v>
      </c>
      <c r="X16" s="99" t="s">
        <v>916</v>
      </c>
      <c r="Y16" s="99" t="s">
        <v>916</v>
      </c>
      <c r="Z16" s="99" t="s">
        <v>916</v>
      </c>
      <c r="AA16" s="99" t="s">
        <v>916</v>
      </c>
      <c r="AB16" s="99" t="s">
        <v>916</v>
      </c>
      <c r="AC16" s="99" t="s">
        <v>916</v>
      </c>
      <c r="AD16" s="98" t="s">
        <v>158</v>
      </c>
      <c r="AE16" s="100">
        <v>0.10349554489376285</v>
      </c>
      <c r="AF16" s="100">
        <v>0.23</v>
      </c>
      <c r="AG16" s="98" t="s">
        <v>916</v>
      </c>
      <c r="AH16" s="98" t="s">
        <v>916</v>
      </c>
      <c r="AI16" s="100">
        <v>0.0069</v>
      </c>
      <c r="AJ16" s="100">
        <v>0.809917</v>
      </c>
      <c r="AK16" s="100" t="s">
        <v>916</v>
      </c>
      <c r="AL16" s="100">
        <v>0.909091</v>
      </c>
      <c r="AM16" s="100">
        <v>0.397959</v>
      </c>
      <c r="AN16" s="100">
        <v>0.396825</v>
      </c>
      <c r="AO16" s="98" t="s">
        <v>916</v>
      </c>
      <c r="AP16" s="157" t="s">
        <v>916</v>
      </c>
      <c r="AQ16" s="100" t="s">
        <v>916</v>
      </c>
      <c r="AR16" s="100" t="s">
        <v>916</v>
      </c>
      <c r="AS16" s="98" t="s">
        <v>916</v>
      </c>
      <c r="AT16" s="98" t="s">
        <v>916</v>
      </c>
      <c r="AU16" s="98" t="s">
        <v>916</v>
      </c>
      <c r="AV16" s="98" t="s">
        <v>916</v>
      </c>
      <c r="AW16" s="98" t="s">
        <v>916</v>
      </c>
      <c r="AX16" s="98" t="s">
        <v>916</v>
      </c>
      <c r="AY16" s="98" t="s">
        <v>916</v>
      </c>
      <c r="AZ16" s="98" t="s">
        <v>916</v>
      </c>
      <c r="BA16" s="100" t="s">
        <v>916</v>
      </c>
      <c r="BB16" s="100" t="s">
        <v>916</v>
      </c>
      <c r="BC16" s="100" t="s">
        <v>916</v>
      </c>
      <c r="BD16" s="157" t="s">
        <v>916</v>
      </c>
      <c r="BE16" s="157" t="s">
        <v>916</v>
      </c>
      <c r="BF16" s="161">
        <v>121</v>
      </c>
      <c r="BG16" s="161" t="s">
        <v>916</v>
      </c>
      <c r="BH16" s="161">
        <v>352</v>
      </c>
      <c r="BI16" s="161">
        <v>98</v>
      </c>
      <c r="BJ16" s="161">
        <v>63</v>
      </c>
      <c r="BK16" s="97"/>
      <c r="BL16" s="97"/>
      <c r="BM16" s="97"/>
      <c r="BN16" s="97"/>
    </row>
    <row r="17" spans="1:66" ht="12.75">
      <c r="A17" s="79" t="s">
        <v>372</v>
      </c>
      <c r="B17" s="79" t="s">
        <v>76</v>
      </c>
      <c r="C17" s="79" t="s">
        <v>367</v>
      </c>
      <c r="D17" s="99">
        <v>2062</v>
      </c>
      <c r="E17" s="99">
        <v>228</v>
      </c>
      <c r="F17" s="99" t="s">
        <v>177</v>
      </c>
      <c r="G17" s="99">
        <v>6</v>
      </c>
      <c r="H17" s="99" t="s">
        <v>916</v>
      </c>
      <c r="I17" s="99">
        <v>26</v>
      </c>
      <c r="J17" s="99">
        <v>94</v>
      </c>
      <c r="K17" s="99" t="s">
        <v>916</v>
      </c>
      <c r="L17" s="99">
        <v>360</v>
      </c>
      <c r="M17" s="99">
        <v>63</v>
      </c>
      <c r="N17" s="99">
        <v>40</v>
      </c>
      <c r="O17" s="99">
        <v>16</v>
      </c>
      <c r="P17" s="158">
        <v>16</v>
      </c>
      <c r="Q17" s="99" t="s">
        <v>916</v>
      </c>
      <c r="R17" s="99" t="s">
        <v>916</v>
      </c>
      <c r="S17" s="99" t="s">
        <v>916</v>
      </c>
      <c r="T17" s="99" t="s">
        <v>916</v>
      </c>
      <c r="U17" s="99" t="s">
        <v>916</v>
      </c>
      <c r="V17" s="99" t="s">
        <v>916</v>
      </c>
      <c r="W17" s="99">
        <v>12</v>
      </c>
      <c r="X17" s="99">
        <v>8</v>
      </c>
      <c r="Y17" s="99">
        <v>13</v>
      </c>
      <c r="Z17" s="99">
        <v>17</v>
      </c>
      <c r="AA17" s="99" t="s">
        <v>916</v>
      </c>
      <c r="AB17" s="99" t="s">
        <v>916</v>
      </c>
      <c r="AC17" s="99" t="s">
        <v>916</v>
      </c>
      <c r="AD17" s="98" t="s">
        <v>158</v>
      </c>
      <c r="AE17" s="100">
        <v>0.11057225994180407</v>
      </c>
      <c r="AF17" s="100">
        <v>0.26</v>
      </c>
      <c r="AG17" s="98">
        <v>290.9796314258002</v>
      </c>
      <c r="AH17" s="98" t="s">
        <v>916</v>
      </c>
      <c r="AI17" s="100">
        <v>0.0126</v>
      </c>
      <c r="AJ17" s="100">
        <v>0.661972</v>
      </c>
      <c r="AK17" s="100" t="s">
        <v>916</v>
      </c>
      <c r="AL17" s="100">
        <v>0.688337</v>
      </c>
      <c r="AM17" s="100">
        <v>0.453237</v>
      </c>
      <c r="AN17" s="100">
        <v>0.430108</v>
      </c>
      <c r="AO17" s="98">
        <v>775.9456838021339</v>
      </c>
      <c r="AP17" s="157">
        <v>0.4879</v>
      </c>
      <c r="AQ17" s="100" t="s">
        <v>916</v>
      </c>
      <c r="AR17" s="100" t="s">
        <v>916</v>
      </c>
      <c r="AS17" s="98" t="s">
        <v>916</v>
      </c>
      <c r="AT17" s="98" t="s">
        <v>916</v>
      </c>
      <c r="AU17" s="98" t="s">
        <v>916</v>
      </c>
      <c r="AV17" s="98" t="s">
        <v>916</v>
      </c>
      <c r="AW17" s="98">
        <v>581.9592628516004</v>
      </c>
      <c r="AX17" s="98">
        <v>387.97284190106694</v>
      </c>
      <c r="AY17" s="98">
        <v>630.4558680892337</v>
      </c>
      <c r="AZ17" s="98">
        <v>824.4422890397672</v>
      </c>
      <c r="BA17" s="100" t="s">
        <v>916</v>
      </c>
      <c r="BB17" s="100" t="s">
        <v>916</v>
      </c>
      <c r="BC17" s="100" t="s">
        <v>916</v>
      </c>
      <c r="BD17" s="157">
        <v>0.2789</v>
      </c>
      <c r="BE17" s="157">
        <v>0.7923</v>
      </c>
      <c r="BF17" s="161">
        <v>142</v>
      </c>
      <c r="BG17" s="161" t="s">
        <v>916</v>
      </c>
      <c r="BH17" s="161">
        <v>523</v>
      </c>
      <c r="BI17" s="161">
        <v>139</v>
      </c>
      <c r="BJ17" s="161">
        <v>93</v>
      </c>
      <c r="BK17" s="97"/>
      <c r="BL17" s="97"/>
      <c r="BM17" s="97"/>
      <c r="BN17" s="97"/>
    </row>
    <row r="18" spans="1:66" ht="12.75">
      <c r="A18" s="79" t="s">
        <v>266</v>
      </c>
      <c r="B18" s="79" t="s">
        <v>69</v>
      </c>
      <c r="C18" s="79" t="s">
        <v>367</v>
      </c>
      <c r="D18" s="99">
        <v>2433</v>
      </c>
      <c r="E18" s="99">
        <v>172</v>
      </c>
      <c r="F18" s="99" t="s">
        <v>177</v>
      </c>
      <c r="G18" s="99" t="s">
        <v>916</v>
      </c>
      <c r="H18" s="99" t="s">
        <v>916</v>
      </c>
      <c r="I18" s="99">
        <v>24</v>
      </c>
      <c r="J18" s="99">
        <v>145</v>
      </c>
      <c r="K18" s="99">
        <v>142</v>
      </c>
      <c r="L18" s="99">
        <v>426</v>
      </c>
      <c r="M18" s="99">
        <v>53</v>
      </c>
      <c r="N18" s="99">
        <v>35</v>
      </c>
      <c r="O18" s="99">
        <v>22</v>
      </c>
      <c r="P18" s="158">
        <v>22</v>
      </c>
      <c r="Q18" s="99" t="s">
        <v>916</v>
      </c>
      <c r="R18" s="99" t="s">
        <v>916</v>
      </c>
      <c r="S18" s="99">
        <v>6</v>
      </c>
      <c r="T18" s="99" t="s">
        <v>916</v>
      </c>
      <c r="U18" s="99" t="s">
        <v>916</v>
      </c>
      <c r="V18" s="99" t="s">
        <v>916</v>
      </c>
      <c r="W18" s="99" t="s">
        <v>916</v>
      </c>
      <c r="X18" s="99">
        <v>8</v>
      </c>
      <c r="Y18" s="99">
        <v>7</v>
      </c>
      <c r="Z18" s="99">
        <v>17</v>
      </c>
      <c r="AA18" s="99" t="s">
        <v>916</v>
      </c>
      <c r="AB18" s="99" t="s">
        <v>916</v>
      </c>
      <c r="AC18" s="99" t="s">
        <v>916</v>
      </c>
      <c r="AD18" s="98" t="s">
        <v>158</v>
      </c>
      <c r="AE18" s="100">
        <v>0.07069461570078094</v>
      </c>
      <c r="AF18" s="100">
        <v>0.35</v>
      </c>
      <c r="AG18" s="98" t="s">
        <v>916</v>
      </c>
      <c r="AH18" s="98" t="s">
        <v>916</v>
      </c>
      <c r="AI18" s="100">
        <v>0.009899999999999999</v>
      </c>
      <c r="AJ18" s="100">
        <v>0.771277</v>
      </c>
      <c r="AK18" s="100">
        <v>0.78022</v>
      </c>
      <c r="AL18" s="100">
        <v>0.778793</v>
      </c>
      <c r="AM18" s="100">
        <v>0.353333</v>
      </c>
      <c r="AN18" s="100">
        <v>0.360825</v>
      </c>
      <c r="AO18" s="98">
        <v>904.2334566378956</v>
      </c>
      <c r="AP18" s="157">
        <v>0.6568</v>
      </c>
      <c r="AQ18" s="100" t="s">
        <v>916</v>
      </c>
      <c r="AR18" s="100" t="s">
        <v>916</v>
      </c>
      <c r="AS18" s="98">
        <v>246.6091245376079</v>
      </c>
      <c r="AT18" s="98" t="s">
        <v>916</v>
      </c>
      <c r="AU18" s="98" t="s">
        <v>916</v>
      </c>
      <c r="AV18" s="98" t="s">
        <v>916</v>
      </c>
      <c r="AW18" s="98" t="s">
        <v>916</v>
      </c>
      <c r="AX18" s="98">
        <v>328.81216605014384</v>
      </c>
      <c r="AY18" s="98">
        <v>287.71064529387587</v>
      </c>
      <c r="AZ18" s="98">
        <v>698.7258528565557</v>
      </c>
      <c r="BA18" s="100" t="s">
        <v>916</v>
      </c>
      <c r="BB18" s="100" t="s">
        <v>916</v>
      </c>
      <c r="BC18" s="100" t="s">
        <v>916</v>
      </c>
      <c r="BD18" s="157">
        <v>0.41159999999999997</v>
      </c>
      <c r="BE18" s="157">
        <v>0.9944</v>
      </c>
      <c r="BF18" s="161">
        <v>188</v>
      </c>
      <c r="BG18" s="161">
        <v>182</v>
      </c>
      <c r="BH18" s="161">
        <v>547</v>
      </c>
      <c r="BI18" s="161">
        <v>150</v>
      </c>
      <c r="BJ18" s="161">
        <v>97</v>
      </c>
      <c r="BK18" s="97"/>
      <c r="BL18" s="97"/>
      <c r="BM18" s="97"/>
      <c r="BN18" s="97"/>
    </row>
    <row r="19" spans="1:66" ht="12.75">
      <c r="A19" s="79" t="s">
        <v>305</v>
      </c>
      <c r="B19" s="79" t="s">
        <v>122</v>
      </c>
      <c r="C19" s="79" t="s">
        <v>367</v>
      </c>
      <c r="D19" s="99">
        <v>3471</v>
      </c>
      <c r="E19" s="99">
        <v>357</v>
      </c>
      <c r="F19" s="99" t="s">
        <v>177</v>
      </c>
      <c r="G19" s="99">
        <v>6</v>
      </c>
      <c r="H19" s="99" t="s">
        <v>916</v>
      </c>
      <c r="I19" s="99">
        <v>20</v>
      </c>
      <c r="J19" s="99">
        <v>168</v>
      </c>
      <c r="K19" s="99" t="s">
        <v>916</v>
      </c>
      <c r="L19" s="99">
        <v>570</v>
      </c>
      <c r="M19" s="99">
        <v>85</v>
      </c>
      <c r="N19" s="99">
        <v>51</v>
      </c>
      <c r="O19" s="99">
        <v>17</v>
      </c>
      <c r="P19" s="158">
        <v>17</v>
      </c>
      <c r="Q19" s="99" t="s">
        <v>916</v>
      </c>
      <c r="R19" s="99">
        <v>8</v>
      </c>
      <c r="S19" s="99">
        <v>9</v>
      </c>
      <c r="T19" s="99" t="s">
        <v>916</v>
      </c>
      <c r="U19" s="99" t="s">
        <v>916</v>
      </c>
      <c r="V19" s="99" t="s">
        <v>916</v>
      </c>
      <c r="W19" s="99">
        <v>9</v>
      </c>
      <c r="X19" s="99">
        <v>18</v>
      </c>
      <c r="Y19" s="99">
        <v>20</v>
      </c>
      <c r="Z19" s="99">
        <v>12</v>
      </c>
      <c r="AA19" s="99" t="s">
        <v>916</v>
      </c>
      <c r="AB19" s="99" t="s">
        <v>916</v>
      </c>
      <c r="AC19" s="99" t="s">
        <v>916</v>
      </c>
      <c r="AD19" s="98" t="s">
        <v>158</v>
      </c>
      <c r="AE19" s="100">
        <v>0.10285220397579949</v>
      </c>
      <c r="AF19" s="100">
        <v>0.28</v>
      </c>
      <c r="AG19" s="98">
        <v>172.8608470181504</v>
      </c>
      <c r="AH19" s="98" t="s">
        <v>916</v>
      </c>
      <c r="AI19" s="100">
        <v>0.0058</v>
      </c>
      <c r="AJ19" s="100">
        <v>0.545455</v>
      </c>
      <c r="AK19" s="100" t="s">
        <v>916</v>
      </c>
      <c r="AL19" s="100">
        <v>0.716981</v>
      </c>
      <c r="AM19" s="100">
        <v>0.328185</v>
      </c>
      <c r="AN19" s="100">
        <v>0.309091</v>
      </c>
      <c r="AO19" s="98">
        <v>489.7723998847594</v>
      </c>
      <c r="AP19" s="157">
        <v>0.3143</v>
      </c>
      <c r="AQ19" s="100" t="s">
        <v>916</v>
      </c>
      <c r="AR19" s="100" t="s">
        <v>916</v>
      </c>
      <c r="AS19" s="98">
        <v>259.2912705272256</v>
      </c>
      <c r="AT19" s="98" t="s">
        <v>916</v>
      </c>
      <c r="AU19" s="98" t="s">
        <v>916</v>
      </c>
      <c r="AV19" s="98" t="s">
        <v>916</v>
      </c>
      <c r="AW19" s="98">
        <v>259.2912705272256</v>
      </c>
      <c r="AX19" s="98">
        <v>518.5825410544512</v>
      </c>
      <c r="AY19" s="98">
        <v>576.2028233938346</v>
      </c>
      <c r="AZ19" s="98">
        <v>345.7216940363008</v>
      </c>
      <c r="BA19" s="100" t="s">
        <v>916</v>
      </c>
      <c r="BB19" s="100" t="s">
        <v>916</v>
      </c>
      <c r="BC19" s="100" t="s">
        <v>916</v>
      </c>
      <c r="BD19" s="157">
        <v>0.18309999999999998</v>
      </c>
      <c r="BE19" s="157">
        <v>0.5032</v>
      </c>
      <c r="BF19" s="161">
        <v>308</v>
      </c>
      <c r="BG19" s="161" t="s">
        <v>916</v>
      </c>
      <c r="BH19" s="161">
        <v>795</v>
      </c>
      <c r="BI19" s="161">
        <v>259</v>
      </c>
      <c r="BJ19" s="161">
        <v>165</v>
      </c>
      <c r="BK19" s="97"/>
      <c r="BL19" s="97"/>
      <c r="BM19" s="97"/>
      <c r="BN19" s="97"/>
    </row>
    <row r="20" spans="1:66" ht="12.75">
      <c r="A20" s="79" t="s">
        <v>320</v>
      </c>
      <c r="B20" s="79" t="s">
        <v>145</v>
      </c>
      <c r="C20" s="79" t="s">
        <v>367</v>
      </c>
      <c r="D20" s="99">
        <v>1773</v>
      </c>
      <c r="E20" s="99">
        <v>355</v>
      </c>
      <c r="F20" s="99" t="s">
        <v>177</v>
      </c>
      <c r="G20" s="99">
        <v>11</v>
      </c>
      <c r="H20" s="99">
        <v>7</v>
      </c>
      <c r="I20" s="99">
        <v>30</v>
      </c>
      <c r="J20" s="99">
        <v>115</v>
      </c>
      <c r="K20" s="99" t="s">
        <v>916</v>
      </c>
      <c r="L20" s="99">
        <v>272</v>
      </c>
      <c r="M20" s="99">
        <v>71</v>
      </c>
      <c r="N20" s="99">
        <v>48</v>
      </c>
      <c r="O20" s="99">
        <v>11</v>
      </c>
      <c r="P20" s="158">
        <v>11</v>
      </c>
      <c r="Q20" s="99" t="s">
        <v>916</v>
      </c>
      <c r="R20" s="99">
        <v>9</v>
      </c>
      <c r="S20" s="99" t="s">
        <v>916</v>
      </c>
      <c r="T20" s="99" t="s">
        <v>916</v>
      </c>
      <c r="U20" s="99" t="s">
        <v>916</v>
      </c>
      <c r="V20" s="99" t="s">
        <v>916</v>
      </c>
      <c r="W20" s="99" t="s">
        <v>916</v>
      </c>
      <c r="X20" s="99">
        <v>14</v>
      </c>
      <c r="Y20" s="99">
        <v>9</v>
      </c>
      <c r="Z20" s="99">
        <v>14</v>
      </c>
      <c r="AA20" s="99" t="s">
        <v>916</v>
      </c>
      <c r="AB20" s="99" t="s">
        <v>916</v>
      </c>
      <c r="AC20" s="99" t="s">
        <v>916</v>
      </c>
      <c r="AD20" s="98" t="s">
        <v>158</v>
      </c>
      <c r="AE20" s="100">
        <v>0.20022560631697686</v>
      </c>
      <c r="AF20" s="100">
        <v>0.25</v>
      </c>
      <c r="AG20" s="98">
        <v>620.4173716864073</v>
      </c>
      <c r="AH20" s="98">
        <v>394.81105470953185</v>
      </c>
      <c r="AI20" s="100">
        <v>0.0169</v>
      </c>
      <c r="AJ20" s="100">
        <v>0.635359</v>
      </c>
      <c r="AK20" s="100" t="s">
        <v>916</v>
      </c>
      <c r="AL20" s="100">
        <v>0.701031</v>
      </c>
      <c r="AM20" s="100">
        <v>0.438272</v>
      </c>
      <c r="AN20" s="100">
        <v>0.448598</v>
      </c>
      <c r="AO20" s="98">
        <v>620.4173716864073</v>
      </c>
      <c r="AP20" s="157">
        <v>0.304</v>
      </c>
      <c r="AQ20" s="100" t="s">
        <v>916</v>
      </c>
      <c r="AR20" s="100" t="s">
        <v>916</v>
      </c>
      <c r="AS20" s="98" t="s">
        <v>916</v>
      </c>
      <c r="AT20" s="98" t="s">
        <v>916</v>
      </c>
      <c r="AU20" s="98" t="s">
        <v>916</v>
      </c>
      <c r="AV20" s="98" t="s">
        <v>916</v>
      </c>
      <c r="AW20" s="98" t="s">
        <v>916</v>
      </c>
      <c r="AX20" s="98">
        <v>789.6221094190637</v>
      </c>
      <c r="AY20" s="98">
        <v>507.61421319796955</v>
      </c>
      <c r="AZ20" s="98">
        <v>789.6221094190637</v>
      </c>
      <c r="BA20" s="100" t="s">
        <v>916</v>
      </c>
      <c r="BB20" s="100" t="s">
        <v>916</v>
      </c>
      <c r="BC20" s="100" t="s">
        <v>916</v>
      </c>
      <c r="BD20" s="157">
        <v>0.1518</v>
      </c>
      <c r="BE20" s="157">
        <v>0.544</v>
      </c>
      <c r="BF20" s="161">
        <v>181</v>
      </c>
      <c r="BG20" s="161" t="s">
        <v>916</v>
      </c>
      <c r="BH20" s="161">
        <v>388</v>
      </c>
      <c r="BI20" s="161">
        <v>162</v>
      </c>
      <c r="BJ20" s="161">
        <v>107</v>
      </c>
      <c r="BK20" s="97"/>
      <c r="BL20" s="97"/>
      <c r="BM20" s="97"/>
      <c r="BN20" s="97"/>
    </row>
    <row r="21" spans="1:66" ht="12.75">
      <c r="A21" s="79" t="s">
        <v>917</v>
      </c>
      <c r="B21" s="79" t="s">
        <v>143</v>
      </c>
      <c r="C21" s="79" t="s">
        <v>367</v>
      </c>
      <c r="D21" s="99">
        <v>5868</v>
      </c>
      <c r="E21" s="99">
        <v>687</v>
      </c>
      <c r="F21" s="99" t="s">
        <v>177</v>
      </c>
      <c r="G21" s="99">
        <v>17</v>
      </c>
      <c r="H21" s="99">
        <v>6</v>
      </c>
      <c r="I21" s="99">
        <v>55</v>
      </c>
      <c r="J21" s="99">
        <v>297</v>
      </c>
      <c r="K21" s="99" t="s">
        <v>916</v>
      </c>
      <c r="L21" s="99">
        <v>992</v>
      </c>
      <c r="M21" s="99">
        <v>203</v>
      </c>
      <c r="N21" s="99">
        <v>125</v>
      </c>
      <c r="O21" s="99">
        <v>61</v>
      </c>
      <c r="P21" s="158">
        <v>61</v>
      </c>
      <c r="Q21" s="99">
        <v>13</v>
      </c>
      <c r="R21" s="99">
        <v>21</v>
      </c>
      <c r="S21" s="99">
        <v>18</v>
      </c>
      <c r="T21" s="99">
        <v>9</v>
      </c>
      <c r="U21" s="99" t="s">
        <v>916</v>
      </c>
      <c r="V21" s="99">
        <v>11</v>
      </c>
      <c r="W21" s="99">
        <v>18</v>
      </c>
      <c r="X21" s="99">
        <v>13</v>
      </c>
      <c r="Y21" s="99">
        <v>25</v>
      </c>
      <c r="Z21" s="99">
        <v>26</v>
      </c>
      <c r="AA21" s="99" t="s">
        <v>916</v>
      </c>
      <c r="AB21" s="99" t="s">
        <v>916</v>
      </c>
      <c r="AC21" s="99" t="s">
        <v>916</v>
      </c>
      <c r="AD21" s="98" t="s">
        <v>158</v>
      </c>
      <c r="AE21" s="100">
        <v>0.11707566462167689</v>
      </c>
      <c r="AF21" s="100">
        <v>0.28</v>
      </c>
      <c r="AG21" s="98">
        <v>289.70688479890936</v>
      </c>
      <c r="AH21" s="98">
        <v>102.24948875255623</v>
      </c>
      <c r="AI21" s="100">
        <v>0.009399999999999999</v>
      </c>
      <c r="AJ21" s="100">
        <v>0.586957</v>
      </c>
      <c r="AK21" s="100" t="s">
        <v>916</v>
      </c>
      <c r="AL21" s="100">
        <v>0.725677</v>
      </c>
      <c r="AM21" s="100">
        <v>0.431915</v>
      </c>
      <c r="AN21" s="100">
        <v>0.422297</v>
      </c>
      <c r="AO21" s="98">
        <v>1039.5364689843218</v>
      </c>
      <c r="AP21" s="157">
        <v>0.6436</v>
      </c>
      <c r="AQ21" s="100">
        <v>0.21311475409836064</v>
      </c>
      <c r="AR21" s="100">
        <v>0.6190476190476191</v>
      </c>
      <c r="AS21" s="98">
        <v>306.7484662576687</v>
      </c>
      <c r="AT21" s="98">
        <v>153.37423312883436</v>
      </c>
      <c r="AU21" s="98" t="s">
        <v>916</v>
      </c>
      <c r="AV21" s="98">
        <v>187.4573960463531</v>
      </c>
      <c r="AW21" s="98">
        <v>306.7484662576687</v>
      </c>
      <c r="AX21" s="98">
        <v>221.54055896387186</v>
      </c>
      <c r="AY21" s="98">
        <v>426.0395364689843</v>
      </c>
      <c r="AZ21" s="98">
        <v>443.0811179277437</v>
      </c>
      <c r="BA21" s="101" t="s">
        <v>916</v>
      </c>
      <c r="BB21" s="101" t="s">
        <v>916</v>
      </c>
      <c r="BC21" s="101" t="s">
        <v>916</v>
      </c>
      <c r="BD21" s="157">
        <v>0.49229999999999996</v>
      </c>
      <c r="BE21" s="157">
        <v>0.8267</v>
      </c>
      <c r="BF21" s="161">
        <v>506</v>
      </c>
      <c r="BG21" s="161" t="s">
        <v>916</v>
      </c>
      <c r="BH21" s="161">
        <v>1367</v>
      </c>
      <c r="BI21" s="161">
        <v>470</v>
      </c>
      <c r="BJ21" s="161">
        <v>296</v>
      </c>
      <c r="BK21" s="97"/>
      <c r="BL21" s="97"/>
      <c r="BM21" s="97"/>
      <c r="BN21" s="97"/>
    </row>
    <row r="22" spans="1:66" ht="12.75">
      <c r="A22" s="79" t="s">
        <v>918</v>
      </c>
      <c r="B22" s="79" t="s">
        <v>96</v>
      </c>
      <c r="C22" s="79" t="s">
        <v>367</v>
      </c>
      <c r="D22" s="99">
        <v>4807</v>
      </c>
      <c r="E22" s="99">
        <v>616</v>
      </c>
      <c r="F22" s="99" t="s">
        <v>177</v>
      </c>
      <c r="G22" s="99">
        <v>23</v>
      </c>
      <c r="H22" s="99">
        <v>13</v>
      </c>
      <c r="I22" s="99">
        <v>65</v>
      </c>
      <c r="J22" s="99">
        <v>356</v>
      </c>
      <c r="K22" s="99">
        <v>308</v>
      </c>
      <c r="L22" s="99">
        <v>801</v>
      </c>
      <c r="M22" s="99">
        <v>189</v>
      </c>
      <c r="N22" s="99">
        <v>113</v>
      </c>
      <c r="O22" s="99">
        <v>35</v>
      </c>
      <c r="P22" s="158">
        <v>35</v>
      </c>
      <c r="Q22" s="99" t="s">
        <v>916</v>
      </c>
      <c r="R22" s="99">
        <v>22</v>
      </c>
      <c r="S22" s="99">
        <v>19</v>
      </c>
      <c r="T22" s="99" t="s">
        <v>916</v>
      </c>
      <c r="U22" s="99" t="s">
        <v>916</v>
      </c>
      <c r="V22" s="99" t="s">
        <v>916</v>
      </c>
      <c r="W22" s="99">
        <v>11</v>
      </c>
      <c r="X22" s="99">
        <v>31</v>
      </c>
      <c r="Y22" s="99">
        <v>33</v>
      </c>
      <c r="Z22" s="99">
        <v>39</v>
      </c>
      <c r="AA22" s="99">
        <v>9</v>
      </c>
      <c r="AB22" s="99">
        <v>6</v>
      </c>
      <c r="AC22" s="99">
        <v>6</v>
      </c>
      <c r="AD22" s="98" t="s">
        <v>158</v>
      </c>
      <c r="AE22" s="100">
        <v>0.12814645308924486</v>
      </c>
      <c r="AF22" s="100">
        <v>0.31</v>
      </c>
      <c r="AG22" s="98">
        <v>478.4688995215311</v>
      </c>
      <c r="AH22" s="98">
        <v>270.4389432078219</v>
      </c>
      <c r="AI22" s="100">
        <v>0.013500000000000002</v>
      </c>
      <c r="AJ22" s="100">
        <v>0.659259</v>
      </c>
      <c r="AK22" s="100">
        <v>0.60274</v>
      </c>
      <c r="AL22" s="100">
        <v>0.6675</v>
      </c>
      <c r="AM22" s="100">
        <v>0.397895</v>
      </c>
      <c r="AN22" s="100">
        <v>0.389655</v>
      </c>
      <c r="AO22" s="98">
        <v>728.1048470979821</v>
      </c>
      <c r="AP22" s="157">
        <v>0.401</v>
      </c>
      <c r="AQ22" s="100" t="s">
        <v>916</v>
      </c>
      <c r="AR22" s="100" t="s">
        <v>916</v>
      </c>
      <c r="AS22" s="98">
        <v>395.25691699604744</v>
      </c>
      <c r="AT22" s="98" t="s">
        <v>916</v>
      </c>
      <c r="AU22" s="98" t="s">
        <v>916</v>
      </c>
      <c r="AV22" s="98" t="s">
        <v>916</v>
      </c>
      <c r="AW22" s="98">
        <v>228.83295194508008</v>
      </c>
      <c r="AX22" s="98">
        <v>644.8928645724984</v>
      </c>
      <c r="AY22" s="98">
        <v>686.4988558352403</v>
      </c>
      <c r="AZ22" s="98">
        <v>811.3168296234658</v>
      </c>
      <c r="BA22" s="100">
        <v>0.42857142857142855</v>
      </c>
      <c r="BB22" s="100">
        <v>0.2857142857142857</v>
      </c>
      <c r="BC22" s="100">
        <v>0.2857142857142857</v>
      </c>
      <c r="BD22" s="157">
        <v>0.2793</v>
      </c>
      <c r="BE22" s="157">
        <v>0.5577000000000001</v>
      </c>
      <c r="BF22" s="161">
        <v>540</v>
      </c>
      <c r="BG22" s="161">
        <v>511</v>
      </c>
      <c r="BH22" s="161">
        <v>1200</v>
      </c>
      <c r="BI22" s="161">
        <v>475</v>
      </c>
      <c r="BJ22" s="161">
        <v>290</v>
      </c>
      <c r="BK22" s="97"/>
      <c r="BL22" s="97"/>
      <c r="BM22" s="97"/>
      <c r="BN22" s="97"/>
    </row>
    <row r="23" spans="1:66" ht="12.75">
      <c r="A23" s="79" t="s">
        <v>300</v>
      </c>
      <c r="B23" s="79" t="s">
        <v>116</v>
      </c>
      <c r="C23" s="79" t="s">
        <v>367</v>
      </c>
      <c r="D23" s="99">
        <v>2905</v>
      </c>
      <c r="E23" s="99">
        <v>824</v>
      </c>
      <c r="F23" s="99" t="s">
        <v>178</v>
      </c>
      <c r="G23" s="99">
        <v>21</v>
      </c>
      <c r="H23" s="99">
        <v>13</v>
      </c>
      <c r="I23" s="99">
        <v>24</v>
      </c>
      <c r="J23" s="99">
        <v>333</v>
      </c>
      <c r="K23" s="99">
        <v>325</v>
      </c>
      <c r="L23" s="99">
        <v>501</v>
      </c>
      <c r="M23" s="99">
        <v>192</v>
      </c>
      <c r="N23" s="99">
        <v>112</v>
      </c>
      <c r="O23" s="99">
        <v>95</v>
      </c>
      <c r="P23" s="158">
        <v>95</v>
      </c>
      <c r="Q23" s="99">
        <v>7</v>
      </c>
      <c r="R23" s="99">
        <v>16</v>
      </c>
      <c r="S23" s="99">
        <v>17</v>
      </c>
      <c r="T23" s="99">
        <v>20</v>
      </c>
      <c r="U23" s="99" t="s">
        <v>916</v>
      </c>
      <c r="V23" s="99">
        <v>13</v>
      </c>
      <c r="W23" s="99">
        <v>17</v>
      </c>
      <c r="X23" s="99">
        <v>37</v>
      </c>
      <c r="Y23" s="99">
        <v>29</v>
      </c>
      <c r="Z23" s="99">
        <v>25</v>
      </c>
      <c r="AA23" s="99" t="s">
        <v>916</v>
      </c>
      <c r="AB23" s="99" t="s">
        <v>916</v>
      </c>
      <c r="AC23" s="99" t="s">
        <v>916</v>
      </c>
      <c r="AD23" s="98" t="s">
        <v>158</v>
      </c>
      <c r="AE23" s="100">
        <v>0.2836488812392427</v>
      </c>
      <c r="AF23" s="100">
        <v>0.11</v>
      </c>
      <c r="AG23" s="98">
        <v>722.8915662650602</v>
      </c>
      <c r="AH23" s="98">
        <v>447.5043029259897</v>
      </c>
      <c r="AI23" s="100">
        <v>0.0083</v>
      </c>
      <c r="AJ23" s="100">
        <v>0.840909</v>
      </c>
      <c r="AK23" s="100">
        <v>0.833333</v>
      </c>
      <c r="AL23" s="100">
        <v>0.776744</v>
      </c>
      <c r="AM23" s="100">
        <v>0.592593</v>
      </c>
      <c r="AN23" s="100">
        <v>0.557214</v>
      </c>
      <c r="AO23" s="98">
        <v>3270.223752151463</v>
      </c>
      <c r="AP23" s="157">
        <v>1.2464</v>
      </c>
      <c r="AQ23" s="100">
        <v>0.07368421052631578</v>
      </c>
      <c r="AR23" s="100">
        <v>0.4375</v>
      </c>
      <c r="AS23" s="98">
        <v>585.197934595525</v>
      </c>
      <c r="AT23" s="98">
        <v>688.4681583476764</v>
      </c>
      <c r="AU23" s="98" t="s">
        <v>916</v>
      </c>
      <c r="AV23" s="98">
        <v>447.5043029259897</v>
      </c>
      <c r="AW23" s="98">
        <v>585.197934595525</v>
      </c>
      <c r="AX23" s="98">
        <v>1273.6660929432014</v>
      </c>
      <c r="AY23" s="98">
        <v>998.2788296041308</v>
      </c>
      <c r="AZ23" s="98">
        <v>860.5851979345955</v>
      </c>
      <c r="BA23" s="100" t="s">
        <v>916</v>
      </c>
      <c r="BB23" s="100" t="s">
        <v>916</v>
      </c>
      <c r="BC23" s="100" t="s">
        <v>916</v>
      </c>
      <c r="BD23" s="157">
        <v>1.0084</v>
      </c>
      <c r="BE23" s="157">
        <v>1.5237</v>
      </c>
      <c r="BF23" s="161">
        <v>396</v>
      </c>
      <c r="BG23" s="161">
        <v>390</v>
      </c>
      <c r="BH23" s="161">
        <v>645</v>
      </c>
      <c r="BI23" s="161">
        <v>324</v>
      </c>
      <c r="BJ23" s="161">
        <v>201</v>
      </c>
      <c r="BK23" s="97"/>
      <c r="BL23" s="97"/>
      <c r="BM23" s="97"/>
      <c r="BN23" s="97"/>
    </row>
    <row r="24" spans="1:66" ht="12.75">
      <c r="A24" s="79" t="s">
        <v>277</v>
      </c>
      <c r="B24" s="79" t="s">
        <v>85</v>
      </c>
      <c r="C24" s="79" t="s">
        <v>367</v>
      </c>
      <c r="D24" s="99">
        <v>2999</v>
      </c>
      <c r="E24" s="99">
        <v>143</v>
      </c>
      <c r="F24" s="99" t="s">
        <v>177</v>
      </c>
      <c r="G24" s="99" t="s">
        <v>916</v>
      </c>
      <c r="H24" s="99" t="s">
        <v>916</v>
      </c>
      <c r="I24" s="99">
        <v>11</v>
      </c>
      <c r="J24" s="99">
        <v>81</v>
      </c>
      <c r="K24" s="99">
        <v>77</v>
      </c>
      <c r="L24" s="99">
        <v>428</v>
      </c>
      <c r="M24" s="99">
        <v>13</v>
      </c>
      <c r="N24" s="99">
        <v>10</v>
      </c>
      <c r="O24" s="99">
        <v>9</v>
      </c>
      <c r="P24" s="158">
        <v>9</v>
      </c>
      <c r="Q24" s="99" t="s">
        <v>916</v>
      </c>
      <c r="R24" s="99">
        <v>6</v>
      </c>
      <c r="S24" s="99" t="s">
        <v>916</v>
      </c>
      <c r="T24" s="99" t="s">
        <v>916</v>
      </c>
      <c r="U24" s="99" t="s">
        <v>916</v>
      </c>
      <c r="V24" s="99" t="s">
        <v>916</v>
      </c>
      <c r="W24" s="99" t="s">
        <v>916</v>
      </c>
      <c r="X24" s="99">
        <v>7</v>
      </c>
      <c r="Y24" s="99" t="s">
        <v>916</v>
      </c>
      <c r="Z24" s="99">
        <v>10</v>
      </c>
      <c r="AA24" s="99" t="s">
        <v>916</v>
      </c>
      <c r="AB24" s="99" t="s">
        <v>916</v>
      </c>
      <c r="AC24" s="99" t="s">
        <v>916</v>
      </c>
      <c r="AD24" s="98" t="s">
        <v>158</v>
      </c>
      <c r="AE24" s="100">
        <v>0.04768256085361787</v>
      </c>
      <c r="AF24" s="100">
        <v>0.43</v>
      </c>
      <c r="AG24" s="98" t="s">
        <v>916</v>
      </c>
      <c r="AH24" s="98" t="s">
        <v>916</v>
      </c>
      <c r="AI24" s="100">
        <v>0.0037</v>
      </c>
      <c r="AJ24" s="100">
        <v>0.529412</v>
      </c>
      <c r="AK24" s="100">
        <v>0.509934</v>
      </c>
      <c r="AL24" s="100">
        <v>0.713333</v>
      </c>
      <c r="AM24" s="100">
        <v>0.118182</v>
      </c>
      <c r="AN24" s="100">
        <v>0.133333</v>
      </c>
      <c r="AO24" s="98">
        <v>300.10003334444815</v>
      </c>
      <c r="AP24" s="157">
        <v>0.287</v>
      </c>
      <c r="AQ24" s="100" t="s">
        <v>916</v>
      </c>
      <c r="AR24" s="100" t="s">
        <v>916</v>
      </c>
      <c r="AS24" s="98" t="s">
        <v>916</v>
      </c>
      <c r="AT24" s="98" t="s">
        <v>916</v>
      </c>
      <c r="AU24" s="98" t="s">
        <v>916</v>
      </c>
      <c r="AV24" s="98" t="s">
        <v>916</v>
      </c>
      <c r="AW24" s="98" t="s">
        <v>916</v>
      </c>
      <c r="AX24" s="98">
        <v>233.4111370456819</v>
      </c>
      <c r="AY24" s="98" t="s">
        <v>916</v>
      </c>
      <c r="AZ24" s="98">
        <v>333.4444814938313</v>
      </c>
      <c r="BA24" s="100" t="s">
        <v>916</v>
      </c>
      <c r="BB24" s="100" t="s">
        <v>916</v>
      </c>
      <c r="BC24" s="100" t="s">
        <v>916</v>
      </c>
      <c r="BD24" s="157">
        <v>0.13119999999999998</v>
      </c>
      <c r="BE24" s="157">
        <v>0.5448</v>
      </c>
      <c r="BF24" s="161">
        <v>153</v>
      </c>
      <c r="BG24" s="161">
        <v>151</v>
      </c>
      <c r="BH24" s="161">
        <v>600</v>
      </c>
      <c r="BI24" s="161">
        <v>110</v>
      </c>
      <c r="BJ24" s="161">
        <v>75</v>
      </c>
      <c r="BK24" s="97"/>
      <c r="BL24" s="97"/>
      <c r="BM24" s="97"/>
      <c r="BN24" s="97"/>
    </row>
    <row r="25" spans="1:66" ht="12.75">
      <c r="A25" s="79" t="s">
        <v>382</v>
      </c>
      <c r="B25" s="79" t="s">
        <v>137</v>
      </c>
      <c r="C25" s="79" t="s">
        <v>367</v>
      </c>
      <c r="D25" s="99">
        <v>2370</v>
      </c>
      <c r="E25" s="99">
        <v>404</v>
      </c>
      <c r="F25" s="99" t="s">
        <v>179</v>
      </c>
      <c r="G25" s="99">
        <v>13</v>
      </c>
      <c r="H25" s="99" t="s">
        <v>916</v>
      </c>
      <c r="I25" s="99">
        <v>30</v>
      </c>
      <c r="J25" s="99">
        <v>201</v>
      </c>
      <c r="K25" s="99" t="s">
        <v>916</v>
      </c>
      <c r="L25" s="99">
        <v>408</v>
      </c>
      <c r="M25" s="99">
        <v>116</v>
      </c>
      <c r="N25" s="99">
        <v>55</v>
      </c>
      <c r="O25" s="99">
        <v>27</v>
      </c>
      <c r="P25" s="158">
        <v>27</v>
      </c>
      <c r="Q25" s="99" t="s">
        <v>916</v>
      </c>
      <c r="R25" s="99">
        <v>15</v>
      </c>
      <c r="S25" s="99">
        <v>8</v>
      </c>
      <c r="T25" s="99" t="s">
        <v>916</v>
      </c>
      <c r="U25" s="99" t="s">
        <v>916</v>
      </c>
      <c r="V25" s="99" t="s">
        <v>916</v>
      </c>
      <c r="W25" s="99">
        <v>6</v>
      </c>
      <c r="X25" s="99">
        <v>8</v>
      </c>
      <c r="Y25" s="99">
        <v>17</v>
      </c>
      <c r="Z25" s="99">
        <v>8</v>
      </c>
      <c r="AA25" s="99" t="s">
        <v>916</v>
      </c>
      <c r="AB25" s="99" t="s">
        <v>916</v>
      </c>
      <c r="AC25" s="99" t="s">
        <v>916</v>
      </c>
      <c r="AD25" s="98" t="s">
        <v>158</v>
      </c>
      <c r="AE25" s="100">
        <v>0.17046413502109706</v>
      </c>
      <c r="AF25" s="100">
        <v>0.15</v>
      </c>
      <c r="AG25" s="98">
        <v>548.5232067510549</v>
      </c>
      <c r="AH25" s="98" t="s">
        <v>916</v>
      </c>
      <c r="AI25" s="100">
        <v>0.0127</v>
      </c>
      <c r="AJ25" s="100">
        <v>0.679054</v>
      </c>
      <c r="AK25" s="100" t="s">
        <v>916</v>
      </c>
      <c r="AL25" s="100">
        <v>0.684564</v>
      </c>
      <c r="AM25" s="100">
        <v>0.473469</v>
      </c>
      <c r="AN25" s="100">
        <v>0.376712</v>
      </c>
      <c r="AO25" s="98">
        <v>1139.240506329114</v>
      </c>
      <c r="AP25" s="157">
        <v>0.5734</v>
      </c>
      <c r="AQ25" s="100" t="s">
        <v>916</v>
      </c>
      <c r="AR25" s="100" t="s">
        <v>916</v>
      </c>
      <c r="AS25" s="98">
        <v>337.55274261603375</v>
      </c>
      <c r="AT25" s="98" t="s">
        <v>916</v>
      </c>
      <c r="AU25" s="98" t="s">
        <v>916</v>
      </c>
      <c r="AV25" s="98" t="s">
        <v>916</v>
      </c>
      <c r="AW25" s="98">
        <v>253.16455696202533</v>
      </c>
      <c r="AX25" s="98">
        <v>337.55274261603375</v>
      </c>
      <c r="AY25" s="98">
        <v>717.2995780590717</v>
      </c>
      <c r="AZ25" s="98">
        <v>337.55274261603375</v>
      </c>
      <c r="BA25" s="100" t="s">
        <v>916</v>
      </c>
      <c r="BB25" s="100" t="s">
        <v>916</v>
      </c>
      <c r="BC25" s="100" t="s">
        <v>916</v>
      </c>
      <c r="BD25" s="157">
        <v>0.3779</v>
      </c>
      <c r="BE25" s="157">
        <v>0.8343</v>
      </c>
      <c r="BF25" s="161">
        <v>296</v>
      </c>
      <c r="BG25" s="161" t="s">
        <v>916</v>
      </c>
      <c r="BH25" s="161">
        <v>596</v>
      </c>
      <c r="BI25" s="161">
        <v>245</v>
      </c>
      <c r="BJ25" s="161">
        <v>146</v>
      </c>
      <c r="BK25" s="97"/>
      <c r="BL25" s="97"/>
      <c r="BM25" s="97"/>
      <c r="BN25" s="97"/>
    </row>
    <row r="26" spans="1:66" ht="12.75">
      <c r="A26" s="79" t="s">
        <v>312</v>
      </c>
      <c r="B26" s="79" t="s">
        <v>135</v>
      </c>
      <c r="C26" s="79" t="s">
        <v>367</v>
      </c>
      <c r="D26" s="99">
        <v>5927</v>
      </c>
      <c r="E26" s="99">
        <v>1187</v>
      </c>
      <c r="F26" s="99" t="s">
        <v>177</v>
      </c>
      <c r="G26" s="99">
        <v>39</v>
      </c>
      <c r="H26" s="99">
        <v>12</v>
      </c>
      <c r="I26" s="99">
        <v>142</v>
      </c>
      <c r="J26" s="99">
        <v>470</v>
      </c>
      <c r="K26" s="99">
        <v>12</v>
      </c>
      <c r="L26" s="99">
        <v>1104</v>
      </c>
      <c r="M26" s="99">
        <v>320</v>
      </c>
      <c r="N26" s="99">
        <v>187</v>
      </c>
      <c r="O26" s="99">
        <v>88</v>
      </c>
      <c r="P26" s="158">
        <v>88</v>
      </c>
      <c r="Q26" s="99">
        <v>18</v>
      </c>
      <c r="R26" s="99">
        <v>36</v>
      </c>
      <c r="S26" s="99">
        <v>26</v>
      </c>
      <c r="T26" s="99">
        <v>10</v>
      </c>
      <c r="U26" s="99" t="s">
        <v>916</v>
      </c>
      <c r="V26" s="99">
        <v>10</v>
      </c>
      <c r="W26" s="99">
        <v>25</v>
      </c>
      <c r="X26" s="99">
        <v>38</v>
      </c>
      <c r="Y26" s="99">
        <v>46</v>
      </c>
      <c r="Z26" s="99">
        <v>42</v>
      </c>
      <c r="AA26" s="99">
        <v>9</v>
      </c>
      <c r="AB26" s="99">
        <v>13</v>
      </c>
      <c r="AC26" s="99">
        <v>17</v>
      </c>
      <c r="AD26" s="98" t="s">
        <v>158</v>
      </c>
      <c r="AE26" s="100">
        <v>0.2002699510713683</v>
      </c>
      <c r="AF26" s="100">
        <v>0.26</v>
      </c>
      <c r="AG26" s="98">
        <v>658.0057364602666</v>
      </c>
      <c r="AH26" s="98">
        <v>202.46330352623588</v>
      </c>
      <c r="AI26" s="100">
        <v>0.024</v>
      </c>
      <c r="AJ26" s="100">
        <v>0.667614</v>
      </c>
      <c r="AK26" s="100">
        <v>0.571429</v>
      </c>
      <c r="AL26" s="100">
        <v>0.775826</v>
      </c>
      <c r="AM26" s="100">
        <v>0.490046</v>
      </c>
      <c r="AN26" s="100">
        <v>0.469849</v>
      </c>
      <c r="AO26" s="98">
        <v>1484.7308925257298</v>
      </c>
      <c r="AP26" s="157">
        <v>0.6918000000000001</v>
      </c>
      <c r="AQ26" s="100">
        <v>0.20454545454545456</v>
      </c>
      <c r="AR26" s="100">
        <v>0.5</v>
      </c>
      <c r="AS26" s="98">
        <v>438.67049097351105</v>
      </c>
      <c r="AT26" s="98">
        <v>168.71941960519655</v>
      </c>
      <c r="AU26" s="98" t="s">
        <v>916</v>
      </c>
      <c r="AV26" s="98">
        <v>168.71941960519655</v>
      </c>
      <c r="AW26" s="98">
        <v>421.7985490129914</v>
      </c>
      <c r="AX26" s="98">
        <v>641.133794499747</v>
      </c>
      <c r="AY26" s="98">
        <v>776.1093301839041</v>
      </c>
      <c r="AZ26" s="98">
        <v>708.6215623418256</v>
      </c>
      <c r="BA26" s="100">
        <v>0.23076923076923078</v>
      </c>
      <c r="BB26" s="100">
        <v>0.3333333333333333</v>
      </c>
      <c r="BC26" s="100">
        <v>0.4358974358974359</v>
      </c>
      <c r="BD26" s="157">
        <v>0.5548</v>
      </c>
      <c r="BE26" s="157">
        <v>0.8523000000000001</v>
      </c>
      <c r="BF26" s="161">
        <v>704</v>
      </c>
      <c r="BG26" s="161">
        <v>21</v>
      </c>
      <c r="BH26" s="161">
        <v>1423</v>
      </c>
      <c r="BI26" s="161">
        <v>653</v>
      </c>
      <c r="BJ26" s="161">
        <v>398</v>
      </c>
      <c r="BK26" s="97"/>
      <c r="BL26" s="97"/>
      <c r="BM26" s="97"/>
      <c r="BN26" s="97"/>
    </row>
    <row r="27" spans="1:66" ht="12.75">
      <c r="A27" s="79" t="s">
        <v>926</v>
      </c>
      <c r="B27" s="79" t="s">
        <v>156</v>
      </c>
      <c r="C27" s="79" t="s">
        <v>367</v>
      </c>
      <c r="D27" s="99">
        <v>1847</v>
      </c>
      <c r="E27" s="99">
        <v>219</v>
      </c>
      <c r="F27" s="99" t="s">
        <v>177</v>
      </c>
      <c r="G27" s="99" t="s">
        <v>916</v>
      </c>
      <c r="H27" s="99" t="s">
        <v>916</v>
      </c>
      <c r="I27" s="99">
        <v>13</v>
      </c>
      <c r="J27" s="99">
        <v>166</v>
      </c>
      <c r="K27" s="99" t="s">
        <v>916</v>
      </c>
      <c r="L27" s="99">
        <v>361</v>
      </c>
      <c r="M27" s="99">
        <v>50</v>
      </c>
      <c r="N27" s="99">
        <v>26</v>
      </c>
      <c r="O27" s="99">
        <v>9</v>
      </c>
      <c r="P27" s="158">
        <v>9</v>
      </c>
      <c r="Q27" s="99" t="s">
        <v>916</v>
      </c>
      <c r="R27" s="99" t="s">
        <v>916</v>
      </c>
      <c r="S27" s="99">
        <v>9</v>
      </c>
      <c r="T27" s="99" t="s">
        <v>916</v>
      </c>
      <c r="U27" s="99" t="s">
        <v>916</v>
      </c>
      <c r="V27" s="99" t="s">
        <v>916</v>
      </c>
      <c r="W27" s="99" t="s">
        <v>916</v>
      </c>
      <c r="X27" s="99" t="s">
        <v>916</v>
      </c>
      <c r="Y27" s="99">
        <v>6</v>
      </c>
      <c r="Z27" s="99">
        <v>6</v>
      </c>
      <c r="AA27" s="99" t="s">
        <v>916</v>
      </c>
      <c r="AB27" s="99" t="s">
        <v>916</v>
      </c>
      <c r="AC27" s="99" t="s">
        <v>916</v>
      </c>
      <c r="AD27" s="98" t="s">
        <v>158</v>
      </c>
      <c r="AE27" s="100">
        <v>0.11857065511640498</v>
      </c>
      <c r="AF27" s="100">
        <v>0.24</v>
      </c>
      <c r="AG27" s="98" t="s">
        <v>916</v>
      </c>
      <c r="AH27" s="98" t="s">
        <v>916</v>
      </c>
      <c r="AI27" s="100">
        <v>0.006999999999999999</v>
      </c>
      <c r="AJ27" s="100">
        <v>0.744395</v>
      </c>
      <c r="AK27" s="100" t="s">
        <v>916</v>
      </c>
      <c r="AL27" s="100">
        <v>0.764831</v>
      </c>
      <c r="AM27" s="100">
        <v>0.297619</v>
      </c>
      <c r="AN27" s="100">
        <v>0.247619</v>
      </c>
      <c r="AO27" s="98">
        <v>487.2766648619383</v>
      </c>
      <c r="AP27" s="157">
        <v>0.2723</v>
      </c>
      <c r="AQ27" s="100" t="s">
        <v>916</v>
      </c>
      <c r="AR27" s="100" t="s">
        <v>916</v>
      </c>
      <c r="AS27" s="98">
        <v>487.2766648619383</v>
      </c>
      <c r="AT27" s="98" t="s">
        <v>916</v>
      </c>
      <c r="AU27" s="98" t="s">
        <v>916</v>
      </c>
      <c r="AV27" s="98" t="s">
        <v>916</v>
      </c>
      <c r="AW27" s="98" t="s">
        <v>916</v>
      </c>
      <c r="AX27" s="98" t="s">
        <v>916</v>
      </c>
      <c r="AY27" s="98">
        <v>324.85110990795886</v>
      </c>
      <c r="AZ27" s="98">
        <v>324.85110990795886</v>
      </c>
      <c r="BA27" s="100" t="s">
        <v>916</v>
      </c>
      <c r="BB27" s="100" t="s">
        <v>916</v>
      </c>
      <c r="BC27" s="100" t="s">
        <v>916</v>
      </c>
      <c r="BD27" s="157">
        <v>0.1245</v>
      </c>
      <c r="BE27" s="157">
        <v>0.517</v>
      </c>
      <c r="BF27" s="161">
        <v>223</v>
      </c>
      <c r="BG27" s="161" t="s">
        <v>916</v>
      </c>
      <c r="BH27" s="161">
        <v>472</v>
      </c>
      <c r="BI27" s="161">
        <v>168</v>
      </c>
      <c r="BJ27" s="161">
        <v>105</v>
      </c>
      <c r="BK27" s="97"/>
      <c r="BL27" s="97"/>
      <c r="BM27" s="97"/>
      <c r="BN27" s="97"/>
    </row>
    <row r="28" spans="1:66" ht="12.75">
      <c r="A28" s="79" t="s">
        <v>927</v>
      </c>
      <c r="B28" s="79" t="s">
        <v>80</v>
      </c>
      <c r="C28" s="79" t="s">
        <v>367</v>
      </c>
      <c r="D28" s="99">
        <v>2834</v>
      </c>
      <c r="E28" s="99">
        <v>319</v>
      </c>
      <c r="F28" s="99" t="s">
        <v>177</v>
      </c>
      <c r="G28" s="99">
        <v>8</v>
      </c>
      <c r="H28" s="99" t="s">
        <v>916</v>
      </c>
      <c r="I28" s="99">
        <v>27</v>
      </c>
      <c r="J28" s="99">
        <v>195</v>
      </c>
      <c r="K28" s="99">
        <v>163</v>
      </c>
      <c r="L28" s="99">
        <v>451</v>
      </c>
      <c r="M28" s="99">
        <v>78</v>
      </c>
      <c r="N28" s="99">
        <v>42</v>
      </c>
      <c r="O28" s="99">
        <v>21</v>
      </c>
      <c r="P28" s="158">
        <v>21</v>
      </c>
      <c r="Q28" s="99" t="s">
        <v>916</v>
      </c>
      <c r="R28" s="99" t="s">
        <v>916</v>
      </c>
      <c r="S28" s="99">
        <v>6</v>
      </c>
      <c r="T28" s="99" t="s">
        <v>916</v>
      </c>
      <c r="U28" s="99" t="s">
        <v>916</v>
      </c>
      <c r="V28" s="99" t="s">
        <v>916</v>
      </c>
      <c r="W28" s="99" t="s">
        <v>916</v>
      </c>
      <c r="X28" s="99">
        <v>10</v>
      </c>
      <c r="Y28" s="99">
        <v>9</v>
      </c>
      <c r="Z28" s="99">
        <v>12</v>
      </c>
      <c r="AA28" s="99" t="s">
        <v>916</v>
      </c>
      <c r="AB28" s="99" t="s">
        <v>916</v>
      </c>
      <c r="AC28" s="99" t="s">
        <v>916</v>
      </c>
      <c r="AD28" s="98" t="s">
        <v>158</v>
      </c>
      <c r="AE28" s="100">
        <v>0.11256175017642908</v>
      </c>
      <c r="AF28" s="100">
        <v>0.25</v>
      </c>
      <c r="AG28" s="98">
        <v>282.2865208186309</v>
      </c>
      <c r="AH28" s="98" t="s">
        <v>916</v>
      </c>
      <c r="AI28" s="100">
        <v>0.0095</v>
      </c>
      <c r="AJ28" s="100">
        <v>0.78629</v>
      </c>
      <c r="AK28" s="100">
        <v>0.670782</v>
      </c>
      <c r="AL28" s="100">
        <v>0.66129</v>
      </c>
      <c r="AM28" s="100">
        <v>0.440678</v>
      </c>
      <c r="AN28" s="100">
        <v>0.4375</v>
      </c>
      <c r="AO28" s="98">
        <v>741.0021171489061</v>
      </c>
      <c r="AP28" s="157">
        <v>0.4669</v>
      </c>
      <c r="AQ28" s="100" t="s">
        <v>916</v>
      </c>
      <c r="AR28" s="100" t="s">
        <v>916</v>
      </c>
      <c r="AS28" s="98">
        <v>211.71489061397318</v>
      </c>
      <c r="AT28" s="98" t="s">
        <v>916</v>
      </c>
      <c r="AU28" s="98" t="s">
        <v>916</v>
      </c>
      <c r="AV28" s="98" t="s">
        <v>916</v>
      </c>
      <c r="AW28" s="98" t="s">
        <v>916</v>
      </c>
      <c r="AX28" s="98">
        <v>352.85815102328866</v>
      </c>
      <c r="AY28" s="98">
        <v>317.5723359209598</v>
      </c>
      <c r="AZ28" s="98">
        <v>423.42978122794636</v>
      </c>
      <c r="BA28" s="100" t="s">
        <v>916</v>
      </c>
      <c r="BB28" s="100" t="s">
        <v>916</v>
      </c>
      <c r="BC28" s="100" t="s">
        <v>916</v>
      </c>
      <c r="BD28" s="157">
        <v>0.289</v>
      </c>
      <c r="BE28" s="157">
        <v>0.7137</v>
      </c>
      <c r="BF28" s="161">
        <v>248</v>
      </c>
      <c r="BG28" s="161">
        <v>243</v>
      </c>
      <c r="BH28" s="161">
        <v>682</v>
      </c>
      <c r="BI28" s="161">
        <v>177</v>
      </c>
      <c r="BJ28" s="161">
        <v>96</v>
      </c>
      <c r="BK28" s="97"/>
      <c r="BL28" s="97"/>
      <c r="BM28" s="97"/>
      <c r="BN28" s="97"/>
    </row>
    <row r="29" spans="1:66" ht="12.75">
      <c r="A29" s="79" t="s">
        <v>314</v>
      </c>
      <c r="B29" s="79" t="s">
        <v>138</v>
      </c>
      <c r="C29" s="79" t="s">
        <v>367</v>
      </c>
      <c r="D29" s="99">
        <v>2288</v>
      </c>
      <c r="E29" s="99">
        <v>304</v>
      </c>
      <c r="F29" s="99" t="s">
        <v>177</v>
      </c>
      <c r="G29" s="99">
        <v>7</v>
      </c>
      <c r="H29" s="99" t="s">
        <v>916</v>
      </c>
      <c r="I29" s="99">
        <v>20</v>
      </c>
      <c r="J29" s="99">
        <v>125</v>
      </c>
      <c r="K29" s="99" t="s">
        <v>916</v>
      </c>
      <c r="L29" s="99">
        <v>374</v>
      </c>
      <c r="M29" s="99">
        <v>79</v>
      </c>
      <c r="N29" s="99">
        <v>45</v>
      </c>
      <c r="O29" s="99">
        <v>21</v>
      </c>
      <c r="P29" s="158">
        <v>21</v>
      </c>
      <c r="Q29" s="99" t="s">
        <v>916</v>
      </c>
      <c r="R29" s="99">
        <v>10</v>
      </c>
      <c r="S29" s="99">
        <v>11</v>
      </c>
      <c r="T29" s="99" t="s">
        <v>916</v>
      </c>
      <c r="U29" s="99" t="s">
        <v>916</v>
      </c>
      <c r="V29" s="99" t="s">
        <v>916</v>
      </c>
      <c r="W29" s="99">
        <v>9</v>
      </c>
      <c r="X29" s="99">
        <v>12</v>
      </c>
      <c r="Y29" s="99">
        <v>15</v>
      </c>
      <c r="Z29" s="99">
        <v>17</v>
      </c>
      <c r="AA29" s="99" t="s">
        <v>916</v>
      </c>
      <c r="AB29" s="99" t="s">
        <v>916</v>
      </c>
      <c r="AC29" s="99" t="s">
        <v>916</v>
      </c>
      <c r="AD29" s="98" t="s">
        <v>158</v>
      </c>
      <c r="AE29" s="100">
        <v>0.13286713286713286</v>
      </c>
      <c r="AF29" s="100">
        <v>0.26</v>
      </c>
      <c r="AG29" s="98">
        <v>305.94405594405595</v>
      </c>
      <c r="AH29" s="98" t="s">
        <v>916</v>
      </c>
      <c r="AI29" s="100">
        <v>0.0087</v>
      </c>
      <c r="AJ29" s="100">
        <v>0.634518</v>
      </c>
      <c r="AK29" s="100" t="s">
        <v>916</v>
      </c>
      <c r="AL29" s="100">
        <v>0.684982</v>
      </c>
      <c r="AM29" s="100">
        <v>0.403061</v>
      </c>
      <c r="AN29" s="100">
        <v>0.357143</v>
      </c>
      <c r="AO29" s="98">
        <v>917.8321678321678</v>
      </c>
      <c r="AP29" s="157">
        <v>0.5141</v>
      </c>
      <c r="AQ29" s="100" t="s">
        <v>916</v>
      </c>
      <c r="AR29" s="100" t="s">
        <v>916</v>
      </c>
      <c r="AS29" s="98">
        <v>480.7692307692308</v>
      </c>
      <c r="AT29" s="98" t="s">
        <v>916</v>
      </c>
      <c r="AU29" s="98" t="s">
        <v>916</v>
      </c>
      <c r="AV29" s="98" t="s">
        <v>916</v>
      </c>
      <c r="AW29" s="98">
        <v>393.35664335664336</v>
      </c>
      <c r="AX29" s="98">
        <v>524.4755244755245</v>
      </c>
      <c r="AY29" s="98">
        <v>655.5944055944055</v>
      </c>
      <c r="AZ29" s="98">
        <v>743.006993006993</v>
      </c>
      <c r="BA29" s="100" t="s">
        <v>916</v>
      </c>
      <c r="BB29" s="100" t="s">
        <v>916</v>
      </c>
      <c r="BC29" s="100" t="s">
        <v>916</v>
      </c>
      <c r="BD29" s="157">
        <v>0.3182</v>
      </c>
      <c r="BE29" s="157">
        <v>0.7857999999999999</v>
      </c>
      <c r="BF29" s="161">
        <v>197</v>
      </c>
      <c r="BG29" s="161" t="s">
        <v>916</v>
      </c>
      <c r="BH29" s="161">
        <v>546</v>
      </c>
      <c r="BI29" s="161">
        <v>196</v>
      </c>
      <c r="BJ29" s="161">
        <v>126</v>
      </c>
      <c r="BK29" s="97"/>
      <c r="BL29" s="97"/>
      <c r="BM29" s="97"/>
      <c r="BN29" s="97"/>
    </row>
    <row r="30" spans="1:66" ht="12.75">
      <c r="A30" s="79" t="s">
        <v>316</v>
      </c>
      <c r="B30" s="79" t="s">
        <v>140</v>
      </c>
      <c r="C30" s="79" t="s">
        <v>367</v>
      </c>
      <c r="D30" s="99">
        <v>1924</v>
      </c>
      <c r="E30" s="99">
        <v>370</v>
      </c>
      <c r="F30" s="99" t="s">
        <v>177</v>
      </c>
      <c r="G30" s="99">
        <v>13</v>
      </c>
      <c r="H30" s="99">
        <v>9</v>
      </c>
      <c r="I30" s="99">
        <v>27</v>
      </c>
      <c r="J30" s="99">
        <v>161</v>
      </c>
      <c r="K30" s="99">
        <v>149</v>
      </c>
      <c r="L30" s="99">
        <v>350</v>
      </c>
      <c r="M30" s="99">
        <v>89</v>
      </c>
      <c r="N30" s="99">
        <v>44</v>
      </c>
      <c r="O30" s="99">
        <v>18</v>
      </c>
      <c r="P30" s="158">
        <v>18</v>
      </c>
      <c r="Q30" s="99" t="s">
        <v>916</v>
      </c>
      <c r="R30" s="99">
        <v>12</v>
      </c>
      <c r="S30" s="99">
        <v>7</v>
      </c>
      <c r="T30" s="99" t="s">
        <v>916</v>
      </c>
      <c r="U30" s="99" t="s">
        <v>916</v>
      </c>
      <c r="V30" s="99" t="s">
        <v>916</v>
      </c>
      <c r="W30" s="99">
        <v>7</v>
      </c>
      <c r="X30" s="99" t="s">
        <v>916</v>
      </c>
      <c r="Y30" s="99">
        <v>18</v>
      </c>
      <c r="Z30" s="99">
        <v>13</v>
      </c>
      <c r="AA30" s="99" t="s">
        <v>916</v>
      </c>
      <c r="AB30" s="99" t="s">
        <v>916</v>
      </c>
      <c r="AC30" s="99" t="s">
        <v>916</v>
      </c>
      <c r="AD30" s="98" t="s">
        <v>158</v>
      </c>
      <c r="AE30" s="100">
        <v>0.19230769230769232</v>
      </c>
      <c r="AF30" s="100">
        <v>0.27</v>
      </c>
      <c r="AG30" s="98">
        <v>675.6756756756756</v>
      </c>
      <c r="AH30" s="98">
        <v>467.7754677754678</v>
      </c>
      <c r="AI30" s="100">
        <v>0.013999999999999999</v>
      </c>
      <c r="AJ30" s="100">
        <v>0.766667</v>
      </c>
      <c r="AK30" s="100">
        <v>0.737624</v>
      </c>
      <c r="AL30" s="100">
        <v>0.77951</v>
      </c>
      <c r="AM30" s="100">
        <v>0.497207</v>
      </c>
      <c r="AN30" s="100">
        <v>0.419048</v>
      </c>
      <c r="AO30" s="98">
        <v>935.5509355509356</v>
      </c>
      <c r="AP30" s="157">
        <v>0.4424</v>
      </c>
      <c r="AQ30" s="100" t="s">
        <v>916</v>
      </c>
      <c r="AR30" s="100" t="s">
        <v>916</v>
      </c>
      <c r="AS30" s="98">
        <v>363.8253638253638</v>
      </c>
      <c r="AT30" s="98" t="s">
        <v>916</v>
      </c>
      <c r="AU30" s="98" t="s">
        <v>916</v>
      </c>
      <c r="AV30" s="98" t="s">
        <v>916</v>
      </c>
      <c r="AW30" s="98">
        <v>363.8253638253638</v>
      </c>
      <c r="AX30" s="98" t="s">
        <v>916</v>
      </c>
      <c r="AY30" s="98">
        <v>935.5509355509356</v>
      </c>
      <c r="AZ30" s="98">
        <v>675.6756756756756</v>
      </c>
      <c r="BA30" s="101" t="s">
        <v>916</v>
      </c>
      <c r="BB30" s="101" t="s">
        <v>916</v>
      </c>
      <c r="BC30" s="101" t="s">
        <v>916</v>
      </c>
      <c r="BD30" s="157">
        <v>0.2622</v>
      </c>
      <c r="BE30" s="157">
        <v>0.6992</v>
      </c>
      <c r="BF30" s="161">
        <v>210</v>
      </c>
      <c r="BG30" s="161">
        <v>202</v>
      </c>
      <c r="BH30" s="161">
        <v>449</v>
      </c>
      <c r="BI30" s="161">
        <v>179</v>
      </c>
      <c r="BJ30" s="161">
        <v>105</v>
      </c>
      <c r="BK30" s="97"/>
      <c r="BL30" s="97"/>
      <c r="BM30" s="97"/>
      <c r="BN30" s="97"/>
    </row>
    <row r="31" spans="1:66" ht="12.75">
      <c r="A31" s="79" t="s">
        <v>326</v>
      </c>
      <c r="B31" s="79" t="s">
        <v>151</v>
      </c>
      <c r="C31" s="79" t="s">
        <v>367</v>
      </c>
      <c r="D31" s="99">
        <v>2581</v>
      </c>
      <c r="E31" s="99">
        <v>292</v>
      </c>
      <c r="F31" s="99" t="s">
        <v>177</v>
      </c>
      <c r="G31" s="99">
        <v>13</v>
      </c>
      <c r="H31" s="99" t="s">
        <v>916</v>
      </c>
      <c r="I31" s="99">
        <v>35</v>
      </c>
      <c r="J31" s="99">
        <v>126</v>
      </c>
      <c r="K31" s="99" t="s">
        <v>916</v>
      </c>
      <c r="L31" s="99">
        <v>404</v>
      </c>
      <c r="M31" s="99">
        <v>75</v>
      </c>
      <c r="N31" s="99">
        <v>49</v>
      </c>
      <c r="O31" s="99">
        <v>60</v>
      </c>
      <c r="P31" s="158">
        <v>60</v>
      </c>
      <c r="Q31" s="99" t="s">
        <v>916</v>
      </c>
      <c r="R31" s="99">
        <v>13</v>
      </c>
      <c r="S31" s="99">
        <v>12</v>
      </c>
      <c r="T31" s="99">
        <v>7</v>
      </c>
      <c r="U31" s="99" t="s">
        <v>916</v>
      </c>
      <c r="V31" s="99">
        <v>13</v>
      </c>
      <c r="W31" s="99">
        <v>7</v>
      </c>
      <c r="X31" s="99">
        <v>12</v>
      </c>
      <c r="Y31" s="99">
        <v>20</v>
      </c>
      <c r="Z31" s="99">
        <v>17</v>
      </c>
      <c r="AA31" s="99" t="s">
        <v>916</v>
      </c>
      <c r="AB31" s="99" t="s">
        <v>916</v>
      </c>
      <c r="AC31" s="99" t="s">
        <v>916</v>
      </c>
      <c r="AD31" s="98" t="s">
        <v>158</v>
      </c>
      <c r="AE31" s="100">
        <v>0.11313444401394808</v>
      </c>
      <c r="AF31" s="100">
        <v>0.26</v>
      </c>
      <c r="AG31" s="98">
        <v>503.6807438977141</v>
      </c>
      <c r="AH31" s="98" t="s">
        <v>916</v>
      </c>
      <c r="AI31" s="100">
        <v>0.013600000000000001</v>
      </c>
      <c r="AJ31" s="100">
        <v>0.552632</v>
      </c>
      <c r="AK31" s="100" t="s">
        <v>916</v>
      </c>
      <c r="AL31" s="100">
        <v>0.639241</v>
      </c>
      <c r="AM31" s="100">
        <v>0.477707</v>
      </c>
      <c r="AN31" s="100">
        <v>0.526882</v>
      </c>
      <c r="AO31" s="98">
        <v>2324.680356450988</v>
      </c>
      <c r="AP31" s="157">
        <v>1.4206999999999999</v>
      </c>
      <c r="AQ31" s="100" t="s">
        <v>916</v>
      </c>
      <c r="AR31" s="100" t="s">
        <v>916</v>
      </c>
      <c r="AS31" s="98">
        <v>464.9360712901976</v>
      </c>
      <c r="AT31" s="98">
        <v>271.21270825261524</v>
      </c>
      <c r="AU31" s="98" t="s">
        <v>916</v>
      </c>
      <c r="AV31" s="98">
        <v>503.6807438977141</v>
      </c>
      <c r="AW31" s="98">
        <v>271.21270825261524</v>
      </c>
      <c r="AX31" s="98">
        <v>464.9360712901976</v>
      </c>
      <c r="AY31" s="98">
        <v>774.8934521503294</v>
      </c>
      <c r="AZ31" s="98">
        <v>658.6594343277799</v>
      </c>
      <c r="BA31" s="100" t="s">
        <v>916</v>
      </c>
      <c r="BB31" s="100" t="s">
        <v>916</v>
      </c>
      <c r="BC31" s="100" t="s">
        <v>916</v>
      </c>
      <c r="BD31" s="157">
        <v>1.0842</v>
      </c>
      <c r="BE31" s="157">
        <v>1.8287</v>
      </c>
      <c r="BF31" s="161">
        <v>228</v>
      </c>
      <c r="BG31" s="161" t="s">
        <v>916</v>
      </c>
      <c r="BH31" s="161">
        <v>632</v>
      </c>
      <c r="BI31" s="161">
        <v>157</v>
      </c>
      <c r="BJ31" s="161">
        <v>93</v>
      </c>
      <c r="BK31" s="97"/>
      <c r="BL31" s="97"/>
      <c r="BM31" s="97"/>
      <c r="BN31" s="97"/>
    </row>
    <row r="32" spans="1:66" ht="12.75">
      <c r="A32" s="79" t="s">
        <v>928</v>
      </c>
      <c r="B32" s="79" t="s">
        <v>60</v>
      </c>
      <c r="C32" s="79" t="s">
        <v>367</v>
      </c>
      <c r="D32" s="99">
        <v>10512</v>
      </c>
      <c r="E32" s="99">
        <v>1878</v>
      </c>
      <c r="F32" s="99" t="s">
        <v>179</v>
      </c>
      <c r="G32" s="99">
        <v>64</v>
      </c>
      <c r="H32" s="99">
        <v>22</v>
      </c>
      <c r="I32" s="99">
        <v>212</v>
      </c>
      <c r="J32" s="99">
        <v>960</v>
      </c>
      <c r="K32" s="99">
        <v>882</v>
      </c>
      <c r="L32" s="99">
        <v>1924</v>
      </c>
      <c r="M32" s="99">
        <v>626</v>
      </c>
      <c r="N32" s="99">
        <v>357</v>
      </c>
      <c r="O32" s="99">
        <v>200</v>
      </c>
      <c r="P32" s="158">
        <v>200</v>
      </c>
      <c r="Q32" s="99">
        <v>27</v>
      </c>
      <c r="R32" s="99">
        <v>58</v>
      </c>
      <c r="S32" s="99">
        <v>57</v>
      </c>
      <c r="T32" s="99">
        <v>37</v>
      </c>
      <c r="U32" s="99" t="s">
        <v>916</v>
      </c>
      <c r="V32" s="99">
        <v>20</v>
      </c>
      <c r="W32" s="99">
        <v>26</v>
      </c>
      <c r="X32" s="99">
        <v>47</v>
      </c>
      <c r="Y32" s="99">
        <v>54</v>
      </c>
      <c r="Z32" s="99">
        <v>63</v>
      </c>
      <c r="AA32" s="99">
        <v>10</v>
      </c>
      <c r="AB32" s="99">
        <v>22</v>
      </c>
      <c r="AC32" s="99">
        <v>15</v>
      </c>
      <c r="AD32" s="98" t="s">
        <v>158</v>
      </c>
      <c r="AE32" s="100">
        <v>0.1786529680365297</v>
      </c>
      <c r="AF32" s="100">
        <v>0.13</v>
      </c>
      <c r="AG32" s="98">
        <v>608.8280060882801</v>
      </c>
      <c r="AH32" s="98">
        <v>209.28462709284628</v>
      </c>
      <c r="AI32" s="100">
        <v>0.0202</v>
      </c>
      <c r="AJ32" s="100">
        <v>0.786885</v>
      </c>
      <c r="AK32" s="100">
        <v>0.788204</v>
      </c>
      <c r="AL32" s="100">
        <v>0.713385</v>
      </c>
      <c r="AM32" s="100">
        <v>0.56043</v>
      </c>
      <c r="AN32" s="100">
        <v>0.545872</v>
      </c>
      <c r="AO32" s="98">
        <v>1902.5875190258753</v>
      </c>
      <c r="AP32" s="157">
        <v>0.9447</v>
      </c>
      <c r="AQ32" s="100">
        <v>0.135</v>
      </c>
      <c r="AR32" s="100">
        <v>0.46551724137931033</v>
      </c>
      <c r="AS32" s="98">
        <v>542.2374429223744</v>
      </c>
      <c r="AT32" s="98">
        <v>351.97869101978694</v>
      </c>
      <c r="AU32" s="98" t="s">
        <v>916</v>
      </c>
      <c r="AV32" s="98">
        <v>190.2587519025875</v>
      </c>
      <c r="AW32" s="98">
        <v>247.33637747336377</v>
      </c>
      <c r="AX32" s="98">
        <v>447.1080669710807</v>
      </c>
      <c r="AY32" s="98">
        <v>513.6986301369863</v>
      </c>
      <c r="AZ32" s="98">
        <v>599.3150684931506</v>
      </c>
      <c r="BA32" s="100">
        <v>0.2127659574468085</v>
      </c>
      <c r="BB32" s="100">
        <v>0.46808510638297873</v>
      </c>
      <c r="BC32" s="100">
        <v>0.3191489361702128</v>
      </c>
      <c r="BD32" s="157">
        <v>0.8183</v>
      </c>
      <c r="BE32" s="157">
        <v>1.0851</v>
      </c>
      <c r="BF32" s="161">
        <v>1220</v>
      </c>
      <c r="BG32" s="161">
        <v>1119</v>
      </c>
      <c r="BH32" s="161">
        <v>2697</v>
      </c>
      <c r="BI32" s="161">
        <v>1117</v>
      </c>
      <c r="BJ32" s="161">
        <v>654</v>
      </c>
      <c r="BK32" s="97"/>
      <c r="BL32" s="97"/>
      <c r="BM32" s="97"/>
      <c r="BN32" s="97"/>
    </row>
    <row r="33" spans="1:66" ht="12.75">
      <c r="A33" s="79" t="s">
        <v>919</v>
      </c>
      <c r="B33" s="79" t="s">
        <v>107</v>
      </c>
      <c r="C33" s="79" t="s">
        <v>367</v>
      </c>
      <c r="D33" s="99">
        <v>4157</v>
      </c>
      <c r="E33" s="99">
        <v>606</v>
      </c>
      <c r="F33" s="99" t="s">
        <v>177</v>
      </c>
      <c r="G33" s="99">
        <v>24</v>
      </c>
      <c r="H33" s="99">
        <v>7</v>
      </c>
      <c r="I33" s="99">
        <v>67</v>
      </c>
      <c r="J33" s="99">
        <v>310</v>
      </c>
      <c r="K33" s="99" t="s">
        <v>916</v>
      </c>
      <c r="L33" s="99">
        <v>633</v>
      </c>
      <c r="M33" s="99">
        <v>190</v>
      </c>
      <c r="N33" s="99">
        <v>109</v>
      </c>
      <c r="O33" s="99">
        <v>31</v>
      </c>
      <c r="P33" s="158">
        <v>31</v>
      </c>
      <c r="Q33" s="99">
        <v>8</v>
      </c>
      <c r="R33" s="99">
        <v>27</v>
      </c>
      <c r="S33" s="99">
        <v>21</v>
      </c>
      <c r="T33" s="99" t="s">
        <v>916</v>
      </c>
      <c r="U33" s="99" t="s">
        <v>916</v>
      </c>
      <c r="V33" s="99" t="s">
        <v>916</v>
      </c>
      <c r="W33" s="99">
        <v>25</v>
      </c>
      <c r="X33" s="99">
        <v>45</v>
      </c>
      <c r="Y33" s="99">
        <v>45</v>
      </c>
      <c r="Z33" s="99">
        <v>25</v>
      </c>
      <c r="AA33" s="99" t="s">
        <v>916</v>
      </c>
      <c r="AB33" s="99" t="s">
        <v>916</v>
      </c>
      <c r="AC33" s="99">
        <v>13</v>
      </c>
      <c r="AD33" s="98" t="s">
        <v>158</v>
      </c>
      <c r="AE33" s="100">
        <v>0.14577820543661293</v>
      </c>
      <c r="AF33" s="100">
        <v>0.25</v>
      </c>
      <c r="AG33" s="98">
        <v>577.3394274717344</v>
      </c>
      <c r="AH33" s="98">
        <v>168.39066634592254</v>
      </c>
      <c r="AI33" s="100">
        <v>0.0161</v>
      </c>
      <c r="AJ33" s="100">
        <v>0.719258</v>
      </c>
      <c r="AK33" s="100" t="s">
        <v>916</v>
      </c>
      <c r="AL33" s="100">
        <v>0.654602</v>
      </c>
      <c r="AM33" s="100">
        <v>0.456731</v>
      </c>
      <c r="AN33" s="100">
        <v>0.429134</v>
      </c>
      <c r="AO33" s="98">
        <v>745.730093817657</v>
      </c>
      <c r="AP33" s="157">
        <v>0.4045</v>
      </c>
      <c r="AQ33" s="100">
        <v>0.25806451612903225</v>
      </c>
      <c r="AR33" s="100">
        <v>0.2962962962962963</v>
      </c>
      <c r="AS33" s="98">
        <v>505.17199903776765</v>
      </c>
      <c r="AT33" s="98" t="s">
        <v>916</v>
      </c>
      <c r="AU33" s="98" t="s">
        <v>916</v>
      </c>
      <c r="AV33" s="98" t="s">
        <v>916</v>
      </c>
      <c r="AW33" s="98">
        <v>601.3952369497233</v>
      </c>
      <c r="AX33" s="98">
        <v>1082.5114265095021</v>
      </c>
      <c r="AY33" s="98">
        <v>1082.5114265095021</v>
      </c>
      <c r="AZ33" s="98">
        <v>601.3952369497233</v>
      </c>
      <c r="BA33" s="100" t="s">
        <v>916</v>
      </c>
      <c r="BB33" s="100" t="s">
        <v>916</v>
      </c>
      <c r="BC33" s="100">
        <v>0.5652173913043478</v>
      </c>
      <c r="BD33" s="157">
        <v>0.2749</v>
      </c>
      <c r="BE33" s="157">
        <v>0.5742</v>
      </c>
      <c r="BF33" s="161">
        <v>431</v>
      </c>
      <c r="BG33" s="161" t="s">
        <v>916</v>
      </c>
      <c r="BH33" s="161">
        <v>967</v>
      </c>
      <c r="BI33" s="161">
        <v>416</v>
      </c>
      <c r="BJ33" s="161">
        <v>254</v>
      </c>
      <c r="BK33" s="97"/>
      <c r="BL33" s="97"/>
      <c r="BM33" s="97"/>
      <c r="BN33" s="97"/>
    </row>
    <row r="34" spans="1:66" ht="12.75">
      <c r="A34" s="79" t="s">
        <v>318</v>
      </c>
      <c r="B34" s="79" t="s">
        <v>142</v>
      </c>
      <c r="C34" s="79" t="s">
        <v>367</v>
      </c>
      <c r="D34" s="99">
        <v>2041</v>
      </c>
      <c r="E34" s="99">
        <v>184</v>
      </c>
      <c r="F34" s="99" t="s">
        <v>177</v>
      </c>
      <c r="G34" s="99" t="s">
        <v>916</v>
      </c>
      <c r="H34" s="99" t="s">
        <v>916</v>
      </c>
      <c r="I34" s="99">
        <v>18</v>
      </c>
      <c r="J34" s="99">
        <v>103</v>
      </c>
      <c r="K34" s="99" t="s">
        <v>916</v>
      </c>
      <c r="L34" s="99">
        <v>327</v>
      </c>
      <c r="M34" s="99">
        <v>69</v>
      </c>
      <c r="N34" s="99">
        <v>34</v>
      </c>
      <c r="O34" s="99">
        <v>8</v>
      </c>
      <c r="P34" s="158">
        <v>8</v>
      </c>
      <c r="Q34" s="99" t="s">
        <v>916</v>
      </c>
      <c r="R34" s="99">
        <v>7</v>
      </c>
      <c r="S34" s="99" t="s">
        <v>916</v>
      </c>
      <c r="T34" s="99" t="s">
        <v>916</v>
      </c>
      <c r="U34" s="99" t="s">
        <v>916</v>
      </c>
      <c r="V34" s="99" t="s">
        <v>916</v>
      </c>
      <c r="W34" s="99" t="s">
        <v>916</v>
      </c>
      <c r="X34" s="99">
        <v>7</v>
      </c>
      <c r="Y34" s="99" t="s">
        <v>916</v>
      </c>
      <c r="Z34" s="99">
        <v>6</v>
      </c>
      <c r="AA34" s="99" t="s">
        <v>916</v>
      </c>
      <c r="AB34" s="99" t="s">
        <v>916</v>
      </c>
      <c r="AC34" s="99" t="s">
        <v>916</v>
      </c>
      <c r="AD34" s="98" t="s">
        <v>158</v>
      </c>
      <c r="AE34" s="100">
        <v>0.09015188633023027</v>
      </c>
      <c r="AF34" s="100">
        <v>0.26</v>
      </c>
      <c r="AG34" s="98" t="s">
        <v>916</v>
      </c>
      <c r="AH34" s="98" t="s">
        <v>916</v>
      </c>
      <c r="AI34" s="100">
        <v>0.0088</v>
      </c>
      <c r="AJ34" s="100">
        <v>0.668831</v>
      </c>
      <c r="AK34" s="100" t="s">
        <v>916</v>
      </c>
      <c r="AL34" s="100">
        <v>0.685535</v>
      </c>
      <c r="AM34" s="100">
        <v>0.511111</v>
      </c>
      <c r="AN34" s="100">
        <v>0.43038</v>
      </c>
      <c r="AO34" s="98">
        <v>391.96472317491424</v>
      </c>
      <c r="AP34" s="157">
        <v>0.2615</v>
      </c>
      <c r="AQ34" s="100" t="s">
        <v>916</v>
      </c>
      <c r="AR34" s="100" t="s">
        <v>916</v>
      </c>
      <c r="AS34" s="98" t="s">
        <v>916</v>
      </c>
      <c r="AT34" s="98" t="s">
        <v>916</v>
      </c>
      <c r="AU34" s="98" t="s">
        <v>916</v>
      </c>
      <c r="AV34" s="98" t="s">
        <v>916</v>
      </c>
      <c r="AW34" s="98" t="s">
        <v>916</v>
      </c>
      <c r="AX34" s="98">
        <v>342.96913277805</v>
      </c>
      <c r="AY34" s="98" t="s">
        <v>916</v>
      </c>
      <c r="AZ34" s="98">
        <v>293.97354238118567</v>
      </c>
      <c r="BA34" s="100" t="s">
        <v>916</v>
      </c>
      <c r="BB34" s="100" t="s">
        <v>916</v>
      </c>
      <c r="BC34" s="100" t="s">
        <v>916</v>
      </c>
      <c r="BD34" s="157">
        <v>0.11289999999999999</v>
      </c>
      <c r="BE34" s="157">
        <v>0.5152</v>
      </c>
      <c r="BF34" s="161">
        <v>154</v>
      </c>
      <c r="BG34" s="161" t="s">
        <v>916</v>
      </c>
      <c r="BH34" s="161">
        <v>477</v>
      </c>
      <c r="BI34" s="161">
        <v>135</v>
      </c>
      <c r="BJ34" s="161">
        <v>79</v>
      </c>
      <c r="BK34" s="97"/>
      <c r="BL34" s="97"/>
      <c r="BM34" s="97"/>
      <c r="BN34" s="97"/>
    </row>
    <row r="35" spans="1:66" ht="12.75">
      <c r="A35" s="79" t="s">
        <v>378</v>
      </c>
      <c r="B35" s="79" t="s">
        <v>121</v>
      </c>
      <c r="C35" s="79" t="s">
        <v>367</v>
      </c>
      <c r="D35" s="99">
        <v>2451</v>
      </c>
      <c r="E35" s="99">
        <v>349</v>
      </c>
      <c r="F35" s="99" t="s">
        <v>177</v>
      </c>
      <c r="G35" s="99">
        <v>9</v>
      </c>
      <c r="H35" s="99">
        <v>9</v>
      </c>
      <c r="I35" s="99">
        <v>43</v>
      </c>
      <c r="J35" s="99">
        <v>199</v>
      </c>
      <c r="K35" s="99">
        <v>6</v>
      </c>
      <c r="L35" s="99">
        <v>493</v>
      </c>
      <c r="M35" s="99">
        <v>120</v>
      </c>
      <c r="N35" s="99">
        <v>72</v>
      </c>
      <c r="O35" s="99">
        <v>51</v>
      </c>
      <c r="P35" s="158">
        <v>51</v>
      </c>
      <c r="Q35" s="99">
        <v>6</v>
      </c>
      <c r="R35" s="99">
        <v>16</v>
      </c>
      <c r="S35" s="99">
        <v>16</v>
      </c>
      <c r="T35" s="99" t="s">
        <v>916</v>
      </c>
      <c r="U35" s="99" t="s">
        <v>916</v>
      </c>
      <c r="V35" s="99">
        <v>8</v>
      </c>
      <c r="W35" s="99">
        <v>10</v>
      </c>
      <c r="X35" s="99">
        <v>21</v>
      </c>
      <c r="Y35" s="99">
        <v>30</v>
      </c>
      <c r="Z35" s="99">
        <v>18</v>
      </c>
      <c r="AA35" s="99" t="s">
        <v>916</v>
      </c>
      <c r="AB35" s="99" t="s">
        <v>916</v>
      </c>
      <c r="AC35" s="99" t="s">
        <v>916</v>
      </c>
      <c r="AD35" s="98" t="s">
        <v>158</v>
      </c>
      <c r="AE35" s="100">
        <v>0.142390860873113</v>
      </c>
      <c r="AF35" s="100">
        <v>0.26</v>
      </c>
      <c r="AG35" s="98">
        <v>367.1970624235006</v>
      </c>
      <c r="AH35" s="98">
        <v>367.1970624235006</v>
      </c>
      <c r="AI35" s="100">
        <v>0.0175</v>
      </c>
      <c r="AJ35" s="100">
        <v>0.670034</v>
      </c>
      <c r="AK35" s="100">
        <v>0.75</v>
      </c>
      <c r="AL35" s="100">
        <v>0.770313</v>
      </c>
      <c r="AM35" s="100">
        <v>0.493827</v>
      </c>
      <c r="AN35" s="100">
        <v>0.447205</v>
      </c>
      <c r="AO35" s="98">
        <v>2080.7833537331703</v>
      </c>
      <c r="AP35" s="157">
        <v>1.1083</v>
      </c>
      <c r="AQ35" s="100">
        <v>0.11764705882352941</v>
      </c>
      <c r="AR35" s="100">
        <v>0.375</v>
      </c>
      <c r="AS35" s="98">
        <v>652.7947776417789</v>
      </c>
      <c r="AT35" s="98" t="s">
        <v>916</v>
      </c>
      <c r="AU35" s="98" t="s">
        <v>916</v>
      </c>
      <c r="AV35" s="98">
        <v>326.39738882088943</v>
      </c>
      <c r="AW35" s="98">
        <v>407.9967360261118</v>
      </c>
      <c r="AX35" s="98">
        <v>856.7931456548348</v>
      </c>
      <c r="AY35" s="98">
        <v>1223.9902080783354</v>
      </c>
      <c r="AZ35" s="98">
        <v>734.3941248470012</v>
      </c>
      <c r="BA35" s="100" t="s">
        <v>916</v>
      </c>
      <c r="BB35" s="100" t="s">
        <v>916</v>
      </c>
      <c r="BC35" s="100" t="s">
        <v>916</v>
      </c>
      <c r="BD35" s="157">
        <v>0.8251999999999999</v>
      </c>
      <c r="BE35" s="157">
        <v>1.4572</v>
      </c>
      <c r="BF35" s="161">
        <v>297</v>
      </c>
      <c r="BG35" s="161">
        <v>8</v>
      </c>
      <c r="BH35" s="161">
        <v>640</v>
      </c>
      <c r="BI35" s="161">
        <v>243</v>
      </c>
      <c r="BJ35" s="161">
        <v>161</v>
      </c>
      <c r="BK35" s="97"/>
      <c r="BL35" s="97"/>
      <c r="BM35" s="97"/>
      <c r="BN35" s="97"/>
    </row>
    <row r="36" spans="1:66" ht="12.75">
      <c r="A36" s="79" t="s">
        <v>920</v>
      </c>
      <c r="B36" s="79" t="s">
        <v>113</v>
      </c>
      <c r="C36" s="79" t="s">
        <v>367</v>
      </c>
      <c r="D36" s="99">
        <v>5882</v>
      </c>
      <c r="E36" s="99">
        <v>1442</v>
      </c>
      <c r="F36" s="99" t="s">
        <v>178</v>
      </c>
      <c r="G36" s="99">
        <v>36</v>
      </c>
      <c r="H36" s="99">
        <v>20</v>
      </c>
      <c r="I36" s="99">
        <v>165</v>
      </c>
      <c r="J36" s="99">
        <v>692</v>
      </c>
      <c r="K36" s="99">
        <v>652</v>
      </c>
      <c r="L36" s="99">
        <v>1113</v>
      </c>
      <c r="M36" s="99">
        <v>537</v>
      </c>
      <c r="N36" s="99">
        <v>274</v>
      </c>
      <c r="O36" s="99">
        <v>132</v>
      </c>
      <c r="P36" s="158">
        <v>132</v>
      </c>
      <c r="Q36" s="99">
        <v>7</v>
      </c>
      <c r="R36" s="99">
        <v>32</v>
      </c>
      <c r="S36" s="99">
        <v>33</v>
      </c>
      <c r="T36" s="99">
        <v>20</v>
      </c>
      <c r="U36" s="99" t="s">
        <v>916</v>
      </c>
      <c r="V36" s="99">
        <v>20</v>
      </c>
      <c r="W36" s="99">
        <v>31</v>
      </c>
      <c r="X36" s="99">
        <v>82</v>
      </c>
      <c r="Y36" s="99">
        <v>95</v>
      </c>
      <c r="Z36" s="99">
        <v>40</v>
      </c>
      <c r="AA36" s="99">
        <v>9</v>
      </c>
      <c r="AB36" s="99">
        <v>11</v>
      </c>
      <c r="AC36" s="99">
        <v>12</v>
      </c>
      <c r="AD36" s="98" t="s">
        <v>158</v>
      </c>
      <c r="AE36" s="100">
        <v>0.24515470928255695</v>
      </c>
      <c r="AF36" s="100">
        <v>0.11</v>
      </c>
      <c r="AG36" s="98">
        <v>612.0367222033321</v>
      </c>
      <c r="AH36" s="98">
        <v>340.02040122407345</v>
      </c>
      <c r="AI36" s="100">
        <v>0.0281</v>
      </c>
      <c r="AJ36" s="100">
        <v>0.811254</v>
      </c>
      <c r="AK36" s="100">
        <v>0.808933</v>
      </c>
      <c r="AL36" s="100">
        <v>0.794433</v>
      </c>
      <c r="AM36" s="100">
        <v>0.649335</v>
      </c>
      <c r="AN36" s="100">
        <v>0.606195</v>
      </c>
      <c r="AO36" s="98">
        <v>2244.1346480788848</v>
      </c>
      <c r="AP36" s="157">
        <v>0.9336</v>
      </c>
      <c r="AQ36" s="100">
        <v>0.05303030303030303</v>
      </c>
      <c r="AR36" s="100">
        <v>0.21875</v>
      </c>
      <c r="AS36" s="98">
        <v>561.0336620197212</v>
      </c>
      <c r="AT36" s="98">
        <v>340.02040122407345</v>
      </c>
      <c r="AU36" s="98" t="s">
        <v>916</v>
      </c>
      <c r="AV36" s="98">
        <v>340.02040122407345</v>
      </c>
      <c r="AW36" s="98">
        <v>527.0316218973138</v>
      </c>
      <c r="AX36" s="98">
        <v>1394.0836450187012</v>
      </c>
      <c r="AY36" s="98">
        <v>1615.096905814349</v>
      </c>
      <c r="AZ36" s="98">
        <v>680.0408024481469</v>
      </c>
      <c r="BA36" s="100">
        <v>0.28125</v>
      </c>
      <c r="BB36" s="100">
        <v>0.34375</v>
      </c>
      <c r="BC36" s="100">
        <v>0.375</v>
      </c>
      <c r="BD36" s="157">
        <v>0.7812</v>
      </c>
      <c r="BE36" s="157">
        <v>1.1072</v>
      </c>
      <c r="BF36" s="161">
        <v>853</v>
      </c>
      <c r="BG36" s="161">
        <v>806</v>
      </c>
      <c r="BH36" s="161">
        <v>1401</v>
      </c>
      <c r="BI36" s="161">
        <v>827</v>
      </c>
      <c r="BJ36" s="161">
        <v>452</v>
      </c>
      <c r="BK36" s="97"/>
      <c r="BL36" s="97"/>
      <c r="BM36" s="97"/>
      <c r="BN36" s="97"/>
    </row>
    <row r="37" spans="1:66" ht="12.75">
      <c r="A37" s="79" t="s">
        <v>322</v>
      </c>
      <c r="B37" s="79" t="s">
        <v>147</v>
      </c>
      <c r="C37" s="79" t="s">
        <v>367</v>
      </c>
      <c r="D37" s="99">
        <v>2377</v>
      </c>
      <c r="E37" s="99">
        <v>261</v>
      </c>
      <c r="F37" s="99" t="s">
        <v>177</v>
      </c>
      <c r="G37" s="99">
        <v>7</v>
      </c>
      <c r="H37" s="99" t="s">
        <v>916</v>
      </c>
      <c r="I37" s="99">
        <v>28</v>
      </c>
      <c r="J37" s="99">
        <v>142</v>
      </c>
      <c r="K37" s="99">
        <v>7</v>
      </c>
      <c r="L37" s="99">
        <v>428</v>
      </c>
      <c r="M37" s="99">
        <v>50</v>
      </c>
      <c r="N37" s="99">
        <v>28</v>
      </c>
      <c r="O37" s="99">
        <v>38</v>
      </c>
      <c r="P37" s="158">
        <v>38</v>
      </c>
      <c r="Q37" s="99" t="s">
        <v>916</v>
      </c>
      <c r="R37" s="99" t="s">
        <v>916</v>
      </c>
      <c r="S37" s="99">
        <v>13</v>
      </c>
      <c r="T37" s="99" t="s">
        <v>916</v>
      </c>
      <c r="U37" s="99" t="s">
        <v>916</v>
      </c>
      <c r="V37" s="99" t="s">
        <v>916</v>
      </c>
      <c r="W37" s="99">
        <v>10</v>
      </c>
      <c r="X37" s="99">
        <v>12</v>
      </c>
      <c r="Y37" s="99">
        <v>19</v>
      </c>
      <c r="Z37" s="99" t="s">
        <v>916</v>
      </c>
      <c r="AA37" s="99" t="s">
        <v>916</v>
      </c>
      <c r="AB37" s="99" t="s">
        <v>916</v>
      </c>
      <c r="AC37" s="99" t="s">
        <v>916</v>
      </c>
      <c r="AD37" s="98" t="s">
        <v>158</v>
      </c>
      <c r="AE37" s="100">
        <v>0.10980227177114009</v>
      </c>
      <c r="AF37" s="100">
        <v>0.28</v>
      </c>
      <c r="AG37" s="98">
        <v>294.48885149347916</v>
      </c>
      <c r="AH37" s="98" t="s">
        <v>916</v>
      </c>
      <c r="AI37" s="100">
        <v>0.0118</v>
      </c>
      <c r="AJ37" s="100">
        <v>0.645455</v>
      </c>
      <c r="AK37" s="100">
        <v>0.538462</v>
      </c>
      <c r="AL37" s="100">
        <v>0.701639</v>
      </c>
      <c r="AM37" s="100">
        <v>0.331126</v>
      </c>
      <c r="AN37" s="100">
        <v>0.35</v>
      </c>
      <c r="AO37" s="98">
        <v>1598.6537652503155</v>
      </c>
      <c r="AP37" s="157">
        <v>0.9732</v>
      </c>
      <c r="AQ37" s="100" t="s">
        <v>916</v>
      </c>
      <c r="AR37" s="100" t="s">
        <v>916</v>
      </c>
      <c r="AS37" s="98">
        <v>546.9078670593185</v>
      </c>
      <c r="AT37" s="98" t="s">
        <v>916</v>
      </c>
      <c r="AU37" s="98" t="s">
        <v>916</v>
      </c>
      <c r="AV37" s="98" t="s">
        <v>916</v>
      </c>
      <c r="AW37" s="98">
        <v>420.69835927639883</v>
      </c>
      <c r="AX37" s="98">
        <v>504.8380311316786</v>
      </c>
      <c r="AY37" s="98">
        <v>799.3268826251577</v>
      </c>
      <c r="AZ37" s="98" t="s">
        <v>916</v>
      </c>
      <c r="BA37" s="100" t="s">
        <v>916</v>
      </c>
      <c r="BB37" s="100" t="s">
        <v>916</v>
      </c>
      <c r="BC37" s="100" t="s">
        <v>916</v>
      </c>
      <c r="BD37" s="157">
        <v>0.6887000000000001</v>
      </c>
      <c r="BE37" s="157">
        <v>1.3358</v>
      </c>
      <c r="BF37" s="161">
        <v>220</v>
      </c>
      <c r="BG37" s="161">
        <v>13</v>
      </c>
      <c r="BH37" s="161">
        <v>610</v>
      </c>
      <c r="BI37" s="161">
        <v>151</v>
      </c>
      <c r="BJ37" s="161">
        <v>80</v>
      </c>
      <c r="BK37" s="97"/>
      <c r="BL37" s="97"/>
      <c r="BM37" s="97"/>
      <c r="BN37" s="97"/>
    </row>
    <row r="38" spans="1:66" ht="12.75">
      <c r="A38" s="79" t="s">
        <v>377</v>
      </c>
      <c r="B38" s="79" t="s">
        <v>115</v>
      </c>
      <c r="C38" s="79" t="s">
        <v>367</v>
      </c>
      <c r="D38" s="99">
        <v>4032</v>
      </c>
      <c r="E38" s="99">
        <v>585</v>
      </c>
      <c r="F38" s="99" t="s">
        <v>177</v>
      </c>
      <c r="G38" s="99">
        <v>16</v>
      </c>
      <c r="H38" s="99">
        <v>16</v>
      </c>
      <c r="I38" s="99">
        <v>38</v>
      </c>
      <c r="J38" s="99">
        <v>309</v>
      </c>
      <c r="K38" s="99">
        <v>275</v>
      </c>
      <c r="L38" s="99">
        <v>623</v>
      </c>
      <c r="M38" s="99">
        <v>184</v>
      </c>
      <c r="N38" s="99">
        <v>101</v>
      </c>
      <c r="O38" s="99">
        <v>43</v>
      </c>
      <c r="P38" s="158">
        <v>43</v>
      </c>
      <c r="Q38" s="99">
        <v>10</v>
      </c>
      <c r="R38" s="99">
        <v>26</v>
      </c>
      <c r="S38" s="99">
        <v>16</v>
      </c>
      <c r="T38" s="99" t="s">
        <v>916</v>
      </c>
      <c r="U38" s="99" t="s">
        <v>916</v>
      </c>
      <c r="V38" s="99" t="s">
        <v>916</v>
      </c>
      <c r="W38" s="99">
        <v>18</v>
      </c>
      <c r="X38" s="99">
        <v>26</v>
      </c>
      <c r="Y38" s="99">
        <v>47</v>
      </c>
      <c r="Z38" s="99">
        <v>25</v>
      </c>
      <c r="AA38" s="99" t="s">
        <v>916</v>
      </c>
      <c r="AB38" s="99" t="s">
        <v>916</v>
      </c>
      <c r="AC38" s="99" t="s">
        <v>916</v>
      </c>
      <c r="AD38" s="98" t="s">
        <v>158</v>
      </c>
      <c r="AE38" s="100">
        <v>0.14508928571428573</v>
      </c>
      <c r="AF38" s="100">
        <v>0.3</v>
      </c>
      <c r="AG38" s="98">
        <v>396.8253968253968</v>
      </c>
      <c r="AH38" s="98">
        <v>396.8253968253968</v>
      </c>
      <c r="AI38" s="100">
        <v>0.009399999999999999</v>
      </c>
      <c r="AJ38" s="100">
        <v>0.725352</v>
      </c>
      <c r="AK38" s="100">
        <v>0.6875</v>
      </c>
      <c r="AL38" s="100">
        <v>0.660657</v>
      </c>
      <c r="AM38" s="100">
        <v>0.488064</v>
      </c>
      <c r="AN38" s="100">
        <v>0.454955</v>
      </c>
      <c r="AO38" s="98">
        <v>1066.468253968254</v>
      </c>
      <c r="AP38" s="157">
        <v>0.5867</v>
      </c>
      <c r="AQ38" s="100">
        <v>0.23255813953488372</v>
      </c>
      <c r="AR38" s="100">
        <v>0.38461538461538464</v>
      </c>
      <c r="AS38" s="98">
        <v>396.8253968253968</v>
      </c>
      <c r="AT38" s="98" t="s">
        <v>916</v>
      </c>
      <c r="AU38" s="98" t="s">
        <v>916</v>
      </c>
      <c r="AV38" s="98" t="s">
        <v>916</v>
      </c>
      <c r="AW38" s="98">
        <v>446.42857142857144</v>
      </c>
      <c r="AX38" s="98">
        <v>644.8412698412699</v>
      </c>
      <c r="AY38" s="98">
        <v>1165.6746031746031</v>
      </c>
      <c r="AZ38" s="98">
        <v>620.0396825396825</v>
      </c>
      <c r="BA38" s="100" t="s">
        <v>916</v>
      </c>
      <c r="BB38" s="100" t="s">
        <v>916</v>
      </c>
      <c r="BC38" s="100" t="s">
        <v>916</v>
      </c>
      <c r="BD38" s="157">
        <v>0.42460000000000003</v>
      </c>
      <c r="BE38" s="157">
        <v>0.7903</v>
      </c>
      <c r="BF38" s="161">
        <v>426</v>
      </c>
      <c r="BG38" s="161">
        <v>400</v>
      </c>
      <c r="BH38" s="161">
        <v>943</v>
      </c>
      <c r="BI38" s="161">
        <v>377</v>
      </c>
      <c r="BJ38" s="161">
        <v>222</v>
      </c>
      <c r="BK38" s="97"/>
      <c r="BL38" s="97"/>
      <c r="BM38" s="97"/>
      <c r="BN38" s="97"/>
    </row>
    <row r="39" spans="1:66" ht="12.75">
      <c r="A39" s="79" t="s">
        <v>317</v>
      </c>
      <c r="B39" s="79" t="s">
        <v>141</v>
      </c>
      <c r="C39" s="79" t="s">
        <v>367</v>
      </c>
      <c r="D39" s="99">
        <v>2934</v>
      </c>
      <c r="E39" s="99">
        <v>295</v>
      </c>
      <c r="F39" s="99" t="s">
        <v>177</v>
      </c>
      <c r="G39" s="99" t="s">
        <v>916</v>
      </c>
      <c r="H39" s="99" t="s">
        <v>916</v>
      </c>
      <c r="I39" s="99">
        <v>22</v>
      </c>
      <c r="J39" s="99">
        <v>174</v>
      </c>
      <c r="K39" s="99">
        <v>139</v>
      </c>
      <c r="L39" s="99">
        <v>461</v>
      </c>
      <c r="M39" s="99">
        <v>77</v>
      </c>
      <c r="N39" s="99">
        <v>52</v>
      </c>
      <c r="O39" s="99">
        <v>28</v>
      </c>
      <c r="P39" s="158">
        <v>28</v>
      </c>
      <c r="Q39" s="99" t="s">
        <v>916</v>
      </c>
      <c r="R39" s="99">
        <v>7</v>
      </c>
      <c r="S39" s="99">
        <v>11</v>
      </c>
      <c r="T39" s="99" t="s">
        <v>916</v>
      </c>
      <c r="U39" s="99" t="s">
        <v>916</v>
      </c>
      <c r="V39" s="99" t="s">
        <v>916</v>
      </c>
      <c r="W39" s="99" t="s">
        <v>916</v>
      </c>
      <c r="X39" s="99">
        <v>10</v>
      </c>
      <c r="Y39" s="99">
        <v>17</v>
      </c>
      <c r="Z39" s="99">
        <v>13</v>
      </c>
      <c r="AA39" s="99" t="s">
        <v>916</v>
      </c>
      <c r="AB39" s="99" t="s">
        <v>916</v>
      </c>
      <c r="AC39" s="99" t="s">
        <v>916</v>
      </c>
      <c r="AD39" s="98" t="s">
        <v>158</v>
      </c>
      <c r="AE39" s="100">
        <v>0.1005453306066803</v>
      </c>
      <c r="AF39" s="100">
        <v>0.26</v>
      </c>
      <c r="AG39" s="98" t="s">
        <v>916</v>
      </c>
      <c r="AH39" s="98" t="s">
        <v>916</v>
      </c>
      <c r="AI39" s="100">
        <v>0.0075</v>
      </c>
      <c r="AJ39" s="100">
        <v>0.583893</v>
      </c>
      <c r="AK39" s="100">
        <v>0.556</v>
      </c>
      <c r="AL39" s="100">
        <v>0.661406</v>
      </c>
      <c r="AM39" s="100">
        <v>0.306773</v>
      </c>
      <c r="AN39" s="100">
        <v>0.307692</v>
      </c>
      <c r="AO39" s="98">
        <v>954.3285616905249</v>
      </c>
      <c r="AP39" s="157">
        <v>0.5789</v>
      </c>
      <c r="AQ39" s="100" t="s">
        <v>916</v>
      </c>
      <c r="AR39" s="100" t="s">
        <v>916</v>
      </c>
      <c r="AS39" s="98">
        <v>374.9147920927062</v>
      </c>
      <c r="AT39" s="98" t="s">
        <v>916</v>
      </c>
      <c r="AU39" s="98" t="s">
        <v>916</v>
      </c>
      <c r="AV39" s="98" t="s">
        <v>916</v>
      </c>
      <c r="AW39" s="98" t="s">
        <v>916</v>
      </c>
      <c r="AX39" s="98">
        <v>340.83162917518746</v>
      </c>
      <c r="AY39" s="98">
        <v>579.4137695978187</v>
      </c>
      <c r="AZ39" s="98">
        <v>443.0811179277437</v>
      </c>
      <c r="BA39" s="100" t="s">
        <v>916</v>
      </c>
      <c r="BB39" s="100" t="s">
        <v>916</v>
      </c>
      <c r="BC39" s="100" t="s">
        <v>916</v>
      </c>
      <c r="BD39" s="157">
        <v>0.3847</v>
      </c>
      <c r="BE39" s="157">
        <v>0.8367</v>
      </c>
      <c r="BF39" s="161">
        <v>298</v>
      </c>
      <c r="BG39" s="161">
        <v>250</v>
      </c>
      <c r="BH39" s="161">
        <v>697</v>
      </c>
      <c r="BI39" s="161">
        <v>251</v>
      </c>
      <c r="BJ39" s="161">
        <v>169</v>
      </c>
      <c r="BK39" s="97"/>
      <c r="BL39" s="97"/>
      <c r="BM39" s="97"/>
      <c r="BN39" s="97"/>
    </row>
    <row r="40" spans="1:66" ht="12.75">
      <c r="A40" s="79" t="s">
        <v>315</v>
      </c>
      <c r="B40" s="79" t="s">
        <v>139</v>
      </c>
      <c r="C40" s="79" t="s">
        <v>367</v>
      </c>
      <c r="D40" s="99">
        <v>2129</v>
      </c>
      <c r="E40" s="99">
        <v>271</v>
      </c>
      <c r="F40" s="99" t="s">
        <v>177</v>
      </c>
      <c r="G40" s="99">
        <v>6</v>
      </c>
      <c r="H40" s="99" t="s">
        <v>916</v>
      </c>
      <c r="I40" s="99">
        <v>28</v>
      </c>
      <c r="J40" s="99">
        <v>109</v>
      </c>
      <c r="K40" s="99" t="s">
        <v>916</v>
      </c>
      <c r="L40" s="99">
        <v>334</v>
      </c>
      <c r="M40" s="99">
        <v>57</v>
      </c>
      <c r="N40" s="99">
        <v>33</v>
      </c>
      <c r="O40" s="99">
        <v>12</v>
      </c>
      <c r="P40" s="158">
        <v>12</v>
      </c>
      <c r="Q40" s="99" t="s">
        <v>916</v>
      </c>
      <c r="R40" s="99" t="s">
        <v>916</v>
      </c>
      <c r="S40" s="99" t="s">
        <v>916</v>
      </c>
      <c r="T40" s="99" t="s">
        <v>916</v>
      </c>
      <c r="U40" s="99" t="s">
        <v>916</v>
      </c>
      <c r="V40" s="99" t="s">
        <v>916</v>
      </c>
      <c r="W40" s="99" t="s">
        <v>916</v>
      </c>
      <c r="X40" s="99">
        <v>6</v>
      </c>
      <c r="Y40" s="99">
        <v>6</v>
      </c>
      <c r="Z40" s="99">
        <v>13</v>
      </c>
      <c r="AA40" s="99" t="s">
        <v>916</v>
      </c>
      <c r="AB40" s="99" t="s">
        <v>916</v>
      </c>
      <c r="AC40" s="99" t="s">
        <v>916</v>
      </c>
      <c r="AD40" s="98" t="s">
        <v>158</v>
      </c>
      <c r="AE40" s="100">
        <v>0.12728980742132456</v>
      </c>
      <c r="AF40" s="100">
        <v>0.28</v>
      </c>
      <c r="AG40" s="98">
        <v>281.82245185533117</v>
      </c>
      <c r="AH40" s="98" t="s">
        <v>916</v>
      </c>
      <c r="AI40" s="100">
        <v>0.0132</v>
      </c>
      <c r="AJ40" s="100">
        <v>0.60221</v>
      </c>
      <c r="AK40" s="100" t="s">
        <v>916</v>
      </c>
      <c r="AL40" s="100">
        <v>0.676113</v>
      </c>
      <c r="AM40" s="100">
        <v>0.365385</v>
      </c>
      <c r="AN40" s="100">
        <v>0.34375</v>
      </c>
      <c r="AO40" s="98">
        <v>563.6449037106623</v>
      </c>
      <c r="AP40" s="157">
        <v>0.3297</v>
      </c>
      <c r="AQ40" s="100" t="s">
        <v>916</v>
      </c>
      <c r="AR40" s="100" t="s">
        <v>916</v>
      </c>
      <c r="AS40" s="98" t="s">
        <v>916</v>
      </c>
      <c r="AT40" s="98" t="s">
        <v>916</v>
      </c>
      <c r="AU40" s="98" t="s">
        <v>916</v>
      </c>
      <c r="AV40" s="98" t="s">
        <v>916</v>
      </c>
      <c r="AW40" s="98" t="s">
        <v>916</v>
      </c>
      <c r="AX40" s="98">
        <v>281.82245185533117</v>
      </c>
      <c r="AY40" s="98">
        <v>281.82245185533117</v>
      </c>
      <c r="AZ40" s="98">
        <v>610.6153123532175</v>
      </c>
      <c r="BA40" s="100" t="s">
        <v>916</v>
      </c>
      <c r="BB40" s="100" t="s">
        <v>916</v>
      </c>
      <c r="BC40" s="100" t="s">
        <v>916</v>
      </c>
      <c r="BD40" s="157">
        <v>0.1704</v>
      </c>
      <c r="BE40" s="157">
        <v>0.5760000000000001</v>
      </c>
      <c r="BF40" s="161">
        <v>181</v>
      </c>
      <c r="BG40" s="161" t="s">
        <v>916</v>
      </c>
      <c r="BH40" s="161">
        <v>494</v>
      </c>
      <c r="BI40" s="161">
        <v>156</v>
      </c>
      <c r="BJ40" s="161">
        <v>96</v>
      </c>
      <c r="BK40" s="97"/>
      <c r="BL40" s="97"/>
      <c r="BM40" s="97"/>
      <c r="BN40" s="97"/>
    </row>
    <row r="41" spans="1:66" ht="12.75">
      <c r="A41" s="79" t="s">
        <v>921</v>
      </c>
      <c r="B41" s="79" t="s">
        <v>104</v>
      </c>
      <c r="C41" s="79" t="s">
        <v>367</v>
      </c>
      <c r="D41" s="99">
        <v>5434</v>
      </c>
      <c r="E41" s="99">
        <v>911</v>
      </c>
      <c r="F41" s="99" t="s">
        <v>177</v>
      </c>
      <c r="G41" s="99">
        <v>18</v>
      </c>
      <c r="H41" s="99">
        <v>10</v>
      </c>
      <c r="I41" s="99">
        <v>105</v>
      </c>
      <c r="J41" s="99">
        <v>395</v>
      </c>
      <c r="K41" s="99">
        <v>384</v>
      </c>
      <c r="L41" s="99">
        <v>955</v>
      </c>
      <c r="M41" s="99">
        <v>299</v>
      </c>
      <c r="N41" s="99">
        <v>162</v>
      </c>
      <c r="O41" s="99">
        <v>110</v>
      </c>
      <c r="P41" s="158">
        <v>110</v>
      </c>
      <c r="Q41" s="99">
        <v>12</v>
      </c>
      <c r="R41" s="99">
        <v>30</v>
      </c>
      <c r="S41" s="99">
        <v>26</v>
      </c>
      <c r="T41" s="99">
        <v>19</v>
      </c>
      <c r="U41" s="99" t="s">
        <v>916</v>
      </c>
      <c r="V41" s="99">
        <v>17</v>
      </c>
      <c r="W41" s="99">
        <v>30</v>
      </c>
      <c r="X41" s="99">
        <v>34</v>
      </c>
      <c r="Y41" s="99">
        <v>57</v>
      </c>
      <c r="Z41" s="99">
        <v>26</v>
      </c>
      <c r="AA41" s="99">
        <v>12</v>
      </c>
      <c r="AB41" s="99" t="s">
        <v>916</v>
      </c>
      <c r="AC41" s="99" t="s">
        <v>916</v>
      </c>
      <c r="AD41" s="98" t="s">
        <v>158</v>
      </c>
      <c r="AE41" s="100">
        <v>0.16764814133235187</v>
      </c>
      <c r="AF41" s="100">
        <v>0.3</v>
      </c>
      <c r="AG41" s="98">
        <v>331.2476996687523</v>
      </c>
      <c r="AH41" s="98">
        <v>184.0264998159735</v>
      </c>
      <c r="AI41" s="100">
        <v>0.019299999999999998</v>
      </c>
      <c r="AJ41" s="100">
        <v>0.679862</v>
      </c>
      <c r="AK41" s="100">
        <v>0.70073</v>
      </c>
      <c r="AL41" s="100">
        <v>0.753749</v>
      </c>
      <c r="AM41" s="100">
        <v>0.544627</v>
      </c>
      <c r="AN41" s="100">
        <v>0.504673</v>
      </c>
      <c r="AO41" s="98">
        <v>2024.2914979757086</v>
      </c>
      <c r="AP41" s="157">
        <v>1.0627</v>
      </c>
      <c r="AQ41" s="100">
        <v>0.10909090909090909</v>
      </c>
      <c r="AR41" s="100">
        <v>0.4</v>
      </c>
      <c r="AS41" s="98">
        <v>478.4688995215311</v>
      </c>
      <c r="AT41" s="98">
        <v>349.65034965034965</v>
      </c>
      <c r="AU41" s="98" t="s">
        <v>916</v>
      </c>
      <c r="AV41" s="98">
        <v>312.8450496871549</v>
      </c>
      <c r="AW41" s="98">
        <v>552.0794994479205</v>
      </c>
      <c r="AX41" s="98">
        <v>625.6900993743099</v>
      </c>
      <c r="AY41" s="98">
        <v>1048.951048951049</v>
      </c>
      <c r="AZ41" s="98">
        <v>478.4688995215311</v>
      </c>
      <c r="BA41" s="100">
        <v>0.42857142857142855</v>
      </c>
      <c r="BB41" s="100" t="s">
        <v>916</v>
      </c>
      <c r="BC41" s="100" t="s">
        <v>916</v>
      </c>
      <c r="BD41" s="157">
        <v>0.8734000000000001</v>
      </c>
      <c r="BE41" s="157">
        <v>1.2808000000000002</v>
      </c>
      <c r="BF41" s="161">
        <v>581</v>
      </c>
      <c r="BG41" s="161">
        <v>548</v>
      </c>
      <c r="BH41" s="161">
        <v>1267</v>
      </c>
      <c r="BI41" s="161">
        <v>549</v>
      </c>
      <c r="BJ41" s="161">
        <v>321</v>
      </c>
      <c r="BK41" s="97"/>
      <c r="BL41" s="97"/>
      <c r="BM41" s="97"/>
      <c r="BN41" s="97"/>
    </row>
    <row r="42" spans="1:66" ht="12.75">
      <c r="A42" s="79" t="s">
        <v>296</v>
      </c>
      <c r="B42" s="79" t="s">
        <v>110</v>
      </c>
      <c r="C42" s="79" t="s">
        <v>367</v>
      </c>
      <c r="D42" s="99">
        <v>3520</v>
      </c>
      <c r="E42" s="99">
        <v>661</v>
      </c>
      <c r="F42" s="99" t="s">
        <v>177</v>
      </c>
      <c r="G42" s="99">
        <v>18</v>
      </c>
      <c r="H42" s="99">
        <v>10</v>
      </c>
      <c r="I42" s="99">
        <v>58</v>
      </c>
      <c r="J42" s="99">
        <v>280</v>
      </c>
      <c r="K42" s="99">
        <v>245</v>
      </c>
      <c r="L42" s="99">
        <v>539</v>
      </c>
      <c r="M42" s="99">
        <v>155</v>
      </c>
      <c r="N42" s="99">
        <v>75</v>
      </c>
      <c r="O42" s="99">
        <v>44</v>
      </c>
      <c r="P42" s="158">
        <v>44</v>
      </c>
      <c r="Q42" s="99">
        <v>6</v>
      </c>
      <c r="R42" s="99">
        <v>18</v>
      </c>
      <c r="S42" s="99">
        <v>10</v>
      </c>
      <c r="T42" s="99">
        <v>13</v>
      </c>
      <c r="U42" s="99" t="s">
        <v>916</v>
      </c>
      <c r="V42" s="99" t="s">
        <v>916</v>
      </c>
      <c r="W42" s="99">
        <v>12</v>
      </c>
      <c r="X42" s="99">
        <v>30</v>
      </c>
      <c r="Y42" s="99">
        <v>19</v>
      </c>
      <c r="Z42" s="99">
        <v>36</v>
      </c>
      <c r="AA42" s="99" t="s">
        <v>916</v>
      </c>
      <c r="AB42" s="99" t="s">
        <v>916</v>
      </c>
      <c r="AC42" s="99" t="s">
        <v>916</v>
      </c>
      <c r="AD42" s="98" t="s">
        <v>158</v>
      </c>
      <c r="AE42" s="100">
        <v>0.1877840909090909</v>
      </c>
      <c r="AF42" s="100">
        <v>0.31</v>
      </c>
      <c r="AG42" s="98">
        <v>511.3636363636364</v>
      </c>
      <c r="AH42" s="98">
        <v>284.09090909090907</v>
      </c>
      <c r="AI42" s="100">
        <v>0.0165</v>
      </c>
      <c r="AJ42" s="100">
        <v>0.75067</v>
      </c>
      <c r="AK42" s="100">
        <v>0.684358</v>
      </c>
      <c r="AL42" s="100">
        <v>0.716755</v>
      </c>
      <c r="AM42" s="100">
        <v>0.444126</v>
      </c>
      <c r="AN42" s="100">
        <v>0.360577</v>
      </c>
      <c r="AO42" s="98">
        <v>1250</v>
      </c>
      <c r="AP42" s="157">
        <v>0.6446</v>
      </c>
      <c r="AQ42" s="100">
        <v>0.13636363636363635</v>
      </c>
      <c r="AR42" s="100">
        <v>0.3333333333333333</v>
      </c>
      <c r="AS42" s="98">
        <v>284.09090909090907</v>
      </c>
      <c r="AT42" s="98">
        <v>369.3181818181818</v>
      </c>
      <c r="AU42" s="98" t="s">
        <v>916</v>
      </c>
      <c r="AV42" s="98" t="s">
        <v>916</v>
      </c>
      <c r="AW42" s="98">
        <v>340.90909090909093</v>
      </c>
      <c r="AX42" s="98">
        <v>852.2727272727273</v>
      </c>
      <c r="AY42" s="98">
        <v>539.7727272727273</v>
      </c>
      <c r="AZ42" s="98">
        <v>1022.7272727272727</v>
      </c>
      <c r="BA42" s="100" t="s">
        <v>916</v>
      </c>
      <c r="BB42" s="100" t="s">
        <v>916</v>
      </c>
      <c r="BC42" s="100" t="s">
        <v>916</v>
      </c>
      <c r="BD42" s="157">
        <v>0.46840000000000004</v>
      </c>
      <c r="BE42" s="157">
        <v>0.8653</v>
      </c>
      <c r="BF42" s="161">
        <v>373</v>
      </c>
      <c r="BG42" s="161">
        <v>358</v>
      </c>
      <c r="BH42" s="161">
        <v>752</v>
      </c>
      <c r="BI42" s="161">
        <v>349</v>
      </c>
      <c r="BJ42" s="161">
        <v>208</v>
      </c>
      <c r="BK42" s="97"/>
      <c r="BL42" s="97"/>
      <c r="BM42" s="97"/>
      <c r="BN42" s="97"/>
    </row>
    <row r="43" spans="1:66" ht="12.75">
      <c r="A43" s="79" t="s">
        <v>268</v>
      </c>
      <c r="B43" s="79" t="s">
        <v>73</v>
      </c>
      <c r="C43" s="79" t="s">
        <v>367</v>
      </c>
      <c r="D43" s="99">
        <v>3212</v>
      </c>
      <c r="E43" s="99">
        <v>247</v>
      </c>
      <c r="F43" s="99" t="s">
        <v>177</v>
      </c>
      <c r="G43" s="99" t="s">
        <v>916</v>
      </c>
      <c r="H43" s="99" t="s">
        <v>916</v>
      </c>
      <c r="I43" s="99">
        <v>10</v>
      </c>
      <c r="J43" s="99">
        <v>126</v>
      </c>
      <c r="K43" s="99" t="s">
        <v>916</v>
      </c>
      <c r="L43" s="99">
        <v>436</v>
      </c>
      <c r="M43" s="99">
        <v>42</v>
      </c>
      <c r="N43" s="99">
        <v>26</v>
      </c>
      <c r="O43" s="99">
        <v>18</v>
      </c>
      <c r="P43" s="158">
        <v>18</v>
      </c>
      <c r="Q43" s="99" t="s">
        <v>916</v>
      </c>
      <c r="R43" s="99" t="s">
        <v>916</v>
      </c>
      <c r="S43" s="99">
        <v>15</v>
      </c>
      <c r="T43" s="99" t="s">
        <v>916</v>
      </c>
      <c r="U43" s="99" t="s">
        <v>916</v>
      </c>
      <c r="V43" s="99" t="s">
        <v>916</v>
      </c>
      <c r="W43" s="99" t="s">
        <v>916</v>
      </c>
      <c r="X43" s="99" t="s">
        <v>916</v>
      </c>
      <c r="Y43" s="99">
        <v>7</v>
      </c>
      <c r="Z43" s="99">
        <v>6</v>
      </c>
      <c r="AA43" s="99" t="s">
        <v>916</v>
      </c>
      <c r="AB43" s="99" t="s">
        <v>916</v>
      </c>
      <c r="AC43" s="99" t="s">
        <v>916</v>
      </c>
      <c r="AD43" s="98" t="s">
        <v>158</v>
      </c>
      <c r="AE43" s="100">
        <v>0.07689912826899128</v>
      </c>
      <c r="AF43" s="100">
        <v>0.39</v>
      </c>
      <c r="AG43" s="98" t="s">
        <v>916</v>
      </c>
      <c r="AH43" s="98" t="s">
        <v>916</v>
      </c>
      <c r="AI43" s="100">
        <v>0.0031</v>
      </c>
      <c r="AJ43" s="100">
        <v>0.538462</v>
      </c>
      <c r="AK43" s="100" t="s">
        <v>916</v>
      </c>
      <c r="AL43" s="100">
        <v>0.63836</v>
      </c>
      <c r="AM43" s="100">
        <v>0.247059</v>
      </c>
      <c r="AN43" s="100">
        <v>0.236364</v>
      </c>
      <c r="AO43" s="98">
        <v>560.3985056039851</v>
      </c>
      <c r="AP43" s="157">
        <v>0.4289</v>
      </c>
      <c r="AQ43" s="100" t="s">
        <v>916</v>
      </c>
      <c r="AR43" s="100" t="s">
        <v>916</v>
      </c>
      <c r="AS43" s="98">
        <v>466.99875466998753</v>
      </c>
      <c r="AT43" s="98" t="s">
        <v>916</v>
      </c>
      <c r="AU43" s="98" t="s">
        <v>916</v>
      </c>
      <c r="AV43" s="98" t="s">
        <v>916</v>
      </c>
      <c r="AW43" s="98" t="s">
        <v>916</v>
      </c>
      <c r="AX43" s="98" t="s">
        <v>916</v>
      </c>
      <c r="AY43" s="98">
        <v>217.9327521793275</v>
      </c>
      <c r="AZ43" s="98">
        <v>186.79950186799502</v>
      </c>
      <c r="BA43" s="100" t="s">
        <v>916</v>
      </c>
      <c r="BB43" s="100" t="s">
        <v>916</v>
      </c>
      <c r="BC43" s="100" t="s">
        <v>916</v>
      </c>
      <c r="BD43" s="157">
        <v>0.25420000000000004</v>
      </c>
      <c r="BE43" s="157">
        <v>0.6778</v>
      </c>
      <c r="BF43" s="161">
        <v>234</v>
      </c>
      <c r="BG43" s="161" t="s">
        <v>916</v>
      </c>
      <c r="BH43" s="161">
        <v>683</v>
      </c>
      <c r="BI43" s="161">
        <v>170</v>
      </c>
      <c r="BJ43" s="161">
        <v>110</v>
      </c>
      <c r="BK43" s="97"/>
      <c r="BL43" s="97"/>
      <c r="BM43" s="97"/>
      <c r="BN43" s="97"/>
    </row>
    <row r="44" spans="1:66" ht="12.75">
      <c r="A44" s="79" t="s">
        <v>270</v>
      </c>
      <c r="B44" s="79" t="s">
        <v>75</v>
      </c>
      <c r="C44" s="79" t="s">
        <v>367</v>
      </c>
      <c r="D44" s="99">
        <v>5591</v>
      </c>
      <c r="E44" s="99">
        <v>431</v>
      </c>
      <c r="F44" s="99" t="s">
        <v>177</v>
      </c>
      <c r="G44" s="99">
        <v>10</v>
      </c>
      <c r="H44" s="99">
        <v>8</v>
      </c>
      <c r="I44" s="99">
        <v>34</v>
      </c>
      <c r="J44" s="99">
        <v>220</v>
      </c>
      <c r="K44" s="99">
        <v>8</v>
      </c>
      <c r="L44" s="99">
        <v>989</v>
      </c>
      <c r="M44" s="99">
        <v>87</v>
      </c>
      <c r="N44" s="99">
        <v>47</v>
      </c>
      <c r="O44" s="99">
        <v>67</v>
      </c>
      <c r="P44" s="158">
        <v>67</v>
      </c>
      <c r="Q44" s="99" t="s">
        <v>916</v>
      </c>
      <c r="R44" s="99">
        <v>18</v>
      </c>
      <c r="S44" s="99">
        <v>19</v>
      </c>
      <c r="T44" s="99">
        <v>11</v>
      </c>
      <c r="U44" s="99" t="s">
        <v>916</v>
      </c>
      <c r="V44" s="99" t="s">
        <v>916</v>
      </c>
      <c r="W44" s="99" t="s">
        <v>916</v>
      </c>
      <c r="X44" s="99">
        <v>19</v>
      </c>
      <c r="Y44" s="99">
        <v>15</v>
      </c>
      <c r="Z44" s="99">
        <v>20</v>
      </c>
      <c r="AA44" s="99" t="s">
        <v>916</v>
      </c>
      <c r="AB44" s="99" t="s">
        <v>916</v>
      </c>
      <c r="AC44" s="99" t="s">
        <v>916</v>
      </c>
      <c r="AD44" s="98" t="s">
        <v>158</v>
      </c>
      <c r="AE44" s="100">
        <v>0.0770881774280093</v>
      </c>
      <c r="AF44" s="100">
        <v>0.36</v>
      </c>
      <c r="AG44" s="98">
        <v>178.85888034340906</v>
      </c>
      <c r="AH44" s="98">
        <v>143.08710427472724</v>
      </c>
      <c r="AI44" s="100">
        <v>0.0060999999999999995</v>
      </c>
      <c r="AJ44" s="100">
        <v>0.607735</v>
      </c>
      <c r="AK44" s="100">
        <v>0.533333</v>
      </c>
      <c r="AL44" s="100">
        <v>0.770249</v>
      </c>
      <c r="AM44" s="100">
        <v>0.345238</v>
      </c>
      <c r="AN44" s="100">
        <v>0.315436</v>
      </c>
      <c r="AO44" s="98">
        <v>1198.3544983008405</v>
      </c>
      <c r="AP44" s="157">
        <v>0.8663</v>
      </c>
      <c r="AQ44" s="100" t="s">
        <v>916</v>
      </c>
      <c r="AR44" s="100" t="s">
        <v>916</v>
      </c>
      <c r="AS44" s="98">
        <v>339.8318726524772</v>
      </c>
      <c r="AT44" s="98">
        <v>196.74476837774995</v>
      </c>
      <c r="AU44" s="98" t="s">
        <v>916</v>
      </c>
      <c r="AV44" s="98" t="s">
        <v>916</v>
      </c>
      <c r="AW44" s="98" t="s">
        <v>916</v>
      </c>
      <c r="AX44" s="98">
        <v>339.8318726524772</v>
      </c>
      <c r="AY44" s="98">
        <v>268.2883205151136</v>
      </c>
      <c r="AZ44" s="98">
        <v>357.7177606868181</v>
      </c>
      <c r="BA44" s="100" t="s">
        <v>916</v>
      </c>
      <c r="BB44" s="100" t="s">
        <v>916</v>
      </c>
      <c r="BC44" s="100" t="s">
        <v>916</v>
      </c>
      <c r="BD44" s="157">
        <v>0.6714</v>
      </c>
      <c r="BE44" s="157">
        <v>1.1002</v>
      </c>
      <c r="BF44" s="161">
        <v>362</v>
      </c>
      <c r="BG44" s="161">
        <v>15</v>
      </c>
      <c r="BH44" s="161">
        <v>1284</v>
      </c>
      <c r="BI44" s="161">
        <v>252</v>
      </c>
      <c r="BJ44" s="161">
        <v>149</v>
      </c>
      <c r="BK44" s="97"/>
      <c r="BL44" s="97"/>
      <c r="BM44" s="97"/>
      <c r="BN44" s="97"/>
    </row>
    <row r="45" spans="1:66" ht="12.75">
      <c r="A45" s="79" t="s">
        <v>259</v>
      </c>
      <c r="B45" s="79" t="s">
        <v>62</v>
      </c>
      <c r="C45" s="79" t="s">
        <v>367</v>
      </c>
      <c r="D45" s="99">
        <v>3301</v>
      </c>
      <c r="E45" s="99">
        <v>303</v>
      </c>
      <c r="F45" s="99" t="s">
        <v>177</v>
      </c>
      <c r="G45" s="99">
        <v>13</v>
      </c>
      <c r="H45" s="99" t="s">
        <v>916</v>
      </c>
      <c r="I45" s="99">
        <v>22</v>
      </c>
      <c r="J45" s="99">
        <v>124</v>
      </c>
      <c r="K45" s="99">
        <v>6</v>
      </c>
      <c r="L45" s="99">
        <v>509</v>
      </c>
      <c r="M45" s="99">
        <v>65</v>
      </c>
      <c r="N45" s="99">
        <v>29</v>
      </c>
      <c r="O45" s="99" t="s">
        <v>916</v>
      </c>
      <c r="P45" s="158" t="s">
        <v>916</v>
      </c>
      <c r="Q45" s="99" t="s">
        <v>916</v>
      </c>
      <c r="R45" s="99">
        <v>8</v>
      </c>
      <c r="S45" s="99" t="s">
        <v>916</v>
      </c>
      <c r="T45" s="99" t="s">
        <v>916</v>
      </c>
      <c r="U45" s="99" t="s">
        <v>916</v>
      </c>
      <c r="V45" s="99" t="s">
        <v>916</v>
      </c>
      <c r="W45" s="99" t="s">
        <v>916</v>
      </c>
      <c r="X45" s="99" t="s">
        <v>916</v>
      </c>
      <c r="Y45" s="99">
        <v>13</v>
      </c>
      <c r="Z45" s="99">
        <v>7</v>
      </c>
      <c r="AA45" s="99" t="s">
        <v>916</v>
      </c>
      <c r="AB45" s="99" t="s">
        <v>916</v>
      </c>
      <c r="AC45" s="99" t="s">
        <v>916</v>
      </c>
      <c r="AD45" s="98" t="s">
        <v>158</v>
      </c>
      <c r="AE45" s="100">
        <v>0.09179036655558921</v>
      </c>
      <c r="AF45" s="100">
        <v>0.33</v>
      </c>
      <c r="AG45" s="98">
        <v>393.82005452893065</v>
      </c>
      <c r="AH45" s="98" t="s">
        <v>916</v>
      </c>
      <c r="AI45" s="100">
        <v>0.0067</v>
      </c>
      <c r="AJ45" s="100">
        <v>0.536797</v>
      </c>
      <c r="AK45" s="100">
        <v>0.545455</v>
      </c>
      <c r="AL45" s="100">
        <v>0.619976</v>
      </c>
      <c r="AM45" s="100">
        <v>0.336788</v>
      </c>
      <c r="AN45" s="100">
        <v>0.287129</v>
      </c>
      <c r="AO45" s="98" t="s">
        <v>916</v>
      </c>
      <c r="AP45" s="157" t="s">
        <v>916</v>
      </c>
      <c r="AQ45" s="100" t="s">
        <v>916</v>
      </c>
      <c r="AR45" s="100" t="s">
        <v>916</v>
      </c>
      <c r="AS45" s="98" t="s">
        <v>916</v>
      </c>
      <c r="AT45" s="98" t="s">
        <v>916</v>
      </c>
      <c r="AU45" s="98" t="s">
        <v>916</v>
      </c>
      <c r="AV45" s="98" t="s">
        <v>916</v>
      </c>
      <c r="AW45" s="98" t="s">
        <v>916</v>
      </c>
      <c r="AX45" s="98" t="s">
        <v>916</v>
      </c>
      <c r="AY45" s="98">
        <v>393.82005452893065</v>
      </c>
      <c r="AZ45" s="98">
        <v>212.05695243865495</v>
      </c>
      <c r="BA45" s="100" t="s">
        <v>916</v>
      </c>
      <c r="BB45" s="100" t="s">
        <v>916</v>
      </c>
      <c r="BC45" s="100" t="s">
        <v>916</v>
      </c>
      <c r="BD45" s="157" t="s">
        <v>916</v>
      </c>
      <c r="BE45" s="157" t="s">
        <v>916</v>
      </c>
      <c r="BF45" s="161">
        <v>231</v>
      </c>
      <c r="BG45" s="161">
        <v>11</v>
      </c>
      <c r="BH45" s="161">
        <v>821</v>
      </c>
      <c r="BI45" s="161">
        <v>193</v>
      </c>
      <c r="BJ45" s="161">
        <v>101</v>
      </c>
      <c r="BK45" s="97"/>
      <c r="BL45" s="97"/>
      <c r="BM45" s="97"/>
      <c r="BN45" s="97"/>
    </row>
    <row r="46" spans="1:66" ht="12.75">
      <c r="A46" s="79" t="s">
        <v>383</v>
      </c>
      <c r="B46" s="79" t="s">
        <v>252</v>
      </c>
      <c r="C46" s="79" t="s">
        <v>367</v>
      </c>
      <c r="D46" s="99">
        <v>3470</v>
      </c>
      <c r="E46" s="99">
        <v>411</v>
      </c>
      <c r="F46" s="99" t="s">
        <v>177</v>
      </c>
      <c r="G46" s="99">
        <v>10</v>
      </c>
      <c r="H46" s="99" t="s">
        <v>916</v>
      </c>
      <c r="I46" s="99">
        <v>27</v>
      </c>
      <c r="J46" s="99">
        <v>192</v>
      </c>
      <c r="K46" s="99" t="s">
        <v>916</v>
      </c>
      <c r="L46" s="99">
        <v>615</v>
      </c>
      <c r="M46" s="99">
        <v>123</v>
      </c>
      <c r="N46" s="99">
        <v>66</v>
      </c>
      <c r="O46" s="99">
        <v>50</v>
      </c>
      <c r="P46" s="158">
        <v>50</v>
      </c>
      <c r="Q46" s="99" t="s">
        <v>916</v>
      </c>
      <c r="R46" s="99">
        <v>12</v>
      </c>
      <c r="S46" s="99">
        <v>22</v>
      </c>
      <c r="T46" s="99">
        <v>7</v>
      </c>
      <c r="U46" s="99" t="s">
        <v>916</v>
      </c>
      <c r="V46" s="99">
        <v>6</v>
      </c>
      <c r="W46" s="99">
        <v>8</v>
      </c>
      <c r="X46" s="99">
        <v>25</v>
      </c>
      <c r="Y46" s="99">
        <v>23</v>
      </c>
      <c r="Z46" s="99">
        <v>16</v>
      </c>
      <c r="AA46" s="99" t="s">
        <v>916</v>
      </c>
      <c r="AB46" s="99" t="s">
        <v>916</v>
      </c>
      <c r="AC46" s="99" t="s">
        <v>916</v>
      </c>
      <c r="AD46" s="98" t="s">
        <v>158</v>
      </c>
      <c r="AE46" s="100">
        <v>0.11844380403458213</v>
      </c>
      <c r="AF46" s="100">
        <v>0.22</v>
      </c>
      <c r="AG46" s="98">
        <v>288.1844380403458</v>
      </c>
      <c r="AH46" s="98" t="s">
        <v>916</v>
      </c>
      <c r="AI46" s="100">
        <v>0.0078000000000000005</v>
      </c>
      <c r="AJ46" s="100">
        <v>0.573134</v>
      </c>
      <c r="AK46" s="100" t="s">
        <v>916</v>
      </c>
      <c r="AL46" s="100">
        <v>0.666306</v>
      </c>
      <c r="AM46" s="100">
        <v>0.452206</v>
      </c>
      <c r="AN46" s="100">
        <v>0.407407</v>
      </c>
      <c r="AO46" s="98">
        <v>1440.922190201729</v>
      </c>
      <c r="AP46" s="157">
        <v>0.8466</v>
      </c>
      <c r="AQ46" s="100" t="s">
        <v>916</v>
      </c>
      <c r="AR46" s="100" t="s">
        <v>916</v>
      </c>
      <c r="AS46" s="98">
        <v>634.0057636887608</v>
      </c>
      <c r="AT46" s="98">
        <v>201.72910662824208</v>
      </c>
      <c r="AU46" s="98" t="s">
        <v>916</v>
      </c>
      <c r="AV46" s="98">
        <v>172.9106628242075</v>
      </c>
      <c r="AW46" s="98">
        <v>230.54755043227667</v>
      </c>
      <c r="AX46" s="98">
        <v>720.4610951008646</v>
      </c>
      <c r="AY46" s="98">
        <v>662.8242074927954</v>
      </c>
      <c r="AZ46" s="98">
        <v>461.09510086455333</v>
      </c>
      <c r="BA46" s="100" t="s">
        <v>916</v>
      </c>
      <c r="BB46" s="100" t="s">
        <v>916</v>
      </c>
      <c r="BC46" s="100" t="s">
        <v>916</v>
      </c>
      <c r="BD46" s="157">
        <v>0.6283</v>
      </c>
      <c r="BE46" s="157">
        <v>1.1161</v>
      </c>
      <c r="BF46" s="161">
        <v>335</v>
      </c>
      <c r="BG46" s="161" t="s">
        <v>916</v>
      </c>
      <c r="BH46" s="161">
        <v>923</v>
      </c>
      <c r="BI46" s="161">
        <v>272</v>
      </c>
      <c r="BJ46" s="161">
        <v>162</v>
      </c>
      <c r="BK46" s="97"/>
      <c r="BL46" s="97"/>
      <c r="BM46" s="97"/>
      <c r="BN46" s="97"/>
    </row>
    <row r="47" spans="1:66" ht="12.75">
      <c r="A47" s="79" t="s">
        <v>380</v>
      </c>
      <c r="B47" s="79" t="s">
        <v>131</v>
      </c>
      <c r="C47" s="79" t="s">
        <v>367</v>
      </c>
      <c r="D47" s="99">
        <v>2874</v>
      </c>
      <c r="E47" s="99">
        <v>425</v>
      </c>
      <c r="F47" s="99" t="s">
        <v>177</v>
      </c>
      <c r="G47" s="99">
        <v>17</v>
      </c>
      <c r="H47" s="99">
        <v>11</v>
      </c>
      <c r="I47" s="99">
        <v>39</v>
      </c>
      <c r="J47" s="99">
        <v>238</v>
      </c>
      <c r="K47" s="99">
        <v>234</v>
      </c>
      <c r="L47" s="99">
        <v>592</v>
      </c>
      <c r="M47" s="99">
        <v>174</v>
      </c>
      <c r="N47" s="99">
        <v>115</v>
      </c>
      <c r="O47" s="99">
        <v>42</v>
      </c>
      <c r="P47" s="158">
        <v>42</v>
      </c>
      <c r="Q47" s="99">
        <v>6</v>
      </c>
      <c r="R47" s="99">
        <v>19</v>
      </c>
      <c r="S47" s="99">
        <v>10</v>
      </c>
      <c r="T47" s="99" t="s">
        <v>916</v>
      </c>
      <c r="U47" s="99" t="s">
        <v>916</v>
      </c>
      <c r="V47" s="99" t="s">
        <v>916</v>
      </c>
      <c r="W47" s="99">
        <v>15</v>
      </c>
      <c r="X47" s="99">
        <v>21</v>
      </c>
      <c r="Y47" s="99">
        <v>25</v>
      </c>
      <c r="Z47" s="99">
        <v>28</v>
      </c>
      <c r="AA47" s="99" t="s">
        <v>916</v>
      </c>
      <c r="AB47" s="99" t="s">
        <v>916</v>
      </c>
      <c r="AC47" s="99" t="s">
        <v>916</v>
      </c>
      <c r="AD47" s="98" t="s">
        <v>158</v>
      </c>
      <c r="AE47" s="100">
        <v>0.14787752261656228</v>
      </c>
      <c r="AF47" s="100">
        <v>0.28</v>
      </c>
      <c r="AG47" s="98">
        <v>591.5100904662492</v>
      </c>
      <c r="AH47" s="98">
        <v>382.7418232428671</v>
      </c>
      <c r="AI47" s="100">
        <v>0.013600000000000001</v>
      </c>
      <c r="AJ47" s="100">
        <v>0.755556</v>
      </c>
      <c r="AK47" s="100">
        <v>0.772277</v>
      </c>
      <c r="AL47" s="100">
        <v>0.882265</v>
      </c>
      <c r="AM47" s="100">
        <v>0.574257</v>
      </c>
      <c r="AN47" s="100">
        <v>0.547619</v>
      </c>
      <c r="AO47" s="98">
        <v>1461.3778705636744</v>
      </c>
      <c r="AP47" s="157">
        <v>0.8039000000000001</v>
      </c>
      <c r="AQ47" s="100">
        <v>0.14285714285714285</v>
      </c>
      <c r="AR47" s="100">
        <v>0.3157894736842105</v>
      </c>
      <c r="AS47" s="98">
        <v>347.9471120389701</v>
      </c>
      <c r="AT47" s="98" t="s">
        <v>916</v>
      </c>
      <c r="AU47" s="98" t="s">
        <v>916</v>
      </c>
      <c r="AV47" s="98" t="s">
        <v>916</v>
      </c>
      <c r="AW47" s="98">
        <v>521.9206680584551</v>
      </c>
      <c r="AX47" s="98">
        <v>730.6889352818372</v>
      </c>
      <c r="AY47" s="98">
        <v>869.8677800974252</v>
      </c>
      <c r="AZ47" s="98">
        <v>974.2519137091163</v>
      </c>
      <c r="BA47" s="100" t="s">
        <v>916</v>
      </c>
      <c r="BB47" s="100" t="s">
        <v>916</v>
      </c>
      <c r="BC47" s="100" t="s">
        <v>916</v>
      </c>
      <c r="BD47" s="157">
        <v>0.5794</v>
      </c>
      <c r="BE47" s="157">
        <v>1.0866</v>
      </c>
      <c r="BF47" s="161">
        <v>315</v>
      </c>
      <c r="BG47" s="161">
        <v>303</v>
      </c>
      <c r="BH47" s="161">
        <v>671</v>
      </c>
      <c r="BI47" s="161">
        <v>303</v>
      </c>
      <c r="BJ47" s="161">
        <v>210</v>
      </c>
      <c r="BK47" s="97"/>
      <c r="BL47" s="97"/>
      <c r="BM47" s="97"/>
      <c r="BN47" s="97"/>
    </row>
    <row r="48" spans="1:66" ht="12.75">
      <c r="A48" s="79" t="s">
        <v>295</v>
      </c>
      <c r="B48" s="79" t="s">
        <v>108</v>
      </c>
      <c r="C48" s="79" t="s">
        <v>367</v>
      </c>
      <c r="D48" s="99">
        <v>9460</v>
      </c>
      <c r="E48" s="99">
        <v>1698</v>
      </c>
      <c r="F48" s="99" t="s">
        <v>179</v>
      </c>
      <c r="G48" s="99">
        <v>53</v>
      </c>
      <c r="H48" s="99">
        <v>18</v>
      </c>
      <c r="I48" s="99">
        <v>133</v>
      </c>
      <c r="J48" s="99">
        <v>923</v>
      </c>
      <c r="K48" s="99">
        <v>9</v>
      </c>
      <c r="L48" s="99">
        <v>1776</v>
      </c>
      <c r="M48" s="99">
        <v>534</v>
      </c>
      <c r="N48" s="99">
        <v>300</v>
      </c>
      <c r="O48" s="99">
        <v>200</v>
      </c>
      <c r="P48" s="158">
        <v>200</v>
      </c>
      <c r="Q48" s="99">
        <v>15</v>
      </c>
      <c r="R48" s="99">
        <v>39</v>
      </c>
      <c r="S48" s="99">
        <v>56</v>
      </c>
      <c r="T48" s="99">
        <v>49</v>
      </c>
      <c r="U48" s="99" t="s">
        <v>916</v>
      </c>
      <c r="V48" s="99">
        <v>24</v>
      </c>
      <c r="W48" s="99">
        <v>39</v>
      </c>
      <c r="X48" s="99">
        <v>80</v>
      </c>
      <c r="Y48" s="99">
        <v>71</v>
      </c>
      <c r="Z48" s="99">
        <v>43</v>
      </c>
      <c r="AA48" s="99">
        <v>8</v>
      </c>
      <c r="AB48" s="99">
        <v>18</v>
      </c>
      <c r="AC48" s="99">
        <v>10</v>
      </c>
      <c r="AD48" s="98" t="s">
        <v>158</v>
      </c>
      <c r="AE48" s="100">
        <v>0.179492600422833</v>
      </c>
      <c r="AF48" s="100">
        <v>0.13</v>
      </c>
      <c r="AG48" s="98">
        <v>560.2536997885835</v>
      </c>
      <c r="AH48" s="98">
        <v>190.27484143763215</v>
      </c>
      <c r="AI48" s="100">
        <v>0.0141</v>
      </c>
      <c r="AJ48" s="100">
        <v>0.807524</v>
      </c>
      <c r="AK48" s="100">
        <v>0.5625</v>
      </c>
      <c r="AL48" s="100">
        <v>0.732371</v>
      </c>
      <c r="AM48" s="100">
        <v>0.546571</v>
      </c>
      <c r="AN48" s="100">
        <v>0.506757</v>
      </c>
      <c r="AO48" s="98">
        <v>2114.164904862579</v>
      </c>
      <c r="AP48" s="157">
        <v>1.0242</v>
      </c>
      <c r="AQ48" s="100">
        <v>0.075</v>
      </c>
      <c r="AR48" s="100">
        <v>0.38461538461538464</v>
      </c>
      <c r="AS48" s="98">
        <v>591.9661733615222</v>
      </c>
      <c r="AT48" s="98">
        <v>517.970401691332</v>
      </c>
      <c r="AU48" s="98" t="s">
        <v>916</v>
      </c>
      <c r="AV48" s="98">
        <v>253.6997885835095</v>
      </c>
      <c r="AW48" s="98">
        <v>412.262156448203</v>
      </c>
      <c r="AX48" s="98">
        <v>845.6659619450318</v>
      </c>
      <c r="AY48" s="98">
        <v>750.5285412262157</v>
      </c>
      <c r="AZ48" s="98">
        <v>454.54545454545456</v>
      </c>
      <c r="BA48" s="100">
        <v>0.2222222222222222</v>
      </c>
      <c r="BB48" s="100">
        <v>0.5</v>
      </c>
      <c r="BC48" s="100">
        <v>0.2777777777777778</v>
      </c>
      <c r="BD48" s="157">
        <v>0.8872</v>
      </c>
      <c r="BE48" s="157">
        <v>1.1765</v>
      </c>
      <c r="BF48" s="161">
        <v>1143</v>
      </c>
      <c r="BG48" s="161">
        <v>16</v>
      </c>
      <c r="BH48" s="161">
        <v>2425</v>
      </c>
      <c r="BI48" s="161">
        <v>977</v>
      </c>
      <c r="BJ48" s="161">
        <v>592</v>
      </c>
      <c r="BK48" s="97"/>
      <c r="BL48" s="97"/>
      <c r="BM48" s="97"/>
      <c r="BN48" s="97"/>
    </row>
    <row r="49" spans="1:66" ht="12.75">
      <c r="A49" s="79" t="s">
        <v>285</v>
      </c>
      <c r="B49" s="79" t="s">
        <v>94</v>
      </c>
      <c r="C49" s="79" t="s">
        <v>367</v>
      </c>
      <c r="D49" s="99">
        <v>2702</v>
      </c>
      <c r="E49" s="99">
        <v>339</v>
      </c>
      <c r="F49" s="99" t="s">
        <v>179</v>
      </c>
      <c r="G49" s="99">
        <v>13</v>
      </c>
      <c r="H49" s="99" t="s">
        <v>916</v>
      </c>
      <c r="I49" s="99">
        <v>31</v>
      </c>
      <c r="J49" s="99">
        <v>241</v>
      </c>
      <c r="K49" s="99">
        <v>33</v>
      </c>
      <c r="L49" s="99">
        <v>514</v>
      </c>
      <c r="M49" s="99">
        <v>117</v>
      </c>
      <c r="N49" s="99">
        <v>76</v>
      </c>
      <c r="O49" s="99">
        <v>22</v>
      </c>
      <c r="P49" s="158">
        <v>22</v>
      </c>
      <c r="Q49" s="99">
        <v>6</v>
      </c>
      <c r="R49" s="99">
        <v>9</v>
      </c>
      <c r="S49" s="99">
        <v>8</v>
      </c>
      <c r="T49" s="99">
        <v>6</v>
      </c>
      <c r="U49" s="99" t="s">
        <v>916</v>
      </c>
      <c r="V49" s="99">
        <v>6</v>
      </c>
      <c r="W49" s="99">
        <v>9</v>
      </c>
      <c r="X49" s="99">
        <v>13</v>
      </c>
      <c r="Y49" s="99">
        <v>8</v>
      </c>
      <c r="Z49" s="99">
        <v>8</v>
      </c>
      <c r="AA49" s="99" t="s">
        <v>916</v>
      </c>
      <c r="AB49" s="99" t="s">
        <v>916</v>
      </c>
      <c r="AC49" s="99" t="s">
        <v>916</v>
      </c>
      <c r="AD49" s="98" t="s">
        <v>158</v>
      </c>
      <c r="AE49" s="100">
        <v>0.12546262028127314</v>
      </c>
      <c r="AF49" s="100">
        <v>0.12</v>
      </c>
      <c r="AG49" s="98">
        <v>481.12509252405624</v>
      </c>
      <c r="AH49" s="98" t="s">
        <v>916</v>
      </c>
      <c r="AI49" s="100">
        <v>0.0115</v>
      </c>
      <c r="AJ49" s="100">
        <v>0.811448</v>
      </c>
      <c r="AK49" s="100">
        <v>0.52381</v>
      </c>
      <c r="AL49" s="100">
        <v>0.740634</v>
      </c>
      <c r="AM49" s="100">
        <v>0.473684</v>
      </c>
      <c r="AN49" s="100">
        <v>0.496732</v>
      </c>
      <c r="AO49" s="98">
        <v>814.2116950407105</v>
      </c>
      <c r="AP49" s="157">
        <v>0.4681</v>
      </c>
      <c r="AQ49" s="100">
        <v>0.2727272727272727</v>
      </c>
      <c r="AR49" s="100">
        <v>0.6666666666666666</v>
      </c>
      <c r="AS49" s="98">
        <v>296.07698001480384</v>
      </c>
      <c r="AT49" s="98">
        <v>222.0577350111029</v>
      </c>
      <c r="AU49" s="98" t="s">
        <v>916</v>
      </c>
      <c r="AV49" s="98">
        <v>222.0577350111029</v>
      </c>
      <c r="AW49" s="98">
        <v>333.08660251665435</v>
      </c>
      <c r="AX49" s="98">
        <v>481.12509252405624</v>
      </c>
      <c r="AY49" s="98">
        <v>296.07698001480384</v>
      </c>
      <c r="AZ49" s="98">
        <v>296.07698001480384</v>
      </c>
      <c r="BA49" s="100" t="s">
        <v>916</v>
      </c>
      <c r="BB49" s="100" t="s">
        <v>916</v>
      </c>
      <c r="BC49" s="100" t="s">
        <v>916</v>
      </c>
      <c r="BD49" s="157">
        <v>0.2933</v>
      </c>
      <c r="BE49" s="157">
        <v>0.7087</v>
      </c>
      <c r="BF49" s="161">
        <v>297</v>
      </c>
      <c r="BG49" s="161">
        <v>63</v>
      </c>
      <c r="BH49" s="161">
        <v>694</v>
      </c>
      <c r="BI49" s="161">
        <v>247</v>
      </c>
      <c r="BJ49" s="161">
        <v>153</v>
      </c>
      <c r="BK49" s="97"/>
      <c r="BL49" s="97"/>
      <c r="BM49" s="97"/>
      <c r="BN49" s="97"/>
    </row>
    <row r="50" spans="1:66" ht="12.75">
      <c r="A50" s="79" t="s">
        <v>923</v>
      </c>
      <c r="B50" s="79" t="s">
        <v>133</v>
      </c>
      <c r="C50" s="79" t="s">
        <v>367</v>
      </c>
      <c r="D50" s="99">
        <v>8926</v>
      </c>
      <c r="E50" s="99">
        <v>1299</v>
      </c>
      <c r="F50" s="99" t="s">
        <v>177</v>
      </c>
      <c r="G50" s="99">
        <v>39</v>
      </c>
      <c r="H50" s="99">
        <v>20</v>
      </c>
      <c r="I50" s="99">
        <v>94</v>
      </c>
      <c r="J50" s="99">
        <v>520</v>
      </c>
      <c r="K50" s="99">
        <v>505</v>
      </c>
      <c r="L50" s="99">
        <v>1454</v>
      </c>
      <c r="M50" s="99">
        <v>248</v>
      </c>
      <c r="N50" s="99">
        <v>149</v>
      </c>
      <c r="O50" s="99">
        <v>170</v>
      </c>
      <c r="P50" s="158">
        <v>170</v>
      </c>
      <c r="Q50" s="99">
        <v>16</v>
      </c>
      <c r="R50" s="99">
        <v>36</v>
      </c>
      <c r="S50" s="99">
        <v>41</v>
      </c>
      <c r="T50" s="99">
        <v>34</v>
      </c>
      <c r="U50" s="99" t="s">
        <v>916</v>
      </c>
      <c r="V50" s="99">
        <v>19</v>
      </c>
      <c r="W50" s="99">
        <v>21</v>
      </c>
      <c r="X50" s="99">
        <v>81</v>
      </c>
      <c r="Y50" s="99">
        <v>87</v>
      </c>
      <c r="Z50" s="99">
        <v>53</v>
      </c>
      <c r="AA50" s="99">
        <v>6</v>
      </c>
      <c r="AB50" s="99">
        <v>23</v>
      </c>
      <c r="AC50" s="99">
        <v>14</v>
      </c>
      <c r="AD50" s="98" t="s">
        <v>158</v>
      </c>
      <c r="AE50" s="100">
        <v>0.14552991261483308</v>
      </c>
      <c r="AF50" s="100">
        <v>0.28</v>
      </c>
      <c r="AG50" s="98">
        <v>436.9258346403764</v>
      </c>
      <c r="AH50" s="98">
        <v>224.06453058480844</v>
      </c>
      <c r="AI50" s="100">
        <v>0.0105</v>
      </c>
      <c r="AJ50" s="100">
        <v>0.633374</v>
      </c>
      <c r="AK50" s="100">
        <v>0.629676</v>
      </c>
      <c r="AL50" s="100">
        <v>0.689753</v>
      </c>
      <c r="AM50" s="100">
        <v>0.350282</v>
      </c>
      <c r="AN50" s="100">
        <v>0.329646</v>
      </c>
      <c r="AO50" s="98">
        <v>1904.5485099708717</v>
      </c>
      <c r="AP50" s="157">
        <v>1.0476</v>
      </c>
      <c r="AQ50" s="100">
        <v>0.09411764705882353</v>
      </c>
      <c r="AR50" s="100">
        <v>0.4444444444444444</v>
      </c>
      <c r="AS50" s="98">
        <v>459.3322876988573</v>
      </c>
      <c r="AT50" s="98">
        <v>380.9097019941743</v>
      </c>
      <c r="AU50" s="98" t="s">
        <v>916</v>
      </c>
      <c r="AV50" s="98">
        <v>212.861304055568</v>
      </c>
      <c r="AW50" s="98">
        <v>235.26775711404883</v>
      </c>
      <c r="AX50" s="98">
        <v>907.4613488684741</v>
      </c>
      <c r="AY50" s="98">
        <v>974.6807080439166</v>
      </c>
      <c r="AZ50" s="98">
        <v>593.7710060497424</v>
      </c>
      <c r="BA50" s="100">
        <v>0.13953488372093023</v>
      </c>
      <c r="BB50" s="100">
        <v>0.5348837209302325</v>
      </c>
      <c r="BC50" s="100">
        <v>0.32558139534883723</v>
      </c>
      <c r="BD50" s="157">
        <v>0.8959999999999999</v>
      </c>
      <c r="BE50" s="157">
        <v>1.2174</v>
      </c>
      <c r="BF50" s="161">
        <v>821</v>
      </c>
      <c r="BG50" s="161">
        <v>802</v>
      </c>
      <c r="BH50" s="161">
        <v>2108</v>
      </c>
      <c r="BI50" s="161">
        <v>708</v>
      </c>
      <c r="BJ50" s="161">
        <v>452</v>
      </c>
      <c r="BK50" s="97"/>
      <c r="BL50" s="97"/>
      <c r="BM50" s="97"/>
      <c r="BN50" s="97"/>
    </row>
    <row r="51" spans="1:66" ht="12.75">
      <c r="A51" s="79" t="s">
        <v>257</v>
      </c>
      <c r="B51" s="79" t="s">
        <v>59</v>
      </c>
      <c r="C51" s="79" t="s">
        <v>367</v>
      </c>
      <c r="D51" s="99">
        <v>2276</v>
      </c>
      <c r="E51" s="99">
        <v>307</v>
      </c>
      <c r="F51" s="99" t="s">
        <v>177</v>
      </c>
      <c r="G51" s="99" t="s">
        <v>916</v>
      </c>
      <c r="H51" s="99" t="s">
        <v>916</v>
      </c>
      <c r="I51" s="99">
        <v>14</v>
      </c>
      <c r="J51" s="99">
        <v>173</v>
      </c>
      <c r="K51" s="99" t="s">
        <v>916</v>
      </c>
      <c r="L51" s="99">
        <v>353</v>
      </c>
      <c r="M51" s="99">
        <v>51</v>
      </c>
      <c r="N51" s="99">
        <v>31</v>
      </c>
      <c r="O51" s="99">
        <v>8</v>
      </c>
      <c r="P51" s="158">
        <v>8</v>
      </c>
      <c r="Q51" s="99" t="s">
        <v>916</v>
      </c>
      <c r="R51" s="99">
        <v>6</v>
      </c>
      <c r="S51" s="99" t="s">
        <v>916</v>
      </c>
      <c r="T51" s="99" t="s">
        <v>916</v>
      </c>
      <c r="U51" s="99" t="s">
        <v>916</v>
      </c>
      <c r="V51" s="99" t="s">
        <v>916</v>
      </c>
      <c r="W51" s="99" t="s">
        <v>916</v>
      </c>
      <c r="X51" s="99">
        <v>11</v>
      </c>
      <c r="Y51" s="99" t="s">
        <v>916</v>
      </c>
      <c r="Z51" s="99" t="s">
        <v>916</v>
      </c>
      <c r="AA51" s="99" t="s">
        <v>916</v>
      </c>
      <c r="AB51" s="99" t="s">
        <v>916</v>
      </c>
      <c r="AC51" s="99" t="s">
        <v>916</v>
      </c>
      <c r="AD51" s="98" t="s">
        <v>158</v>
      </c>
      <c r="AE51" s="100">
        <v>0.13488576449912126</v>
      </c>
      <c r="AF51" s="100">
        <v>0.29</v>
      </c>
      <c r="AG51" s="98" t="s">
        <v>916</v>
      </c>
      <c r="AH51" s="98" t="s">
        <v>916</v>
      </c>
      <c r="AI51" s="100">
        <v>0.0062</v>
      </c>
      <c r="AJ51" s="100">
        <v>0.703252</v>
      </c>
      <c r="AK51" s="100" t="s">
        <v>916</v>
      </c>
      <c r="AL51" s="100">
        <v>0.651292</v>
      </c>
      <c r="AM51" s="100">
        <v>0.251232</v>
      </c>
      <c r="AN51" s="100">
        <v>0.252033</v>
      </c>
      <c r="AO51" s="98">
        <v>351.493848857645</v>
      </c>
      <c r="AP51" s="157">
        <v>0.1937</v>
      </c>
      <c r="AQ51" s="100" t="s">
        <v>916</v>
      </c>
      <c r="AR51" s="100" t="s">
        <v>916</v>
      </c>
      <c r="AS51" s="98" t="s">
        <v>916</v>
      </c>
      <c r="AT51" s="98" t="s">
        <v>916</v>
      </c>
      <c r="AU51" s="98" t="s">
        <v>916</v>
      </c>
      <c r="AV51" s="98" t="s">
        <v>916</v>
      </c>
      <c r="AW51" s="98" t="s">
        <v>916</v>
      </c>
      <c r="AX51" s="98">
        <v>483.30404217926184</v>
      </c>
      <c r="AY51" s="98" t="s">
        <v>916</v>
      </c>
      <c r="AZ51" s="98" t="s">
        <v>916</v>
      </c>
      <c r="BA51" s="100" t="s">
        <v>916</v>
      </c>
      <c r="BB51" s="100" t="s">
        <v>916</v>
      </c>
      <c r="BC51" s="100" t="s">
        <v>916</v>
      </c>
      <c r="BD51" s="157">
        <v>0.0836</v>
      </c>
      <c r="BE51" s="157">
        <v>0.38170000000000004</v>
      </c>
      <c r="BF51" s="161">
        <v>246</v>
      </c>
      <c r="BG51" s="161" t="s">
        <v>916</v>
      </c>
      <c r="BH51" s="161">
        <v>542</v>
      </c>
      <c r="BI51" s="161">
        <v>203</v>
      </c>
      <c r="BJ51" s="161">
        <v>123</v>
      </c>
      <c r="BK51" s="97"/>
      <c r="BL51" s="97"/>
      <c r="BM51" s="97"/>
      <c r="BN51" s="97"/>
    </row>
    <row r="52" spans="1:66" ht="12.75">
      <c r="A52" s="79" t="s">
        <v>924</v>
      </c>
      <c r="B52" s="79" t="s">
        <v>109</v>
      </c>
      <c r="C52" s="79" t="s">
        <v>367</v>
      </c>
      <c r="D52" s="99">
        <v>1747</v>
      </c>
      <c r="E52" s="99">
        <v>471</v>
      </c>
      <c r="F52" s="99" t="s">
        <v>177</v>
      </c>
      <c r="G52" s="99">
        <v>13</v>
      </c>
      <c r="H52" s="99">
        <v>8</v>
      </c>
      <c r="I52" s="99">
        <v>29</v>
      </c>
      <c r="J52" s="99">
        <v>150</v>
      </c>
      <c r="K52" s="99" t="s">
        <v>916</v>
      </c>
      <c r="L52" s="99">
        <v>256</v>
      </c>
      <c r="M52" s="99">
        <v>114</v>
      </c>
      <c r="N52" s="99">
        <v>62</v>
      </c>
      <c r="O52" s="99">
        <v>65</v>
      </c>
      <c r="P52" s="158">
        <v>65</v>
      </c>
      <c r="Q52" s="99">
        <v>6</v>
      </c>
      <c r="R52" s="99">
        <v>13</v>
      </c>
      <c r="S52" s="99">
        <v>7</v>
      </c>
      <c r="T52" s="99">
        <v>14</v>
      </c>
      <c r="U52" s="99" t="s">
        <v>916</v>
      </c>
      <c r="V52" s="99">
        <v>14</v>
      </c>
      <c r="W52" s="99">
        <v>14</v>
      </c>
      <c r="X52" s="99">
        <v>9</v>
      </c>
      <c r="Y52" s="99">
        <v>23</v>
      </c>
      <c r="Z52" s="99">
        <v>23</v>
      </c>
      <c r="AA52" s="99" t="s">
        <v>916</v>
      </c>
      <c r="AB52" s="99" t="s">
        <v>916</v>
      </c>
      <c r="AC52" s="99" t="s">
        <v>916</v>
      </c>
      <c r="AD52" s="98" t="s">
        <v>158</v>
      </c>
      <c r="AE52" s="100">
        <v>0.26960503720664</v>
      </c>
      <c r="AF52" s="100">
        <v>0.24</v>
      </c>
      <c r="AG52" s="98">
        <v>744.1327990841443</v>
      </c>
      <c r="AH52" s="98">
        <v>457.9278763594734</v>
      </c>
      <c r="AI52" s="100">
        <v>0.0166</v>
      </c>
      <c r="AJ52" s="100">
        <v>0.7109</v>
      </c>
      <c r="AK52" s="100" t="s">
        <v>916</v>
      </c>
      <c r="AL52" s="100">
        <v>0.697548</v>
      </c>
      <c r="AM52" s="100">
        <v>0.471074</v>
      </c>
      <c r="AN52" s="100">
        <v>0.421769</v>
      </c>
      <c r="AO52" s="98">
        <v>3720.663995420721</v>
      </c>
      <c r="AP52" s="157">
        <v>1.5194999999999999</v>
      </c>
      <c r="AQ52" s="100">
        <v>0.09230769230769231</v>
      </c>
      <c r="AR52" s="100">
        <v>0.46153846153846156</v>
      </c>
      <c r="AS52" s="98">
        <v>400.6868918145392</v>
      </c>
      <c r="AT52" s="98">
        <v>801.3737836290784</v>
      </c>
      <c r="AU52" s="98" t="s">
        <v>916</v>
      </c>
      <c r="AV52" s="98">
        <v>801.3737836290784</v>
      </c>
      <c r="AW52" s="98">
        <v>801.3737836290784</v>
      </c>
      <c r="AX52" s="98">
        <v>515.1688609044076</v>
      </c>
      <c r="AY52" s="98">
        <v>1316.542644533486</v>
      </c>
      <c r="AZ52" s="98">
        <v>1316.542644533486</v>
      </c>
      <c r="BA52" s="100" t="s">
        <v>916</v>
      </c>
      <c r="BB52" s="100" t="s">
        <v>916</v>
      </c>
      <c r="BC52" s="100" t="s">
        <v>916</v>
      </c>
      <c r="BD52" s="157">
        <v>1.1726999999999999</v>
      </c>
      <c r="BE52" s="157">
        <v>1.9366999999999999</v>
      </c>
      <c r="BF52" s="161">
        <v>211</v>
      </c>
      <c r="BG52" s="161" t="s">
        <v>916</v>
      </c>
      <c r="BH52" s="161">
        <v>367</v>
      </c>
      <c r="BI52" s="161">
        <v>242</v>
      </c>
      <c r="BJ52" s="161">
        <v>147</v>
      </c>
      <c r="BK52" s="97"/>
      <c r="BL52" s="97"/>
      <c r="BM52" s="97"/>
      <c r="BN52" s="97"/>
    </row>
    <row r="53" spans="1:66" ht="12.75">
      <c r="A53" s="79" t="s">
        <v>309</v>
      </c>
      <c r="B53" s="79" t="s">
        <v>127</v>
      </c>
      <c r="C53" s="79" t="s">
        <v>367</v>
      </c>
      <c r="D53" s="99">
        <v>4831</v>
      </c>
      <c r="E53" s="99">
        <v>550</v>
      </c>
      <c r="F53" s="99" t="s">
        <v>176</v>
      </c>
      <c r="G53" s="99">
        <v>16</v>
      </c>
      <c r="H53" s="99">
        <v>10</v>
      </c>
      <c r="I53" s="99">
        <v>33</v>
      </c>
      <c r="J53" s="99">
        <v>305</v>
      </c>
      <c r="K53" s="99">
        <v>98</v>
      </c>
      <c r="L53" s="99">
        <v>1020</v>
      </c>
      <c r="M53" s="99">
        <v>193</v>
      </c>
      <c r="N53" s="99">
        <v>105</v>
      </c>
      <c r="O53" s="99">
        <v>84</v>
      </c>
      <c r="P53" s="158">
        <v>84</v>
      </c>
      <c r="Q53" s="99">
        <v>10</v>
      </c>
      <c r="R53" s="99">
        <v>16</v>
      </c>
      <c r="S53" s="99">
        <v>18</v>
      </c>
      <c r="T53" s="99">
        <v>8</v>
      </c>
      <c r="U53" s="99" t="s">
        <v>916</v>
      </c>
      <c r="V53" s="99">
        <v>13</v>
      </c>
      <c r="W53" s="99">
        <v>14</v>
      </c>
      <c r="X53" s="99">
        <v>26</v>
      </c>
      <c r="Y53" s="99">
        <v>25</v>
      </c>
      <c r="Z53" s="99">
        <v>21</v>
      </c>
      <c r="AA53" s="99" t="s">
        <v>916</v>
      </c>
      <c r="AB53" s="99" t="s">
        <v>916</v>
      </c>
      <c r="AC53" s="99" t="s">
        <v>916</v>
      </c>
      <c r="AD53" s="98" t="s">
        <v>158</v>
      </c>
      <c r="AE53" s="100">
        <v>0.11384806458290209</v>
      </c>
      <c r="AF53" s="100">
        <v>0.2</v>
      </c>
      <c r="AG53" s="98">
        <v>331.1943696957152</v>
      </c>
      <c r="AH53" s="98">
        <v>206.99648105982197</v>
      </c>
      <c r="AI53" s="100">
        <v>0.0068000000000000005</v>
      </c>
      <c r="AJ53" s="100">
        <v>0.742092</v>
      </c>
      <c r="AK53" s="100">
        <v>0.742424</v>
      </c>
      <c r="AL53" s="100">
        <v>0.816</v>
      </c>
      <c r="AM53" s="100">
        <v>0.537604</v>
      </c>
      <c r="AN53" s="100">
        <v>0.527638</v>
      </c>
      <c r="AO53" s="98">
        <v>1738.7704409025046</v>
      </c>
      <c r="AP53" s="157">
        <v>1.0463</v>
      </c>
      <c r="AQ53" s="100">
        <v>0.11904761904761904</v>
      </c>
      <c r="AR53" s="100">
        <v>0.625</v>
      </c>
      <c r="AS53" s="98">
        <v>372.59366590767956</v>
      </c>
      <c r="AT53" s="98">
        <v>165.5971848478576</v>
      </c>
      <c r="AU53" s="98" t="s">
        <v>916</v>
      </c>
      <c r="AV53" s="98">
        <v>269.0954253777686</v>
      </c>
      <c r="AW53" s="98">
        <v>289.7950734837508</v>
      </c>
      <c r="AX53" s="98">
        <v>538.1908507555372</v>
      </c>
      <c r="AY53" s="98">
        <v>517.4912026495549</v>
      </c>
      <c r="AZ53" s="98">
        <v>434.69261022562614</v>
      </c>
      <c r="BA53" s="100" t="s">
        <v>916</v>
      </c>
      <c r="BB53" s="100" t="s">
        <v>916</v>
      </c>
      <c r="BC53" s="100" t="s">
        <v>916</v>
      </c>
      <c r="BD53" s="157">
        <v>0.8345</v>
      </c>
      <c r="BE53" s="157">
        <v>1.2953000000000001</v>
      </c>
      <c r="BF53" s="161">
        <v>411</v>
      </c>
      <c r="BG53" s="161">
        <v>132</v>
      </c>
      <c r="BH53" s="161">
        <v>1250</v>
      </c>
      <c r="BI53" s="161">
        <v>359</v>
      </c>
      <c r="BJ53" s="161">
        <v>199</v>
      </c>
      <c r="BK53" s="97"/>
      <c r="BL53" s="97"/>
      <c r="BM53" s="97"/>
      <c r="BN53" s="97"/>
    </row>
    <row r="54" spans="1:66" ht="12.75">
      <c r="A54" s="79" t="s">
        <v>282</v>
      </c>
      <c r="B54" s="79" t="s">
        <v>91</v>
      </c>
      <c r="C54" s="79" t="s">
        <v>367</v>
      </c>
      <c r="D54" s="99">
        <v>9779</v>
      </c>
      <c r="E54" s="99">
        <v>31</v>
      </c>
      <c r="F54" s="99" t="s">
        <v>176</v>
      </c>
      <c r="G54" s="99" t="s">
        <v>916</v>
      </c>
      <c r="H54" s="99" t="s">
        <v>916</v>
      </c>
      <c r="I54" s="99">
        <v>7</v>
      </c>
      <c r="J54" s="99">
        <v>32</v>
      </c>
      <c r="K54" s="99" t="s">
        <v>916</v>
      </c>
      <c r="L54" s="99">
        <v>1093</v>
      </c>
      <c r="M54" s="99">
        <v>15</v>
      </c>
      <c r="N54" s="99">
        <v>8</v>
      </c>
      <c r="O54" s="99">
        <v>42</v>
      </c>
      <c r="P54" s="158">
        <v>42</v>
      </c>
      <c r="Q54" s="99" t="s">
        <v>916</v>
      </c>
      <c r="R54" s="99" t="s">
        <v>916</v>
      </c>
      <c r="S54" s="99">
        <v>9</v>
      </c>
      <c r="T54" s="99" t="s">
        <v>916</v>
      </c>
      <c r="U54" s="99" t="s">
        <v>916</v>
      </c>
      <c r="V54" s="99">
        <v>21</v>
      </c>
      <c r="W54" s="99">
        <v>6</v>
      </c>
      <c r="X54" s="99">
        <v>8</v>
      </c>
      <c r="Y54" s="99">
        <v>11</v>
      </c>
      <c r="Z54" s="99" t="s">
        <v>916</v>
      </c>
      <c r="AA54" s="99" t="s">
        <v>916</v>
      </c>
      <c r="AB54" s="99" t="s">
        <v>916</v>
      </c>
      <c r="AC54" s="99" t="s">
        <v>916</v>
      </c>
      <c r="AD54" s="98" t="s">
        <v>158</v>
      </c>
      <c r="AE54" s="100">
        <v>0.0031700582881685245</v>
      </c>
      <c r="AF54" s="100">
        <v>0.18</v>
      </c>
      <c r="AG54" s="98" t="s">
        <v>916</v>
      </c>
      <c r="AH54" s="98" t="s">
        <v>916</v>
      </c>
      <c r="AI54" s="100">
        <v>0.0007000000000000001</v>
      </c>
      <c r="AJ54" s="100">
        <v>0.463768</v>
      </c>
      <c r="AK54" s="100" t="s">
        <v>916</v>
      </c>
      <c r="AL54" s="100">
        <v>0.606548</v>
      </c>
      <c r="AM54" s="100">
        <v>0.365854</v>
      </c>
      <c r="AN54" s="100">
        <v>0.333333</v>
      </c>
      <c r="AO54" s="98">
        <v>429.49176807444525</v>
      </c>
      <c r="AP54" s="157">
        <v>0.5515</v>
      </c>
      <c r="AQ54" s="100" t="s">
        <v>916</v>
      </c>
      <c r="AR54" s="100" t="s">
        <v>916</v>
      </c>
      <c r="AS54" s="98">
        <v>92.03395030166683</v>
      </c>
      <c r="AT54" s="98" t="s">
        <v>916</v>
      </c>
      <c r="AU54" s="98" t="s">
        <v>916</v>
      </c>
      <c r="AV54" s="98">
        <v>214.74588403722262</v>
      </c>
      <c r="AW54" s="98">
        <v>61.355966867777894</v>
      </c>
      <c r="AX54" s="98">
        <v>81.80795582370385</v>
      </c>
      <c r="AY54" s="98">
        <v>112.4859392575928</v>
      </c>
      <c r="AZ54" s="98" t="s">
        <v>916</v>
      </c>
      <c r="BA54" s="100" t="s">
        <v>916</v>
      </c>
      <c r="BB54" s="100" t="s">
        <v>916</v>
      </c>
      <c r="BC54" s="100" t="s">
        <v>916</v>
      </c>
      <c r="BD54" s="157">
        <v>0.3975</v>
      </c>
      <c r="BE54" s="157">
        <v>0.7454999999999999</v>
      </c>
      <c r="BF54" s="161">
        <v>69</v>
      </c>
      <c r="BG54" s="161" t="s">
        <v>916</v>
      </c>
      <c r="BH54" s="161">
        <v>1802</v>
      </c>
      <c r="BI54" s="161">
        <v>41</v>
      </c>
      <c r="BJ54" s="161">
        <v>24</v>
      </c>
      <c r="BK54" s="97"/>
      <c r="BL54" s="97"/>
      <c r="BM54" s="97"/>
      <c r="BN54" s="97"/>
    </row>
    <row r="55" spans="1:66" ht="12.75">
      <c r="A55" s="79" t="s">
        <v>256</v>
      </c>
      <c r="B55" s="79" t="s">
        <v>58</v>
      </c>
      <c r="C55" s="79" t="s">
        <v>367</v>
      </c>
      <c r="D55" s="99">
        <v>4772</v>
      </c>
      <c r="E55" s="99">
        <v>826</v>
      </c>
      <c r="F55" s="99" t="s">
        <v>177</v>
      </c>
      <c r="G55" s="99">
        <v>11</v>
      </c>
      <c r="H55" s="99">
        <v>13</v>
      </c>
      <c r="I55" s="99">
        <v>71</v>
      </c>
      <c r="J55" s="99">
        <v>373</v>
      </c>
      <c r="K55" s="99">
        <v>365</v>
      </c>
      <c r="L55" s="99">
        <v>830</v>
      </c>
      <c r="M55" s="99">
        <v>225</v>
      </c>
      <c r="N55" s="99">
        <v>129</v>
      </c>
      <c r="O55" s="99">
        <v>44</v>
      </c>
      <c r="P55" s="158">
        <v>44</v>
      </c>
      <c r="Q55" s="99">
        <v>7</v>
      </c>
      <c r="R55" s="99">
        <v>23</v>
      </c>
      <c r="S55" s="99">
        <v>20</v>
      </c>
      <c r="T55" s="99" t="s">
        <v>916</v>
      </c>
      <c r="U55" s="99" t="s">
        <v>916</v>
      </c>
      <c r="V55" s="99" t="s">
        <v>916</v>
      </c>
      <c r="W55" s="99">
        <v>14</v>
      </c>
      <c r="X55" s="99">
        <v>18</v>
      </c>
      <c r="Y55" s="99">
        <v>24</v>
      </c>
      <c r="Z55" s="99">
        <v>26</v>
      </c>
      <c r="AA55" s="99" t="s">
        <v>916</v>
      </c>
      <c r="AB55" s="99" t="s">
        <v>916</v>
      </c>
      <c r="AC55" s="99" t="s">
        <v>916</v>
      </c>
      <c r="AD55" s="98" t="s">
        <v>158</v>
      </c>
      <c r="AE55" s="100">
        <v>0.17309304274937135</v>
      </c>
      <c r="AF55" s="100">
        <v>0.27</v>
      </c>
      <c r="AG55" s="98">
        <v>230.51131601005866</v>
      </c>
      <c r="AH55" s="98">
        <v>272.4224643755239</v>
      </c>
      <c r="AI55" s="100">
        <v>0.0149</v>
      </c>
      <c r="AJ55" s="100">
        <v>0.750503</v>
      </c>
      <c r="AK55" s="100">
        <v>0.757261</v>
      </c>
      <c r="AL55" s="100">
        <v>0.767808</v>
      </c>
      <c r="AM55" s="100">
        <v>0.54878</v>
      </c>
      <c r="AN55" s="100">
        <v>0.5</v>
      </c>
      <c r="AO55" s="98">
        <v>922.0452640402347</v>
      </c>
      <c r="AP55" s="157">
        <v>0.474</v>
      </c>
      <c r="AQ55" s="100">
        <v>0.1590909090909091</v>
      </c>
      <c r="AR55" s="100">
        <v>0.30434782608695654</v>
      </c>
      <c r="AS55" s="98">
        <v>419.11148365465215</v>
      </c>
      <c r="AT55" s="98" t="s">
        <v>916</v>
      </c>
      <c r="AU55" s="98" t="s">
        <v>916</v>
      </c>
      <c r="AV55" s="98" t="s">
        <v>916</v>
      </c>
      <c r="AW55" s="98">
        <v>293.3780385582565</v>
      </c>
      <c r="AX55" s="98">
        <v>377.2003352891869</v>
      </c>
      <c r="AY55" s="98">
        <v>502.93378038558257</v>
      </c>
      <c r="AZ55" s="98">
        <v>544.8449287510477</v>
      </c>
      <c r="BA55" s="100" t="s">
        <v>916</v>
      </c>
      <c r="BB55" s="100" t="s">
        <v>916</v>
      </c>
      <c r="BC55" s="100" t="s">
        <v>916</v>
      </c>
      <c r="BD55" s="157">
        <v>0.3444</v>
      </c>
      <c r="BE55" s="157">
        <v>0.6363</v>
      </c>
      <c r="BF55" s="161">
        <v>497</v>
      </c>
      <c r="BG55" s="161">
        <v>482</v>
      </c>
      <c r="BH55" s="161">
        <v>1081</v>
      </c>
      <c r="BI55" s="161">
        <v>410</v>
      </c>
      <c r="BJ55" s="161">
        <v>258</v>
      </c>
      <c r="BK55" s="97"/>
      <c r="BL55" s="97"/>
      <c r="BM55" s="97"/>
      <c r="BN55" s="97"/>
    </row>
    <row r="56" spans="1:66" ht="12.75">
      <c r="A56" s="79" t="s">
        <v>374</v>
      </c>
      <c r="B56" s="79" t="s">
        <v>87</v>
      </c>
      <c r="C56" s="79" t="s">
        <v>367</v>
      </c>
      <c r="D56" s="99">
        <v>7692</v>
      </c>
      <c r="E56" s="99">
        <v>583</v>
      </c>
      <c r="F56" s="99" t="s">
        <v>177</v>
      </c>
      <c r="G56" s="99">
        <v>11</v>
      </c>
      <c r="H56" s="99" t="s">
        <v>916</v>
      </c>
      <c r="I56" s="99">
        <v>60</v>
      </c>
      <c r="J56" s="99">
        <v>342</v>
      </c>
      <c r="K56" s="99" t="s">
        <v>916</v>
      </c>
      <c r="L56" s="99">
        <v>1397</v>
      </c>
      <c r="M56" s="99">
        <v>95</v>
      </c>
      <c r="N56" s="99">
        <v>52</v>
      </c>
      <c r="O56" s="99">
        <v>44</v>
      </c>
      <c r="P56" s="158">
        <v>44</v>
      </c>
      <c r="Q56" s="99" t="s">
        <v>916</v>
      </c>
      <c r="R56" s="99">
        <v>6</v>
      </c>
      <c r="S56" s="99">
        <v>13</v>
      </c>
      <c r="T56" s="99" t="s">
        <v>916</v>
      </c>
      <c r="U56" s="99" t="s">
        <v>916</v>
      </c>
      <c r="V56" s="99" t="s">
        <v>916</v>
      </c>
      <c r="W56" s="99">
        <v>9</v>
      </c>
      <c r="X56" s="99">
        <v>12</v>
      </c>
      <c r="Y56" s="99">
        <v>20</v>
      </c>
      <c r="Z56" s="99">
        <v>26</v>
      </c>
      <c r="AA56" s="99" t="s">
        <v>916</v>
      </c>
      <c r="AB56" s="99" t="s">
        <v>916</v>
      </c>
      <c r="AC56" s="99" t="s">
        <v>916</v>
      </c>
      <c r="AD56" s="98" t="s">
        <v>158</v>
      </c>
      <c r="AE56" s="100">
        <v>0.07579303172126885</v>
      </c>
      <c r="AF56" s="100">
        <v>0.34</v>
      </c>
      <c r="AG56" s="98">
        <v>143.00572022880914</v>
      </c>
      <c r="AH56" s="98" t="s">
        <v>916</v>
      </c>
      <c r="AI56" s="100">
        <v>0.0078000000000000005</v>
      </c>
      <c r="AJ56" s="100">
        <v>0.673228</v>
      </c>
      <c r="AK56" s="100" t="s">
        <v>916</v>
      </c>
      <c r="AL56" s="100">
        <v>0.763388</v>
      </c>
      <c r="AM56" s="100">
        <v>0.288754</v>
      </c>
      <c r="AN56" s="100">
        <v>0.26</v>
      </c>
      <c r="AO56" s="98">
        <v>572.0228809152366</v>
      </c>
      <c r="AP56" s="157">
        <v>0.42450000000000004</v>
      </c>
      <c r="AQ56" s="100" t="s">
        <v>916</v>
      </c>
      <c r="AR56" s="100" t="s">
        <v>916</v>
      </c>
      <c r="AS56" s="98">
        <v>169.0067602704108</v>
      </c>
      <c r="AT56" s="98" t="s">
        <v>916</v>
      </c>
      <c r="AU56" s="98" t="s">
        <v>916</v>
      </c>
      <c r="AV56" s="98" t="s">
        <v>916</v>
      </c>
      <c r="AW56" s="98">
        <v>117.00468018720748</v>
      </c>
      <c r="AX56" s="98">
        <v>156.00624024961</v>
      </c>
      <c r="AY56" s="98">
        <v>260.01040041601664</v>
      </c>
      <c r="AZ56" s="98">
        <v>338.0135205408216</v>
      </c>
      <c r="BA56" s="100" t="s">
        <v>916</v>
      </c>
      <c r="BB56" s="100" t="s">
        <v>916</v>
      </c>
      <c r="BC56" s="100" t="s">
        <v>916</v>
      </c>
      <c r="BD56" s="157">
        <v>0.3085</v>
      </c>
      <c r="BE56" s="157">
        <v>0.5699000000000001</v>
      </c>
      <c r="BF56" s="161">
        <v>508</v>
      </c>
      <c r="BG56" s="161" t="s">
        <v>916</v>
      </c>
      <c r="BH56" s="161">
        <v>1830</v>
      </c>
      <c r="BI56" s="161">
        <v>329</v>
      </c>
      <c r="BJ56" s="161">
        <v>200</v>
      </c>
      <c r="BK56" s="97"/>
      <c r="BL56" s="97"/>
      <c r="BM56" s="97"/>
      <c r="BN56" s="97"/>
    </row>
    <row r="57" spans="1:66" ht="12.75">
      <c r="A57" s="79" t="s">
        <v>261</v>
      </c>
      <c r="B57" s="79" t="s">
        <v>64</v>
      </c>
      <c r="C57" s="79" t="s">
        <v>367</v>
      </c>
      <c r="D57" s="99">
        <v>3959</v>
      </c>
      <c r="E57" s="99">
        <v>284</v>
      </c>
      <c r="F57" s="99" t="s">
        <v>177</v>
      </c>
      <c r="G57" s="99">
        <v>10</v>
      </c>
      <c r="H57" s="99" t="s">
        <v>916</v>
      </c>
      <c r="I57" s="99">
        <v>25</v>
      </c>
      <c r="J57" s="99">
        <v>213</v>
      </c>
      <c r="K57" s="99" t="s">
        <v>916</v>
      </c>
      <c r="L57" s="99">
        <v>584</v>
      </c>
      <c r="M57" s="99">
        <v>57</v>
      </c>
      <c r="N57" s="99">
        <v>34</v>
      </c>
      <c r="O57" s="99">
        <v>35</v>
      </c>
      <c r="P57" s="158">
        <v>35</v>
      </c>
      <c r="Q57" s="99" t="s">
        <v>916</v>
      </c>
      <c r="R57" s="99">
        <v>8</v>
      </c>
      <c r="S57" s="99">
        <v>6</v>
      </c>
      <c r="T57" s="99">
        <v>6</v>
      </c>
      <c r="U57" s="99" t="s">
        <v>916</v>
      </c>
      <c r="V57" s="99" t="s">
        <v>916</v>
      </c>
      <c r="W57" s="99" t="s">
        <v>916</v>
      </c>
      <c r="X57" s="99">
        <v>13</v>
      </c>
      <c r="Y57" s="99">
        <v>17</v>
      </c>
      <c r="Z57" s="99">
        <v>10</v>
      </c>
      <c r="AA57" s="99" t="s">
        <v>916</v>
      </c>
      <c r="AB57" s="99" t="s">
        <v>916</v>
      </c>
      <c r="AC57" s="99" t="s">
        <v>916</v>
      </c>
      <c r="AD57" s="98" t="s">
        <v>158</v>
      </c>
      <c r="AE57" s="100">
        <v>0.07173528668855772</v>
      </c>
      <c r="AF57" s="100">
        <v>0.31</v>
      </c>
      <c r="AG57" s="98">
        <v>252.5890376357666</v>
      </c>
      <c r="AH57" s="98" t="s">
        <v>916</v>
      </c>
      <c r="AI57" s="100">
        <v>0.0063</v>
      </c>
      <c r="AJ57" s="100">
        <v>0.707641</v>
      </c>
      <c r="AK57" s="100" t="s">
        <v>916</v>
      </c>
      <c r="AL57" s="100">
        <v>0.659142</v>
      </c>
      <c r="AM57" s="100">
        <v>0.263889</v>
      </c>
      <c r="AN57" s="100">
        <v>0.246377</v>
      </c>
      <c r="AO57" s="98">
        <v>884.0616317251831</v>
      </c>
      <c r="AP57" s="157">
        <v>0.6248</v>
      </c>
      <c r="AQ57" s="100" t="s">
        <v>916</v>
      </c>
      <c r="AR57" s="100" t="s">
        <v>916</v>
      </c>
      <c r="AS57" s="98">
        <v>151.55342258145996</v>
      </c>
      <c r="AT57" s="98">
        <v>151.55342258145996</v>
      </c>
      <c r="AU57" s="98" t="s">
        <v>916</v>
      </c>
      <c r="AV57" s="98" t="s">
        <v>916</v>
      </c>
      <c r="AW57" s="98" t="s">
        <v>916</v>
      </c>
      <c r="AX57" s="98">
        <v>328.36574892649656</v>
      </c>
      <c r="AY57" s="98">
        <v>429.40136398080324</v>
      </c>
      <c r="AZ57" s="98">
        <v>252.5890376357666</v>
      </c>
      <c r="BA57" s="100" t="s">
        <v>916</v>
      </c>
      <c r="BB57" s="100" t="s">
        <v>916</v>
      </c>
      <c r="BC57" s="100" t="s">
        <v>916</v>
      </c>
      <c r="BD57" s="157">
        <v>0.43520000000000003</v>
      </c>
      <c r="BE57" s="157">
        <v>0.8689</v>
      </c>
      <c r="BF57" s="161">
        <v>301</v>
      </c>
      <c r="BG57" s="161" t="s">
        <v>916</v>
      </c>
      <c r="BH57" s="161">
        <v>886</v>
      </c>
      <c r="BI57" s="161">
        <v>216</v>
      </c>
      <c r="BJ57" s="161">
        <v>138</v>
      </c>
      <c r="BK57" s="97"/>
      <c r="BL57" s="97"/>
      <c r="BM57" s="97"/>
      <c r="BN57" s="97"/>
    </row>
    <row r="58" spans="1:66" ht="12.75">
      <c r="A58" s="79" t="s">
        <v>454</v>
      </c>
      <c r="B58" s="79" t="s">
        <v>153</v>
      </c>
      <c r="C58" s="79" t="s">
        <v>367</v>
      </c>
      <c r="D58" s="99">
        <v>4861</v>
      </c>
      <c r="E58" s="99">
        <v>386</v>
      </c>
      <c r="F58" s="99" t="s">
        <v>177</v>
      </c>
      <c r="G58" s="99">
        <v>6</v>
      </c>
      <c r="H58" s="99" t="s">
        <v>916</v>
      </c>
      <c r="I58" s="99">
        <v>43</v>
      </c>
      <c r="J58" s="99">
        <v>265</v>
      </c>
      <c r="K58" s="99" t="s">
        <v>916</v>
      </c>
      <c r="L58" s="99">
        <v>867</v>
      </c>
      <c r="M58" s="99">
        <v>83</v>
      </c>
      <c r="N58" s="99">
        <v>51</v>
      </c>
      <c r="O58" s="99">
        <v>61</v>
      </c>
      <c r="P58" s="158">
        <v>61</v>
      </c>
      <c r="Q58" s="99" t="s">
        <v>916</v>
      </c>
      <c r="R58" s="99">
        <v>11</v>
      </c>
      <c r="S58" s="99">
        <v>22</v>
      </c>
      <c r="T58" s="99">
        <v>14</v>
      </c>
      <c r="U58" s="99" t="s">
        <v>916</v>
      </c>
      <c r="V58" s="99" t="s">
        <v>916</v>
      </c>
      <c r="W58" s="99">
        <v>8</v>
      </c>
      <c r="X58" s="99">
        <v>17</v>
      </c>
      <c r="Y58" s="99">
        <v>18</v>
      </c>
      <c r="Z58" s="99">
        <v>6</v>
      </c>
      <c r="AA58" s="99" t="s">
        <v>916</v>
      </c>
      <c r="AB58" s="99" t="s">
        <v>916</v>
      </c>
      <c r="AC58" s="99" t="s">
        <v>916</v>
      </c>
      <c r="AD58" s="98" t="s">
        <v>158</v>
      </c>
      <c r="AE58" s="100">
        <v>0.07940752931495577</v>
      </c>
      <c r="AF58" s="100">
        <v>0.31</v>
      </c>
      <c r="AG58" s="98">
        <v>123.43139271754782</v>
      </c>
      <c r="AH58" s="98" t="s">
        <v>916</v>
      </c>
      <c r="AI58" s="100">
        <v>0.0088</v>
      </c>
      <c r="AJ58" s="100">
        <v>0.677749</v>
      </c>
      <c r="AK58" s="100" t="s">
        <v>916</v>
      </c>
      <c r="AL58" s="100">
        <v>0.717122</v>
      </c>
      <c r="AM58" s="100">
        <v>0.320463</v>
      </c>
      <c r="AN58" s="100">
        <v>0.305389</v>
      </c>
      <c r="AO58" s="98">
        <v>1254.8858259617364</v>
      </c>
      <c r="AP58" s="157">
        <v>0.8825</v>
      </c>
      <c r="AQ58" s="100" t="s">
        <v>916</v>
      </c>
      <c r="AR58" s="100" t="s">
        <v>916</v>
      </c>
      <c r="AS58" s="98">
        <v>452.5817732976754</v>
      </c>
      <c r="AT58" s="98">
        <v>288.0065830076116</v>
      </c>
      <c r="AU58" s="98" t="s">
        <v>916</v>
      </c>
      <c r="AV58" s="98" t="s">
        <v>916</v>
      </c>
      <c r="AW58" s="98">
        <v>164.57519029006377</v>
      </c>
      <c r="AX58" s="98">
        <v>349.7222793663855</v>
      </c>
      <c r="AY58" s="98">
        <v>370.2941781526435</v>
      </c>
      <c r="AZ58" s="98">
        <v>123.43139271754782</v>
      </c>
      <c r="BA58" s="100" t="s">
        <v>916</v>
      </c>
      <c r="BB58" s="100" t="s">
        <v>916</v>
      </c>
      <c r="BC58" s="100" t="s">
        <v>916</v>
      </c>
      <c r="BD58" s="157">
        <v>0.6751</v>
      </c>
      <c r="BE58" s="157">
        <v>1.1337000000000002</v>
      </c>
      <c r="BF58" s="161">
        <v>391</v>
      </c>
      <c r="BG58" s="161" t="s">
        <v>916</v>
      </c>
      <c r="BH58" s="161">
        <v>1209</v>
      </c>
      <c r="BI58" s="161">
        <v>259</v>
      </c>
      <c r="BJ58" s="161">
        <v>167</v>
      </c>
      <c r="BK58" s="97"/>
      <c r="BL58" s="97"/>
      <c r="BM58" s="97"/>
      <c r="BN58" s="97"/>
    </row>
    <row r="59" spans="1:66" ht="12.75">
      <c r="A59" s="79" t="s">
        <v>255</v>
      </c>
      <c r="B59" s="79" t="s">
        <v>57</v>
      </c>
      <c r="C59" s="79" t="s">
        <v>367</v>
      </c>
      <c r="D59" s="99">
        <v>15647</v>
      </c>
      <c r="E59" s="99">
        <v>1087</v>
      </c>
      <c r="F59" s="99" t="s">
        <v>177</v>
      </c>
      <c r="G59" s="99">
        <v>40</v>
      </c>
      <c r="H59" s="99">
        <v>22</v>
      </c>
      <c r="I59" s="99">
        <v>122</v>
      </c>
      <c r="J59" s="99">
        <v>627</v>
      </c>
      <c r="K59" s="99">
        <v>568</v>
      </c>
      <c r="L59" s="99">
        <v>2419</v>
      </c>
      <c r="M59" s="99">
        <v>274</v>
      </c>
      <c r="N59" s="99">
        <v>160</v>
      </c>
      <c r="O59" s="99">
        <v>217</v>
      </c>
      <c r="P59" s="158">
        <v>217</v>
      </c>
      <c r="Q59" s="99">
        <v>8</v>
      </c>
      <c r="R59" s="99">
        <v>33</v>
      </c>
      <c r="S59" s="99">
        <v>60</v>
      </c>
      <c r="T59" s="99">
        <v>34</v>
      </c>
      <c r="U59" s="99" t="s">
        <v>916</v>
      </c>
      <c r="V59" s="99">
        <v>25</v>
      </c>
      <c r="W59" s="99">
        <v>18</v>
      </c>
      <c r="X59" s="99">
        <v>57</v>
      </c>
      <c r="Y59" s="99">
        <v>45</v>
      </c>
      <c r="Z59" s="99">
        <v>54</v>
      </c>
      <c r="AA59" s="99">
        <v>9</v>
      </c>
      <c r="AB59" s="99">
        <v>22</v>
      </c>
      <c r="AC59" s="99">
        <v>8</v>
      </c>
      <c r="AD59" s="98" t="s">
        <v>158</v>
      </c>
      <c r="AE59" s="100">
        <v>0.06947018597814278</v>
      </c>
      <c r="AF59" s="100">
        <v>0.26</v>
      </c>
      <c r="AG59" s="98">
        <v>255.64005879721353</v>
      </c>
      <c r="AH59" s="98">
        <v>140.60203233846744</v>
      </c>
      <c r="AI59" s="100">
        <v>0.0078000000000000005</v>
      </c>
      <c r="AJ59" s="100">
        <v>0.699777</v>
      </c>
      <c r="AK59" s="100">
        <v>0.67619</v>
      </c>
      <c r="AL59" s="100">
        <v>0.779819</v>
      </c>
      <c r="AM59" s="100">
        <v>0.457429</v>
      </c>
      <c r="AN59" s="100">
        <v>0.43956</v>
      </c>
      <c r="AO59" s="98">
        <v>1386.8473189748834</v>
      </c>
      <c r="AP59" s="157">
        <v>1.0775</v>
      </c>
      <c r="AQ59" s="100">
        <v>0.03686635944700461</v>
      </c>
      <c r="AR59" s="100">
        <v>0.24242424242424243</v>
      </c>
      <c r="AS59" s="98">
        <v>383.4600881958203</v>
      </c>
      <c r="AT59" s="98">
        <v>217.2940499776315</v>
      </c>
      <c r="AU59" s="98" t="s">
        <v>916</v>
      </c>
      <c r="AV59" s="98">
        <v>159.77503674825846</v>
      </c>
      <c r="AW59" s="98">
        <v>115.03802645874609</v>
      </c>
      <c r="AX59" s="98">
        <v>364.28708378602926</v>
      </c>
      <c r="AY59" s="98">
        <v>287.59506614686524</v>
      </c>
      <c r="AZ59" s="98">
        <v>345.11407937623824</v>
      </c>
      <c r="BA59" s="100">
        <v>0.23076923076923078</v>
      </c>
      <c r="BB59" s="100">
        <v>0.5641025641025641</v>
      </c>
      <c r="BC59" s="100">
        <v>0.20512820512820512</v>
      </c>
      <c r="BD59" s="157">
        <v>0.9389</v>
      </c>
      <c r="BE59" s="157">
        <v>1.2308</v>
      </c>
      <c r="BF59" s="161">
        <v>896</v>
      </c>
      <c r="BG59" s="161">
        <v>840</v>
      </c>
      <c r="BH59" s="161">
        <v>3102</v>
      </c>
      <c r="BI59" s="161">
        <v>599</v>
      </c>
      <c r="BJ59" s="161">
        <v>364</v>
      </c>
      <c r="BK59" s="97"/>
      <c r="BL59" s="97"/>
      <c r="BM59" s="97"/>
      <c r="BN59" s="97"/>
    </row>
    <row r="60" spans="1:66" ht="12.75">
      <c r="A60" s="79" t="s">
        <v>307</v>
      </c>
      <c r="B60" s="79" t="s">
        <v>125</v>
      </c>
      <c r="C60" s="79" t="s">
        <v>367</v>
      </c>
      <c r="D60" s="99">
        <v>3823</v>
      </c>
      <c r="E60" s="99">
        <v>253</v>
      </c>
      <c r="F60" s="99" t="s">
        <v>177</v>
      </c>
      <c r="G60" s="99">
        <v>9</v>
      </c>
      <c r="H60" s="99" t="s">
        <v>916</v>
      </c>
      <c r="I60" s="99">
        <v>35</v>
      </c>
      <c r="J60" s="99">
        <v>104</v>
      </c>
      <c r="K60" s="99" t="s">
        <v>916</v>
      </c>
      <c r="L60" s="99">
        <v>570</v>
      </c>
      <c r="M60" s="99">
        <v>52</v>
      </c>
      <c r="N60" s="99">
        <v>26</v>
      </c>
      <c r="O60" s="99">
        <v>19</v>
      </c>
      <c r="P60" s="158">
        <v>19</v>
      </c>
      <c r="Q60" s="99" t="s">
        <v>916</v>
      </c>
      <c r="R60" s="99" t="s">
        <v>916</v>
      </c>
      <c r="S60" s="99">
        <v>10</v>
      </c>
      <c r="T60" s="99" t="s">
        <v>916</v>
      </c>
      <c r="U60" s="99" t="s">
        <v>916</v>
      </c>
      <c r="V60" s="99" t="s">
        <v>916</v>
      </c>
      <c r="W60" s="99" t="s">
        <v>916</v>
      </c>
      <c r="X60" s="99" t="s">
        <v>916</v>
      </c>
      <c r="Y60" s="99">
        <v>8</v>
      </c>
      <c r="Z60" s="99">
        <v>16</v>
      </c>
      <c r="AA60" s="99" t="s">
        <v>916</v>
      </c>
      <c r="AB60" s="99" t="s">
        <v>916</v>
      </c>
      <c r="AC60" s="99" t="s">
        <v>916</v>
      </c>
      <c r="AD60" s="98" t="s">
        <v>158</v>
      </c>
      <c r="AE60" s="100">
        <v>0.06617839393146743</v>
      </c>
      <c r="AF60" s="100">
        <v>0.37</v>
      </c>
      <c r="AG60" s="98">
        <v>235.41721161391578</v>
      </c>
      <c r="AH60" s="98" t="s">
        <v>916</v>
      </c>
      <c r="AI60" s="100">
        <v>0.0092</v>
      </c>
      <c r="AJ60" s="100">
        <v>0.497608</v>
      </c>
      <c r="AK60" s="100" t="s">
        <v>916</v>
      </c>
      <c r="AL60" s="100">
        <v>0.71608</v>
      </c>
      <c r="AM60" s="100">
        <v>0.285714</v>
      </c>
      <c r="AN60" s="100">
        <v>0.230088</v>
      </c>
      <c r="AO60" s="98">
        <v>496.9918911849333</v>
      </c>
      <c r="AP60" s="157">
        <v>0.41229999999999994</v>
      </c>
      <c r="AQ60" s="100" t="s">
        <v>916</v>
      </c>
      <c r="AR60" s="100" t="s">
        <v>916</v>
      </c>
      <c r="AS60" s="98">
        <v>261.5746795710175</v>
      </c>
      <c r="AT60" s="98" t="s">
        <v>916</v>
      </c>
      <c r="AU60" s="98" t="s">
        <v>916</v>
      </c>
      <c r="AV60" s="98" t="s">
        <v>916</v>
      </c>
      <c r="AW60" s="98" t="s">
        <v>916</v>
      </c>
      <c r="AX60" s="98" t="s">
        <v>916</v>
      </c>
      <c r="AY60" s="98">
        <v>209.259743656814</v>
      </c>
      <c r="AZ60" s="98">
        <v>418.519487313628</v>
      </c>
      <c r="BA60" s="100" t="s">
        <v>916</v>
      </c>
      <c r="BB60" s="100" t="s">
        <v>916</v>
      </c>
      <c r="BC60" s="100" t="s">
        <v>916</v>
      </c>
      <c r="BD60" s="157">
        <v>0.2482</v>
      </c>
      <c r="BE60" s="157">
        <v>0.6437999999999999</v>
      </c>
      <c r="BF60" s="161">
        <v>209</v>
      </c>
      <c r="BG60" s="161" t="s">
        <v>916</v>
      </c>
      <c r="BH60" s="161">
        <v>796</v>
      </c>
      <c r="BI60" s="161">
        <v>182</v>
      </c>
      <c r="BJ60" s="161">
        <v>113</v>
      </c>
      <c r="BK60" s="97"/>
      <c r="BL60" s="97"/>
      <c r="BM60" s="97"/>
      <c r="BN60" s="97"/>
    </row>
    <row r="61" spans="1:66" ht="12.75">
      <c r="A61" s="79" t="s">
        <v>271</v>
      </c>
      <c r="B61" s="79" t="s">
        <v>77</v>
      </c>
      <c r="C61" s="79" t="s">
        <v>367</v>
      </c>
      <c r="D61" s="99">
        <v>7015</v>
      </c>
      <c r="E61" s="99">
        <v>689</v>
      </c>
      <c r="F61" s="99" t="s">
        <v>177</v>
      </c>
      <c r="G61" s="99">
        <v>19</v>
      </c>
      <c r="H61" s="99">
        <v>7</v>
      </c>
      <c r="I61" s="99">
        <v>82</v>
      </c>
      <c r="J61" s="99">
        <v>336</v>
      </c>
      <c r="K61" s="99">
        <v>327</v>
      </c>
      <c r="L61" s="99">
        <v>1130</v>
      </c>
      <c r="M61" s="99">
        <v>163</v>
      </c>
      <c r="N61" s="99">
        <v>90</v>
      </c>
      <c r="O61" s="99">
        <v>35</v>
      </c>
      <c r="P61" s="158">
        <v>35</v>
      </c>
      <c r="Q61" s="99">
        <v>7</v>
      </c>
      <c r="R61" s="99">
        <v>21</v>
      </c>
      <c r="S61" s="99">
        <v>14</v>
      </c>
      <c r="T61" s="99" t="s">
        <v>916</v>
      </c>
      <c r="U61" s="99" t="s">
        <v>916</v>
      </c>
      <c r="V61" s="99" t="s">
        <v>916</v>
      </c>
      <c r="W61" s="99">
        <v>7</v>
      </c>
      <c r="X61" s="99">
        <v>8</v>
      </c>
      <c r="Y61" s="99">
        <v>29</v>
      </c>
      <c r="Z61" s="99">
        <v>27</v>
      </c>
      <c r="AA61" s="99" t="s">
        <v>916</v>
      </c>
      <c r="AB61" s="99" t="s">
        <v>916</v>
      </c>
      <c r="AC61" s="99" t="s">
        <v>916</v>
      </c>
      <c r="AD61" s="98" t="s">
        <v>158</v>
      </c>
      <c r="AE61" s="100">
        <v>0.09821810406272273</v>
      </c>
      <c r="AF61" s="100">
        <v>0.36</v>
      </c>
      <c r="AG61" s="98">
        <v>270.84818246614395</v>
      </c>
      <c r="AH61" s="98">
        <v>99.78617248752673</v>
      </c>
      <c r="AI61" s="100">
        <v>0.011699999999999999</v>
      </c>
      <c r="AJ61" s="100">
        <v>0.689938</v>
      </c>
      <c r="AK61" s="100">
        <v>0.694268</v>
      </c>
      <c r="AL61" s="100">
        <v>0.76403</v>
      </c>
      <c r="AM61" s="100">
        <v>0.372998</v>
      </c>
      <c r="AN61" s="100">
        <v>0.340909</v>
      </c>
      <c r="AO61" s="98">
        <v>498.93086243763366</v>
      </c>
      <c r="AP61" s="157">
        <v>0.3357</v>
      </c>
      <c r="AQ61" s="100">
        <v>0.2</v>
      </c>
      <c r="AR61" s="100">
        <v>0.3333333333333333</v>
      </c>
      <c r="AS61" s="98">
        <v>199.57234497505345</v>
      </c>
      <c r="AT61" s="98" t="s">
        <v>916</v>
      </c>
      <c r="AU61" s="98" t="s">
        <v>916</v>
      </c>
      <c r="AV61" s="98" t="s">
        <v>916</v>
      </c>
      <c r="AW61" s="98">
        <v>99.78617248752673</v>
      </c>
      <c r="AX61" s="98">
        <v>114.04133998574483</v>
      </c>
      <c r="AY61" s="98">
        <v>413.399857448325</v>
      </c>
      <c r="AZ61" s="98">
        <v>384.8895224518888</v>
      </c>
      <c r="BA61" s="100" t="s">
        <v>916</v>
      </c>
      <c r="BB61" s="100" t="s">
        <v>916</v>
      </c>
      <c r="BC61" s="100" t="s">
        <v>916</v>
      </c>
      <c r="BD61" s="157">
        <v>0.23379999999999998</v>
      </c>
      <c r="BE61" s="157">
        <v>0.4669</v>
      </c>
      <c r="BF61" s="161">
        <v>487</v>
      </c>
      <c r="BG61" s="161">
        <v>471</v>
      </c>
      <c r="BH61" s="161">
        <v>1479</v>
      </c>
      <c r="BI61" s="161">
        <v>437</v>
      </c>
      <c r="BJ61" s="161">
        <v>264</v>
      </c>
      <c r="BK61" s="97"/>
      <c r="BL61" s="97"/>
      <c r="BM61" s="97"/>
      <c r="BN61" s="97"/>
    </row>
    <row r="62" spans="1:66" ht="12.75">
      <c r="A62" s="79" t="s">
        <v>325</v>
      </c>
      <c r="B62" s="79" t="s">
        <v>150</v>
      </c>
      <c r="C62" s="79" t="s">
        <v>367</v>
      </c>
      <c r="D62" s="99">
        <v>10106</v>
      </c>
      <c r="E62" s="99">
        <v>1307</v>
      </c>
      <c r="F62" s="99" t="s">
        <v>176</v>
      </c>
      <c r="G62" s="99">
        <v>46</v>
      </c>
      <c r="H62" s="99">
        <v>23</v>
      </c>
      <c r="I62" s="99">
        <v>156</v>
      </c>
      <c r="J62" s="99">
        <v>685</v>
      </c>
      <c r="K62" s="99">
        <v>10</v>
      </c>
      <c r="L62" s="99">
        <v>1926</v>
      </c>
      <c r="M62" s="99">
        <v>422</v>
      </c>
      <c r="N62" s="99">
        <v>243</v>
      </c>
      <c r="O62" s="99">
        <v>254</v>
      </c>
      <c r="P62" s="158">
        <v>254</v>
      </c>
      <c r="Q62" s="99">
        <v>15</v>
      </c>
      <c r="R62" s="99">
        <v>33</v>
      </c>
      <c r="S62" s="99">
        <v>85</v>
      </c>
      <c r="T62" s="99">
        <v>30</v>
      </c>
      <c r="U62" s="99" t="s">
        <v>916</v>
      </c>
      <c r="V62" s="99">
        <v>26</v>
      </c>
      <c r="W62" s="99">
        <v>33</v>
      </c>
      <c r="X62" s="99">
        <v>73</v>
      </c>
      <c r="Y62" s="99">
        <v>78</v>
      </c>
      <c r="Z62" s="99">
        <v>44</v>
      </c>
      <c r="AA62" s="99" t="s">
        <v>916</v>
      </c>
      <c r="AB62" s="99">
        <v>18</v>
      </c>
      <c r="AC62" s="99" t="s">
        <v>916</v>
      </c>
      <c r="AD62" s="98" t="s">
        <v>158</v>
      </c>
      <c r="AE62" s="100">
        <v>0.12932911141895903</v>
      </c>
      <c r="AF62" s="100">
        <v>0.2</v>
      </c>
      <c r="AG62" s="98">
        <v>455.1751434791213</v>
      </c>
      <c r="AH62" s="98">
        <v>227.58757173956064</v>
      </c>
      <c r="AI62" s="100">
        <v>0.0154</v>
      </c>
      <c r="AJ62" s="100">
        <v>0.671569</v>
      </c>
      <c r="AK62" s="100">
        <v>0.714286</v>
      </c>
      <c r="AL62" s="100">
        <v>0.765197</v>
      </c>
      <c r="AM62" s="100">
        <v>0.493567</v>
      </c>
      <c r="AN62" s="100">
        <v>0.46374</v>
      </c>
      <c r="AO62" s="98">
        <v>2513.358400949931</v>
      </c>
      <c r="AP62" s="157">
        <v>1.4318</v>
      </c>
      <c r="AQ62" s="100">
        <v>0.05905511811023622</v>
      </c>
      <c r="AR62" s="100">
        <v>0.45454545454545453</v>
      </c>
      <c r="AS62" s="98">
        <v>841.0845042548981</v>
      </c>
      <c r="AT62" s="98">
        <v>296.8533544429052</v>
      </c>
      <c r="AU62" s="98" t="s">
        <v>916</v>
      </c>
      <c r="AV62" s="98">
        <v>257.2729071838512</v>
      </c>
      <c r="AW62" s="98">
        <v>326.53868988719574</v>
      </c>
      <c r="AX62" s="98">
        <v>722.343162477736</v>
      </c>
      <c r="AY62" s="98">
        <v>771.8187215515535</v>
      </c>
      <c r="AZ62" s="98">
        <v>435.3849198495943</v>
      </c>
      <c r="BA62" s="100" t="s">
        <v>916</v>
      </c>
      <c r="BB62" s="100">
        <v>0.6428571428571429</v>
      </c>
      <c r="BC62" s="100" t="s">
        <v>916</v>
      </c>
      <c r="BD62" s="157">
        <v>1.2610999999999999</v>
      </c>
      <c r="BE62" s="157">
        <v>1.6191</v>
      </c>
      <c r="BF62" s="161">
        <v>1020</v>
      </c>
      <c r="BG62" s="161">
        <v>14</v>
      </c>
      <c r="BH62" s="161">
        <v>2517</v>
      </c>
      <c r="BI62" s="161">
        <v>855</v>
      </c>
      <c r="BJ62" s="161">
        <v>524</v>
      </c>
      <c r="BK62" s="97"/>
      <c r="BL62" s="97"/>
      <c r="BM62" s="97"/>
      <c r="BN62" s="97"/>
    </row>
    <row r="63" spans="1:66" ht="12.75">
      <c r="A63" s="79" t="s">
        <v>283</v>
      </c>
      <c r="B63" s="79" t="s">
        <v>92</v>
      </c>
      <c r="C63" s="79" t="s">
        <v>367</v>
      </c>
      <c r="D63" s="99">
        <v>3900</v>
      </c>
      <c r="E63" s="99">
        <v>330</v>
      </c>
      <c r="F63" s="99" t="s">
        <v>177</v>
      </c>
      <c r="G63" s="99">
        <v>13</v>
      </c>
      <c r="H63" s="99" t="s">
        <v>916</v>
      </c>
      <c r="I63" s="99">
        <v>27</v>
      </c>
      <c r="J63" s="99">
        <v>144</v>
      </c>
      <c r="K63" s="99">
        <v>130</v>
      </c>
      <c r="L63" s="99">
        <v>677</v>
      </c>
      <c r="M63" s="99">
        <v>59</v>
      </c>
      <c r="N63" s="99">
        <v>37</v>
      </c>
      <c r="O63" s="99">
        <v>25</v>
      </c>
      <c r="P63" s="158">
        <v>25</v>
      </c>
      <c r="Q63" s="99">
        <v>7</v>
      </c>
      <c r="R63" s="99">
        <v>17</v>
      </c>
      <c r="S63" s="99">
        <v>13</v>
      </c>
      <c r="T63" s="99" t="s">
        <v>916</v>
      </c>
      <c r="U63" s="99" t="s">
        <v>916</v>
      </c>
      <c r="V63" s="99" t="s">
        <v>916</v>
      </c>
      <c r="W63" s="99">
        <v>6</v>
      </c>
      <c r="X63" s="99" t="s">
        <v>916</v>
      </c>
      <c r="Y63" s="99">
        <v>13</v>
      </c>
      <c r="Z63" s="99">
        <v>14</v>
      </c>
      <c r="AA63" s="99" t="s">
        <v>916</v>
      </c>
      <c r="AB63" s="99" t="s">
        <v>916</v>
      </c>
      <c r="AC63" s="99" t="s">
        <v>916</v>
      </c>
      <c r="AD63" s="98" t="s">
        <v>158</v>
      </c>
      <c r="AE63" s="100">
        <v>0.08461538461538462</v>
      </c>
      <c r="AF63" s="100">
        <v>0.35</v>
      </c>
      <c r="AG63" s="98">
        <v>333.3333333333333</v>
      </c>
      <c r="AH63" s="98" t="s">
        <v>916</v>
      </c>
      <c r="AI63" s="100">
        <v>0.0069</v>
      </c>
      <c r="AJ63" s="100">
        <v>0.555985</v>
      </c>
      <c r="AK63" s="100">
        <v>0.528455</v>
      </c>
      <c r="AL63" s="100">
        <v>0.669634</v>
      </c>
      <c r="AM63" s="100">
        <v>0.349112</v>
      </c>
      <c r="AN63" s="100">
        <v>0.342593</v>
      </c>
      <c r="AO63" s="98">
        <v>641.025641025641</v>
      </c>
      <c r="AP63" s="157">
        <v>0.431</v>
      </c>
      <c r="AQ63" s="100">
        <v>0.28</v>
      </c>
      <c r="AR63" s="100">
        <v>0.4117647058823529</v>
      </c>
      <c r="AS63" s="98">
        <v>333.3333333333333</v>
      </c>
      <c r="AT63" s="98" t="s">
        <v>916</v>
      </c>
      <c r="AU63" s="98" t="s">
        <v>916</v>
      </c>
      <c r="AV63" s="98" t="s">
        <v>916</v>
      </c>
      <c r="AW63" s="98">
        <v>153.84615384615384</v>
      </c>
      <c r="AX63" s="98" t="s">
        <v>916</v>
      </c>
      <c r="AY63" s="98">
        <v>333.3333333333333</v>
      </c>
      <c r="AZ63" s="98">
        <v>358.97435897435895</v>
      </c>
      <c r="BA63" s="100" t="s">
        <v>916</v>
      </c>
      <c r="BB63" s="100" t="s">
        <v>916</v>
      </c>
      <c r="BC63" s="100" t="s">
        <v>916</v>
      </c>
      <c r="BD63" s="157">
        <v>0.2789</v>
      </c>
      <c r="BE63" s="157">
        <v>0.6363</v>
      </c>
      <c r="BF63" s="161">
        <v>259</v>
      </c>
      <c r="BG63" s="161">
        <v>246</v>
      </c>
      <c r="BH63" s="161">
        <v>1011</v>
      </c>
      <c r="BI63" s="161">
        <v>169</v>
      </c>
      <c r="BJ63" s="161">
        <v>108</v>
      </c>
      <c r="BK63" s="97"/>
      <c r="BL63" s="97"/>
      <c r="BM63" s="97"/>
      <c r="BN63" s="97"/>
    </row>
    <row r="64" spans="1:66" ht="12.75">
      <c r="A64" s="79" t="s">
        <v>284</v>
      </c>
      <c r="B64" s="79" t="s">
        <v>93</v>
      </c>
      <c r="C64" s="79" t="s">
        <v>367</v>
      </c>
      <c r="D64" s="99">
        <v>1785</v>
      </c>
      <c r="E64" s="99">
        <v>325</v>
      </c>
      <c r="F64" s="99" t="s">
        <v>177</v>
      </c>
      <c r="G64" s="99">
        <v>10</v>
      </c>
      <c r="H64" s="99" t="s">
        <v>916</v>
      </c>
      <c r="I64" s="99">
        <v>29</v>
      </c>
      <c r="J64" s="99">
        <v>121</v>
      </c>
      <c r="K64" s="99">
        <v>117</v>
      </c>
      <c r="L64" s="99">
        <v>269</v>
      </c>
      <c r="M64" s="99">
        <v>75</v>
      </c>
      <c r="N64" s="99">
        <v>37</v>
      </c>
      <c r="O64" s="99">
        <v>25</v>
      </c>
      <c r="P64" s="158">
        <v>25</v>
      </c>
      <c r="Q64" s="99" t="s">
        <v>916</v>
      </c>
      <c r="R64" s="99">
        <v>7</v>
      </c>
      <c r="S64" s="99" t="s">
        <v>916</v>
      </c>
      <c r="T64" s="99">
        <v>6</v>
      </c>
      <c r="U64" s="99" t="s">
        <v>916</v>
      </c>
      <c r="V64" s="99" t="s">
        <v>916</v>
      </c>
      <c r="W64" s="99" t="s">
        <v>916</v>
      </c>
      <c r="X64" s="99">
        <v>11</v>
      </c>
      <c r="Y64" s="99">
        <v>14</v>
      </c>
      <c r="Z64" s="99">
        <v>13</v>
      </c>
      <c r="AA64" s="99" t="s">
        <v>916</v>
      </c>
      <c r="AB64" s="99" t="s">
        <v>916</v>
      </c>
      <c r="AC64" s="99" t="s">
        <v>916</v>
      </c>
      <c r="AD64" s="98" t="s">
        <v>158</v>
      </c>
      <c r="AE64" s="100">
        <v>0.18207282913165265</v>
      </c>
      <c r="AF64" s="100">
        <v>0.29</v>
      </c>
      <c r="AG64" s="98">
        <v>560.2240896358544</v>
      </c>
      <c r="AH64" s="98" t="s">
        <v>916</v>
      </c>
      <c r="AI64" s="100">
        <v>0.016200000000000003</v>
      </c>
      <c r="AJ64" s="100">
        <v>0.630208</v>
      </c>
      <c r="AK64" s="100">
        <v>0.62234</v>
      </c>
      <c r="AL64" s="100">
        <v>0.665842</v>
      </c>
      <c r="AM64" s="100">
        <v>0.465839</v>
      </c>
      <c r="AN64" s="100">
        <v>0.385417</v>
      </c>
      <c r="AO64" s="98">
        <v>1400.5602240896358</v>
      </c>
      <c r="AP64" s="157">
        <v>0.6840999999999999</v>
      </c>
      <c r="AQ64" s="100" t="s">
        <v>916</v>
      </c>
      <c r="AR64" s="100" t="s">
        <v>916</v>
      </c>
      <c r="AS64" s="98" t="s">
        <v>916</v>
      </c>
      <c r="AT64" s="98">
        <v>336.1344537815126</v>
      </c>
      <c r="AU64" s="98" t="s">
        <v>916</v>
      </c>
      <c r="AV64" s="98" t="s">
        <v>916</v>
      </c>
      <c r="AW64" s="98" t="s">
        <v>916</v>
      </c>
      <c r="AX64" s="98">
        <v>616.2464985994397</v>
      </c>
      <c r="AY64" s="98">
        <v>784.3137254901961</v>
      </c>
      <c r="AZ64" s="98">
        <v>728.2913165266107</v>
      </c>
      <c r="BA64" s="100" t="s">
        <v>916</v>
      </c>
      <c r="BB64" s="100" t="s">
        <v>916</v>
      </c>
      <c r="BC64" s="100" t="s">
        <v>916</v>
      </c>
      <c r="BD64" s="157">
        <v>0.44270000000000004</v>
      </c>
      <c r="BE64" s="157">
        <v>1.0098</v>
      </c>
      <c r="BF64" s="161">
        <v>192</v>
      </c>
      <c r="BG64" s="161">
        <v>188</v>
      </c>
      <c r="BH64" s="161">
        <v>404</v>
      </c>
      <c r="BI64" s="161">
        <v>161</v>
      </c>
      <c r="BJ64" s="161">
        <v>96</v>
      </c>
      <c r="BK64" s="97"/>
      <c r="BL64" s="97"/>
      <c r="BM64" s="97"/>
      <c r="BN64" s="97"/>
    </row>
    <row r="65" spans="1:66" ht="12.75">
      <c r="A65" s="79" t="s">
        <v>279</v>
      </c>
      <c r="B65" s="79" t="s">
        <v>88</v>
      </c>
      <c r="C65" s="79" t="s">
        <v>367</v>
      </c>
      <c r="D65" s="99">
        <v>5113</v>
      </c>
      <c r="E65" s="99">
        <v>192</v>
      </c>
      <c r="F65" s="99" t="s">
        <v>177</v>
      </c>
      <c r="G65" s="99">
        <v>9</v>
      </c>
      <c r="H65" s="99" t="s">
        <v>916</v>
      </c>
      <c r="I65" s="99">
        <v>20</v>
      </c>
      <c r="J65" s="99">
        <v>159</v>
      </c>
      <c r="K65" s="99" t="s">
        <v>916</v>
      </c>
      <c r="L65" s="99">
        <v>814</v>
      </c>
      <c r="M65" s="99">
        <v>48</v>
      </c>
      <c r="N65" s="99">
        <v>27</v>
      </c>
      <c r="O65" s="99">
        <v>26</v>
      </c>
      <c r="P65" s="158">
        <v>26</v>
      </c>
      <c r="Q65" s="99" t="s">
        <v>916</v>
      </c>
      <c r="R65" s="99" t="s">
        <v>916</v>
      </c>
      <c r="S65" s="99">
        <v>9</v>
      </c>
      <c r="T65" s="99" t="s">
        <v>916</v>
      </c>
      <c r="U65" s="99" t="s">
        <v>916</v>
      </c>
      <c r="V65" s="99" t="s">
        <v>916</v>
      </c>
      <c r="W65" s="99" t="s">
        <v>916</v>
      </c>
      <c r="X65" s="99" t="s">
        <v>916</v>
      </c>
      <c r="Y65" s="99">
        <v>9</v>
      </c>
      <c r="Z65" s="99">
        <v>6</v>
      </c>
      <c r="AA65" s="99" t="s">
        <v>916</v>
      </c>
      <c r="AB65" s="99" t="s">
        <v>916</v>
      </c>
      <c r="AC65" s="99" t="s">
        <v>916</v>
      </c>
      <c r="AD65" s="98" t="s">
        <v>158</v>
      </c>
      <c r="AE65" s="100">
        <v>0.03755133972227655</v>
      </c>
      <c r="AF65" s="100">
        <v>0.33</v>
      </c>
      <c r="AG65" s="98">
        <v>176.02190494817134</v>
      </c>
      <c r="AH65" s="98" t="s">
        <v>916</v>
      </c>
      <c r="AI65" s="100">
        <v>0.0039000000000000003</v>
      </c>
      <c r="AJ65" s="100">
        <v>0.533557</v>
      </c>
      <c r="AK65" s="100" t="s">
        <v>916</v>
      </c>
      <c r="AL65" s="100">
        <v>0.716549</v>
      </c>
      <c r="AM65" s="100">
        <v>0.238806</v>
      </c>
      <c r="AN65" s="100">
        <v>0.226891</v>
      </c>
      <c r="AO65" s="98">
        <v>508.5077254058283</v>
      </c>
      <c r="AP65" s="157">
        <v>0.4189</v>
      </c>
      <c r="AQ65" s="100" t="s">
        <v>916</v>
      </c>
      <c r="AR65" s="100" t="s">
        <v>916</v>
      </c>
      <c r="AS65" s="98">
        <v>176.02190494817134</v>
      </c>
      <c r="AT65" s="98" t="s">
        <v>916</v>
      </c>
      <c r="AU65" s="98" t="s">
        <v>916</v>
      </c>
      <c r="AV65" s="98" t="s">
        <v>916</v>
      </c>
      <c r="AW65" s="98" t="s">
        <v>916</v>
      </c>
      <c r="AX65" s="98" t="s">
        <v>916</v>
      </c>
      <c r="AY65" s="98">
        <v>176.02190494817134</v>
      </c>
      <c r="AZ65" s="98">
        <v>117.34793663211421</v>
      </c>
      <c r="BA65" s="100" t="s">
        <v>916</v>
      </c>
      <c r="BB65" s="100" t="s">
        <v>916</v>
      </c>
      <c r="BC65" s="100" t="s">
        <v>916</v>
      </c>
      <c r="BD65" s="157">
        <v>0.2736</v>
      </c>
      <c r="BE65" s="157">
        <v>0.6138</v>
      </c>
      <c r="BF65" s="161">
        <v>298</v>
      </c>
      <c r="BG65" s="161" t="s">
        <v>916</v>
      </c>
      <c r="BH65" s="161">
        <v>1136</v>
      </c>
      <c r="BI65" s="161">
        <v>201</v>
      </c>
      <c r="BJ65" s="161">
        <v>119</v>
      </c>
      <c r="BK65" s="97"/>
      <c r="BL65" s="97"/>
      <c r="BM65" s="97"/>
      <c r="BN65" s="97"/>
    </row>
    <row r="66" spans="1:66" ht="12.75">
      <c r="A66" s="79" t="s">
        <v>376</v>
      </c>
      <c r="B66" s="79" t="s">
        <v>95</v>
      </c>
      <c r="C66" s="79" t="s">
        <v>367</v>
      </c>
      <c r="D66" s="99">
        <v>10797</v>
      </c>
      <c r="E66" s="99">
        <v>1541</v>
      </c>
      <c r="F66" s="99" t="s">
        <v>176</v>
      </c>
      <c r="G66" s="99">
        <v>45</v>
      </c>
      <c r="H66" s="99">
        <v>25</v>
      </c>
      <c r="I66" s="99">
        <v>168</v>
      </c>
      <c r="J66" s="99">
        <v>788</v>
      </c>
      <c r="K66" s="99">
        <v>372</v>
      </c>
      <c r="L66" s="99">
        <v>2038</v>
      </c>
      <c r="M66" s="99">
        <v>447</v>
      </c>
      <c r="N66" s="99">
        <v>247</v>
      </c>
      <c r="O66" s="99">
        <v>257</v>
      </c>
      <c r="P66" s="158">
        <v>257</v>
      </c>
      <c r="Q66" s="99">
        <v>17</v>
      </c>
      <c r="R66" s="99">
        <v>51</v>
      </c>
      <c r="S66" s="99">
        <v>69</v>
      </c>
      <c r="T66" s="99">
        <v>39</v>
      </c>
      <c r="U66" s="99" t="s">
        <v>916</v>
      </c>
      <c r="V66" s="99">
        <v>40</v>
      </c>
      <c r="W66" s="99">
        <v>31</v>
      </c>
      <c r="X66" s="99">
        <v>63</v>
      </c>
      <c r="Y66" s="99">
        <v>96</v>
      </c>
      <c r="Z66" s="99">
        <v>70</v>
      </c>
      <c r="AA66" s="99">
        <v>15</v>
      </c>
      <c r="AB66" s="99">
        <v>32</v>
      </c>
      <c r="AC66" s="99">
        <v>13</v>
      </c>
      <c r="AD66" s="98" t="s">
        <v>158</v>
      </c>
      <c r="AE66" s="100">
        <v>0.14272483097156619</v>
      </c>
      <c r="AF66" s="100">
        <v>0.21</v>
      </c>
      <c r="AG66" s="98">
        <v>416.78243956654626</v>
      </c>
      <c r="AH66" s="98">
        <v>231.54579975919236</v>
      </c>
      <c r="AI66" s="100">
        <v>0.015600000000000001</v>
      </c>
      <c r="AJ66" s="100">
        <v>0.701692</v>
      </c>
      <c r="AK66" s="100">
        <v>0.644714</v>
      </c>
      <c r="AL66" s="100">
        <v>0.745155</v>
      </c>
      <c r="AM66" s="100">
        <v>0.459404</v>
      </c>
      <c r="AN66" s="100">
        <v>0.416526</v>
      </c>
      <c r="AO66" s="98">
        <v>2380.2908215244975</v>
      </c>
      <c r="AP66" s="157">
        <v>1.2862</v>
      </c>
      <c r="AQ66" s="100">
        <v>0.06614785992217899</v>
      </c>
      <c r="AR66" s="100">
        <v>0.3333333333333333</v>
      </c>
      <c r="AS66" s="98">
        <v>639.066407335371</v>
      </c>
      <c r="AT66" s="98">
        <v>361.2114476243401</v>
      </c>
      <c r="AU66" s="98" t="s">
        <v>916</v>
      </c>
      <c r="AV66" s="98">
        <v>370.4732796147078</v>
      </c>
      <c r="AW66" s="98">
        <v>287.11679170139854</v>
      </c>
      <c r="AX66" s="98">
        <v>583.4954153931648</v>
      </c>
      <c r="AY66" s="98">
        <v>889.1358710752987</v>
      </c>
      <c r="AZ66" s="98">
        <v>648.3282393257387</v>
      </c>
      <c r="BA66" s="100">
        <v>0.25</v>
      </c>
      <c r="BB66" s="100">
        <v>0.5333333333333333</v>
      </c>
      <c r="BC66" s="100">
        <v>0.21666666666666667</v>
      </c>
      <c r="BD66" s="157">
        <v>1.1337000000000002</v>
      </c>
      <c r="BE66" s="157">
        <v>1.4534</v>
      </c>
      <c r="BF66" s="161">
        <v>1123</v>
      </c>
      <c r="BG66" s="161">
        <v>577</v>
      </c>
      <c r="BH66" s="161">
        <v>2735</v>
      </c>
      <c r="BI66" s="161">
        <v>973</v>
      </c>
      <c r="BJ66" s="161">
        <v>593</v>
      </c>
      <c r="BK66" s="97"/>
      <c r="BL66" s="97"/>
      <c r="BM66" s="97"/>
      <c r="BN66" s="97"/>
    </row>
    <row r="67" spans="1:66" ht="12.75">
      <c r="A67" s="79" t="s">
        <v>299</v>
      </c>
      <c r="B67" s="79" t="s">
        <v>114</v>
      </c>
      <c r="C67" s="79" t="s">
        <v>367</v>
      </c>
      <c r="D67" s="99">
        <v>4423</v>
      </c>
      <c r="E67" s="99">
        <v>928</v>
      </c>
      <c r="F67" s="99" t="s">
        <v>177</v>
      </c>
      <c r="G67" s="99">
        <v>24</v>
      </c>
      <c r="H67" s="99">
        <v>15</v>
      </c>
      <c r="I67" s="99">
        <v>43</v>
      </c>
      <c r="J67" s="99">
        <v>388</v>
      </c>
      <c r="K67" s="99">
        <v>360</v>
      </c>
      <c r="L67" s="99">
        <v>758</v>
      </c>
      <c r="M67" s="99">
        <v>231</v>
      </c>
      <c r="N67" s="99">
        <v>127</v>
      </c>
      <c r="O67" s="99">
        <v>78</v>
      </c>
      <c r="P67" s="158">
        <v>78</v>
      </c>
      <c r="Q67" s="99" t="s">
        <v>916</v>
      </c>
      <c r="R67" s="99">
        <v>23</v>
      </c>
      <c r="S67" s="99">
        <v>36</v>
      </c>
      <c r="T67" s="99">
        <v>11</v>
      </c>
      <c r="U67" s="99" t="s">
        <v>916</v>
      </c>
      <c r="V67" s="99" t="s">
        <v>916</v>
      </c>
      <c r="W67" s="99">
        <v>25</v>
      </c>
      <c r="X67" s="99">
        <v>29</v>
      </c>
      <c r="Y67" s="99">
        <v>65</v>
      </c>
      <c r="Z67" s="99">
        <v>33</v>
      </c>
      <c r="AA67" s="99" t="s">
        <v>916</v>
      </c>
      <c r="AB67" s="99">
        <v>11</v>
      </c>
      <c r="AC67" s="99" t="s">
        <v>916</v>
      </c>
      <c r="AD67" s="98" t="s">
        <v>158</v>
      </c>
      <c r="AE67" s="100">
        <v>0.20981234456251413</v>
      </c>
      <c r="AF67" s="100">
        <v>0.26</v>
      </c>
      <c r="AG67" s="98">
        <v>542.6181324892607</v>
      </c>
      <c r="AH67" s="98">
        <v>339.1363328057879</v>
      </c>
      <c r="AI67" s="100">
        <v>0.0097</v>
      </c>
      <c r="AJ67" s="100">
        <v>0.782258</v>
      </c>
      <c r="AK67" s="100">
        <v>0.75</v>
      </c>
      <c r="AL67" s="100">
        <v>0.771894</v>
      </c>
      <c r="AM67" s="100">
        <v>0.486316</v>
      </c>
      <c r="AN67" s="100">
        <v>0.447183</v>
      </c>
      <c r="AO67" s="98">
        <v>1763.5089305900972</v>
      </c>
      <c r="AP67" s="157">
        <v>0.8062</v>
      </c>
      <c r="AQ67" s="100" t="s">
        <v>916</v>
      </c>
      <c r="AR67" s="100" t="s">
        <v>916</v>
      </c>
      <c r="AS67" s="98">
        <v>813.927198733891</v>
      </c>
      <c r="AT67" s="98">
        <v>248.69997739091116</v>
      </c>
      <c r="AU67" s="98" t="s">
        <v>916</v>
      </c>
      <c r="AV67" s="98" t="s">
        <v>916</v>
      </c>
      <c r="AW67" s="98">
        <v>565.2272213429799</v>
      </c>
      <c r="AX67" s="98">
        <v>655.6635767578566</v>
      </c>
      <c r="AY67" s="98">
        <v>1469.5907754917478</v>
      </c>
      <c r="AZ67" s="98">
        <v>746.0999321727335</v>
      </c>
      <c r="BA67" s="100" t="s">
        <v>916</v>
      </c>
      <c r="BB67" s="100">
        <v>0.6875</v>
      </c>
      <c r="BC67" s="100" t="s">
        <v>916</v>
      </c>
      <c r="BD67" s="157">
        <v>0.6373</v>
      </c>
      <c r="BE67" s="157">
        <v>1.0062</v>
      </c>
      <c r="BF67" s="161">
        <v>496</v>
      </c>
      <c r="BG67" s="161">
        <v>480</v>
      </c>
      <c r="BH67" s="161">
        <v>982</v>
      </c>
      <c r="BI67" s="161">
        <v>475</v>
      </c>
      <c r="BJ67" s="161">
        <v>284</v>
      </c>
      <c r="BK67" s="97"/>
      <c r="BL67" s="97"/>
      <c r="BM67" s="97"/>
      <c r="BN67" s="97"/>
    </row>
    <row r="68" spans="1:66" ht="12.75">
      <c r="A68" s="79" t="s">
        <v>269</v>
      </c>
      <c r="B68" s="79" t="s">
        <v>74</v>
      </c>
      <c r="C68" s="79" t="s">
        <v>367</v>
      </c>
      <c r="D68" s="99">
        <v>3845</v>
      </c>
      <c r="E68" s="99">
        <v>407</v>
      </c>
      <c r="F68" s="99" t="s">
        <v>177</v>
      </c>
      <c r="G68" s="99">
        <v>8</v>
      </c>
      <c r="H68" s="99" t="s">
        <v>916</v>
      </c>
      <c r="I68" s="99">
        <v>42</v>
      </c>
      <c r="J68" s="99">
        <v>239</v>
      </c>
      <c r="K68" s="99" t="s">
        <v>916</v>
      </c>
      <c r="L68" s="99">
        <v>743</v>
      </c>
      <c r="M68" s="99">
        <v>91</v>
      </c>
      <c r="N68" s="99">
        <v>50</v>
      </c>
      <c r="O68" s="99">
        <v>39</v>
      </c>
      <c r="P68" s="158">
        <v>39</v>
      </c>
      <c r="Q68" s="99">
        <v>9</v>
      </c>
      <c r="R68" s="99">
        <v>13</v>
      </c>
      <c r="S68" s="99">
        <v>18</v>
      </c>
      <c r="T68" s="99" t="s">
        <v>916</v>
      </c>
      <c r="U68" s="99" t="s">
        <v>916</v>
      </c>
      <c r="V68" s="99" t="s">
        <v>916</v>
      </c>
      <c r="W68" s="99" t="s">
        <v>916</v>
      </c>
      <c r="X68" s="99">
        <v>12</v>
      </c>
      <c r="Y68" s="99">
        <v>7</v>
      </c>
      <c r="Z68" s="99">
        <v>10</v>
      </c>
      <c r="AA68" s="99" t="s">
        <v>916</v>
      </c>
      <c r="AB68" s="99" t="s">
        <v>916</v>
      </c>
      <c r="AC68" s="99" t="s">
        <v>916</v>
      </c>
      <c r="AD68" s="98" t="s">
        <v>158</v>
      </c>
      <c r="AE68" s="100">
        <v>0.105851755526658</v>
      </c>
      <c r="AF68" s="100">
        <v>0.32</v>
      </c>
      <c r="AG68" s="98">
        <v>208.06241872561768</v>
      </c>
      <c r="AH68" s="98" t="s">
        <v>916</v>
      </c>
      <c r="AI68" s="100">
        <v>0.0109</v>
      </c>
      <c r="AJ68" s="100">
        <v>0.660221</v>
      </c>
      <c r="AK68" s="100" t="s">
        <v>916</v>
      </c>
      <c r="AL68" s="100">
        <v>0.758163</v>
      </c>
      <c r="AM68" s="100">
        <v>0.35</v>
      </c>
      <c r="AN68" s="100">
        <v>0.310559</v>
      </c>
      <c r="AO68" s="98">
        <v>1014.3042912873863</v>
      </c>
      <c r="AP68" s="157">
        <v>0.6217</v>
      </c>
      <c r="AQ68" s="100">
        <v>0.23076923076923078</v>
      </c>
      <c r="AR68" s="100">
        <v>0.6923076923076923</v>
      </c>
      <c r="AS68" s="98">
        <v>468.1404421326398</v>
      </c>
      <c r="AT68" s="98" t="s">
        <v>916</v>
      </c>
      <c r="AU68" s="98" t="s">
        <v>916</v>
      </c>
      <c r="AV68" s="98" t="s">
        <v>916</v>
      </c>
      <c r="AW68" s="98" t="s">
        <v>916</v>
      </c>
      <c r="AX68" s="98">
        <v>312.09362808842656</v>
      </c>
      <c r="AY68" s="98">
        <v>182.05461638491548</v>
      </c>
      <c r="AZ68" s="98">
        <v>260.0780234070221</v>
      </c>
      <c r="BA68" s="100" t="s">
        <v>916</v>
      </c>
      <c r="BB68" s="100" t="s">
        <v>916</v>
      </c>
      <c r="BC68" s="100" t="s">
        <v>916</v>
      </c>
      <c r="BD68" s="157">
        <v>0.4421</v>
      </c>
      <c r="BE68" s="157">
        <v>0.8499</v>
      </c>
      <c r="BF68" s="161">
        <v>362</v>
      </c>
      <c r="BG68" s="161" t="s">
        <v>916</v>
      </c>
      <c r="BH68" s="161">
        <v>980</v>
      </c>
      <c r="BI68" s="161">
        <v>260</v>
      </c>
      <c r="BJ68" s="161">
        <v>161</v>
      </c>
      <c r="BK68" s="97"/>
      <c r="BL68" s="97"/>
      <c r="BM68" s="97"/>
      <c r="BN68" s="97"/>
    </row>
    <row r="69" spans="1:66" ht="12.75">
      <c r="A69" s="79" t="s">
        <v>281</v>
      </c>
      <c r="B69" s="79" t="s">
        <v>90</v>
      </c>
      <c r="C69" s="79" t="s">
        <v>367</v>
      </c>
      <c r="D69" s="99">
        <v>1309</v>
      </c>
      <c r="E69" s="99">
        <v>88</v>
      </c>
      <c r="F69" s="99" t="s">
        <v>177</v>
      </c>
      <c r="G69" s="99" t="s">
        <v>916</v>
      </c>
      <c r="H69" s="99" t="s">
        <v>916</v>
      </c>
      <c r="I69" s="99">
        <v>7</v>
      </c>
      <c r="J69" s="99">
        <v>34</v>
      </c>
      <c r="K69" s="99">
        <v>21</v>
      </c>
      <c r="L69" s="99">
        <v>256</v>
      </c>
      <c r="M69" s="99">
        <v>19</v>
      </c>
      <c r="N69" s="99">
        <v>7</v>
      </c>
      <c r="O69" s="99">
        <v>13</v>
      </c>
      <c r="P69" s="158">
        <v>13</v>
      </c>
      <c r="Q69" s="99" t="s">
        <v>916</v>
      </c>
      <c r="R69" s="99" t="s">
        <v>916</v>
      </c>
      <c r="S69" s="99" t="s">
        <v>916</v>
      </c>
      <c r="T69" s="99" t="s">
        <v>916</v>
      </c>
      <c r="U69" s="99" t="s">
        <v>916</v>
      </c>
      <c r="V69" s="99" t="s">
        <v>916</v>
      </c>
      <c r="W69" s="99" t="s">
        <v>916</v>
      </c>
      <c r="X69" s="99" t="s">
        <v>916</v>
      </c>
      <c r="Y69" s="99" t="s">
        <v>916</v>
      </c>
      <c r="Z69" s="99" t="s">
        <v>916</v>
      </c>
      <c r="AA69" s="99" t="s">
        <v>916</v>
      </c>
      <c r="AB69" s="99" t="s">
        <v>916</v>
      </c>
      <c r="AC69" s="99" t="s">
        <v>916</v>
      </c>
      <c r="AD69" s="98" t="s">
        <v>158</v>
      </c>
      <c r="AE69" s="100">
        <v>0.06722689075630252</v>
      </c>
      <c r="AF69" s="100">
        <v>0.29</v>
      </c>
      <c r="AG69" s="98" t="s">
        <v>916</v>
      </c>
      <c r="AH69" s="98" t="s">
        <v>916</v>
      </c>
      <c r="AI69" s="100">
        <v>0.0053</v>
      </c>
      <c r="AJ69" s="100">
        <v>0.53125</v>
      </c>
      <c r="AK69" s="100">
        <v>0.344262</v>
      </c>
      <c r="AL69" s="100">
        <v>0.677249</v>
      </c>
      <c r="AM69" s="100">
        <v>0.351852</v>
      </c>
      <c r="AN69" s="100">
        <v>0.2</v>
      </c>
      <c r="AO69" s="98">
        <v>993.1245225362873</v>
      </c>
      <c r="AP69" s="157">
        <v>0.7387999999999999</v>
      </c>
      <c r="AQ69" s="100" t="s">
        <v>916</v>
      </c>
      <c r="AR69" s="100" t="s">
        <v>916</v>
      </c>
      <c r="AS69" s="98" t="s">
        <v>916</v>
      </c>
      <c r="AT69" s="98" t="s">
        <v>916</v>
      </c>
      <c r="AU69" s="98" t="s">
        <v>916</v>
      </c>
      <c r="AV69" s="98" t="s">
        <v>916</v>
      </c>
      <c r="AW69" s="98" t="s">
        <v>916</v>
      </c>
      <c r="AX69" s="98" t="s">
        <v>916</v>
      </c>
      <c r="AY69" s="98" t="s">
        <v>916</v>
      </c>
      <c r="AZ69" s="98" t="s">
        <v>916</v>
      </c>
      <c r="BA69" s="100" t="s">
        <v>916</v>
      </c>
      <c r="BB69" s="100" t="s">
        <v>916</v>
      </c>
      <c r="BC69" s="100" t="s">
        <v>916</v>
      </c>
      <c r="BD69" s="157">
        <v>0.3934</v>
      </c>
      <c r="BE69" s="157">
        <v>1.2634</v>
      </c>
      <c r="BF69" s="161">
        <v>64</v>
      </c>
      <c r="BG69" s="161">
        <v>61</v>
      </c>
      <c r="BH69" s="161">
        <v>378</v>
      </c>
      <c r="BI69" s="161">
        <v>54</v>
      </c>
      <c r="BJ69" s="161">
        <v>35</v>
      </c>
      <c r="BK69" s="97"/>
      <c r="BL69" s="97"/>
      <c r="BM69" s="97"/>
      <c r="BN69" s="97"/>
    </row>
    <row r="70" spans="1:66" ht="12.75">
      <c r="A70" s="79" t="s">
        <v>458</v>
      </c>
      <c r="B70" s="79" t="s">
        <v>155</v>
      </c>
      <c r="C70" s="79" t="s">
        <v>367</v>
      </c>
      <c r="D70" s="99">
        <v>4505</v>
      </c>
      <c r="E70" s="99">
        <v>84</v>
      </c>
      <c r="F70" s="99" t="s">
        <v>177</v>
      </c>
      <c r="G70" s="99">
        <v>6</v>
      </c>
      <c r="H70" s="99" t="s">
        <v>916</v>
      </c>
      <c r="I70" s="99">
        <v>21</v>
      </c>
      <c r="J70" s="99">
        <v>61</v>
      </c>
      <c r="K70" s="99" t="s">
        <v>916</v>
      </c>
      <c r="L70" s="99">
        <v>774</v>
      </c>
      <c r="M70" s="99">
        <v>21</v>
      </c>
      <c r="N70" s="99">
        <v>6</v>
      </c>
      <c r="O70" s="99">
        <v>42</v>
      </c>
      <c r="P70" s="158">
        <v>42</v>
      </c>
      <c r="Q70" s="99" t="s">
        <v>916</v>
      </c>
      <c r="R70" s="99">
        <v>7</v>
      </c>
      <c r="S70" s="99">
        <v>15</v>
      </c>
      <c r="T70" s="99">
        <v>8</v>
      </c>
      <c r="U70" s="99" t="s">
        <v>916</v>
      </c>
      <c r="V70" s="99" t="s">
        <v>916</v>
      </c>
      <c r="W70" s="99">
        <v>7</v>
      </c>
      <c r="X70" s="99">
        <v>7</v>
      </c>
      <c r="Y70" s="99">
        <v>6</v>
      </c>
      <c r="Z70" s="99">
        <v>18</v>
      </c>
      <c r="AA70" s="99" t="s">
        <v>916</v>
      </c>
      <c r="AB70" s="99" t="s">
        <v>916</v>
      </c>
      <c r="AC70" s="99" t="s">
        <v>916</v>
      </c>
      <c r="AD70" s="98" t="s">
        <v>158</v>
      </c>
      <c r="AE70" s="100">
        <v>0.018645948945615984</v>
      </c>
      <c r="AF70" s="100">
        <v>0.37</v>
      </c>
      <c r="AG70" s="98">
        <v>133.18534961154273</v>
      </c>
      <c r="AH70" s="98" t="s">
        <v>916</v>
      </c>
      <c r="AI70" s="100">
        <v>0.004699999999999999</v>
      </c>
      <c r="AJ70" s="100">
        <v>0.358824</v>
      </c>
      <c r="AK70" s="100" t="s">
        <v>916</v>
      </c>
      <c r="AL70" s="100">
        <v>0.67013</v>
      </c>
      <c r="AM70" s="100">
        <v>0.247059</v>
      </c>
      <c r="AN70" s="100">
        <v>0.171429</v>
      </c>
      <c r="AO70" s="98">
        <v>932.2974472807991</v>
      </c>
      <c r="AP70" s="157">
        <v>0.941</v>
      </c>
      <c r="AQ70" s="100" t="s">
        <v>916</v>
      </c>
      <c r="AR70" s="100" t="s">
        <v>916</v>
      </c>
      <c r="AS70" s="98">
        <v>332.96337402885683</v>
      </c>
      <c r="AT70" s="98">
        <v>177.58046614872364</v>
      </c>
      <c r="AU70" s="98" t="s">
        <v>916</v>
      </c>
      <c r="AV70" s="98" t="s">
        <v>916</v>
      </c>
      <c r="AW70" s="98">
        <v>155.3829078801332</v>
      </c>
      <c r="AX70" s="98">
        <v>155.3829078801332</v>
      </c>
      <c r="AY70" s="98">
        <v>133.18534961154273</v>
      </c>
      <c r="AZ70" s="98">
        <v>399.5560488346282</v>
      </c>
      <c r="BA70" s="100" t="s">
        <v>916</v>
      </c>
      <c r="BB70" s="100" t="s">
        <v>916</v>
      </c>
      <c r="BC70" s="100" t="s">
        <v>916</v>
      </c>
      <c r="BD70" s="157">
        <v>0.6781999999999999</v>
      </c>
      <c r="BE70" s="157">
        <v>1.272</v>
      </c>
      <c r="BF70" s="161">
        <v>170</v>
      </c>
      <c r="BG70" s="161" t="s">
        <v>916</v>
      </c>
      <c r="BH70" s="161">
        <v>1155</v>
      </c>
      <c r="BI70" s="161">
        <v>85</v>
      </c>
      <c r="BJ70" s="161">
        <v>35</v>
      </c>
      <c r="BK70" s="97"/>
      <c r="BL70" s="97"/>
      <c r="BM70" s="97"/>
      <c r="BN70" s="97"/>
    </row>
    <row r="71" spans="1:66" ht="12.75">
      <c r="A71" s="79" t="s">
        <v>260</v>
      </c>
      <c r="B71" s="79" t="s">
        <v>251</v>
      </c>
      <c r="C71" s="79" t="s">
        <v>367</v>
      </c>
      <c r="D71" s="99">
        <v>11689</v>
      </c>
      <c r="E71" s="99">
        <v>1143</v>
      </c>
      <c r="F71" s="99" t="s">
        <v>177</v>
      </c>
      <c r="G71" s="99">
        <v>48</v>
      </c>
      <c r="H71" s="99">
        <v>14</v>
      </c>
      <c r="I71" s="99">
        <v>164</v>
      </c>
      <c r="J71" s="99">
        <v>636</v>
      </c>
      <c r="K71" s="99">
        <v>607</v>
      </c>
      <c r="L71" s="99">
        <v>2080</v>
      </c>
      <c r="M71" s="99">
        <v>270</v>
      </c>
      <c r="N71" s="99">
        <v>161</v>
      </c>
      <c r="O71" s="99">
        <v>215</v>
      </c>
      <c r="P71" s="158">
        <v>215</v>
      </c>
      <c r="Q71" s="99">
        <v>19</v>
      </c>
      <c r="R71" s="99">
        <v>42</v>
      </c>
      <c r="S71" s="99">
        <v>56</v>
      </c>
      <c r="T71" s="99">
        <v>38</v>
      </c>
      <c r="U71" s="99" t="s">
        <v>916</v>
      </c>
      <c r="V71" s="99">
        <v>6</v>
      </c>
      <c r="W71" s="99">
        <v>10</v>
      </c>
      <c r="X71" s="99">
        <v>38</v>
      </c>
      <c r="Y71" s="99">
        <v>33</v>
      </c>
      <c r="Z71" s="99">
        <v>74</v>
      </c>
      <c r="AA71" s="99">
        <v>8</v>
      </c>
      <c r="AB71" s="99">
        <v>24</v>
      </c>
      <c r="AC71" s="99">
        <v>7</v>
      </c>
      <c r="AD71" s="98" t="s">
        <v>158</v>
      </c>
      <c r="AE71" s="100">
        <v>0.09778424159466165</v>
      </c>
      <c r="AF71" s="100">
        <v>0.37</v>
      </c>
      <c r="AG71" s="98">
        <v>410.64248438703055</v>
      </c>
      <c r="AH71" s="98">
        <v>119.77072461288391</v>
      </c>
      <c r="AI71" s="100">
        <v>0.013999999999999999</v>
      </c>
      <c r="AJ71" s="100">
        <v>0.70903</v>
      </c>
      <c r="AK71" s="100">
        <v>0.685102</v>
      </c>
      <c r="AL71" s="100">
        <v>0.781661</v>
      </c>
      <c r="AM71" s="100">
        <v>0.480427</v>
      </c>
      <c r="AN71" s="100">
        <v>0.454802</v>
      </c>
      <c r="AO71" s="98">
        <v>1839.3361279835742</v>
      </c>
      <c r="AP71" s="157">
        <v>1.2311</v>
      </c>
      <c r="AQ71" s="100">
        <v>0.08837209302325581</v>
      </c>
      <c r="AR71" s="100">
        <v>0.4523809523809524</v>
      </c>
      <c r="AS71" s="98">
        <v>479.08289845153564</v>
      </c>
      <c r="AT71" s="98">
        <v>325.09196680639917</v>
      </c>
      <c r="AU71" s="98" t="s">
        <v>916</v>
      </c>
      <c r="AV71" s="98">
        <v>51.33031054837882</v>
      </c>
      <c r="AW71" s="98">
        <v>85.55051758063136</v>
      </c>
      <c r="AX71" s="98">
        <v>325.09196680639917</v>
      </c>
      <c r="AY71" s="98">
        <v>282.3167080160835</v>
      </c>
      <c r="AZ71" s="98">
        <v>633.073830096672</v>
      </c>
      <c r="BA71" s="100">
        <v>0.20512820512820512</v>
      </c>
      <c r="BB71" s="100">
        <v>0.6153846153846154</v>
      </c>
      <c r="BC71" s="100">
        <v>0.1794871794871795</v>
      </c>
      <c r="BD71" s="157">
        <v>1.072</v>
      </c>
      <c r="BE71" s="157">
        <v>1.4071</v>
      </c>
      <c r="BF71" s="161">
        <v>897</v>
      </c>
      <c r="BG71" s="161">
        <v>886</v>
      </c>
      <c r="BH71" s="161">
        <v>2661</v>
      </c>
      <c r="BI71" s="161">
        <v>562</v>
      </c>
      <c r="BJ71" s="161">
        <v>354</v>
      </c>
      <c r="BK71" s="97"/>
      <c r="BL71" s="97"/>
      <c r="BM71" s="97"/>
      <c r="BN71" s="97"/>
    </row>
    <row r="72" spans="1:66" ht="12.75">
      <c r="A72" s="79" t="s">
        <v>306</v>
      </c>
      <c r="B72" s="79" t="s">
        <v>123</v>
      </c>
      <c r="C72" s="79" t="s">
        <v>367</v>
      </c>
      <c r="D72" s="99">
        <v>9753</v>
      </c>
      <c r="E72" s="99">
        <v>1601</v>
      </c>
      <c r="F72" s="99" t="s">
        <v>177</v>
      </c>
      <c r="G72" s="99">
        <v>40</v>
      </c>
      <c r="H72" s="99">
        <v>33</v>
      </c>
      <c r="I72" s="99">
        <v>150</v>
      </c>
      <c r="J72" s="99">
        <v>734</v>
      </c>
      <c r="K72" s="99">
        <v>7</v>
      </c>
      <c r="L72" s="99">
        <v>1658</v>
      </c>
      <c r="M72" s="99">
        <v>489</v>
      </c>
      <c r="N72" s="99">
        <v>264</v>
      </c>
      <c r="O72" s="99">
        <v>226</v>
      </c>
      <c r="P72" s="158">
        <v>226</v>
      </c>
      <c r="Q72" s="99">
        <v>24</v>
      </c>
      <c r="R72" s="99">
        <v>50</v>
      </c>
      <c r="S72" s="99">
        <v>43</v>
      </c>
      <c r="T72" s="99">
        <v>28</v>
      </c>
      <c r="U72" s="99">
        <v>10</v>
      </c>
      <c r="V72" s="99">
        <v>25</v>
      </c>
      <c r="W72" s="99">
        <v>39</v>
      </c>
      <c r="X72" s="99">
        <v>58</v>
      </c>
      <c r="Y72" s="99">
        <v>116</v>
      </c>
      <c r="Z72" s="99">
        <v>69</v>
      </c>
      <c r="AA72" s="99">
        <v>13</v>
      </c>
      <c r="AB72" s="99">
        <v>27</v>
      </c>
      <c r="AC72" s="99">
        <v>11</v>
      </c>
      <c r="AD72" s="98" t="s">
        <v>158</v>
      </c>
      <c r="AE72" s="100">
        <v>0.16415461909156157</v>
      </c>
      <c r="AF72" s="100">
        <v>0.26</v>
      </c>
      <c r="AG72" s="98">
        <v>410.13021634368914</v>
      </c>
      <c r="AH72" s="98">
        <v>338.3574284835435</v>
      </c>
      <c r="AI72" s="100">
        <v>0.0154</v>
      </c>
      <c r="AJ72" s="100">
        <v>0.671546</v>
      </c>
      <c r="AK72" s="100">
        <v>0.538462</v>
      </c>
      <c r="AL72" s="100">
        <v>0.692565</v>
      </c>
      <c r="AM72" s="100">
        <v>0.520767</v>
      </c>
      <c r="AN72" s="100">
        <v>0.471429</v>
      </c>
      <c r="AO72" s="98">
        <v>2317.2357223418435</v>
      </c>
      <c r="AP72" s="157">
        <v>1.1872</v>
      </c>
      <c r="AQ72" s="100">
        <v>0.10619469026548672</v>
      </c>
      <c r="AR72" s="100">
        <v>0.48</v>
      </c>
      <c r="AS72" s="98">
        <v>440.8899825694658</v>
      </c>
      <c r="AT72" s="98">
        <v>287.0911514405824</v>
      </c>
      <c r="AU72" s="98">
        <v>102.53255408592229</v>
      </c>
      <c r="AV72" s="98">
        <v>256.3313852148057</v>
      </c>
      <c r="AW72" s="98">
        <v>399.8769609350969</v>
      </c>
      <c r="AX72" s="98">
        <v>594.6888136983492</v>
      </c>
      <c r="AY72" s="98">
        <v>1189.3776273966985</v>
      </c>
      <c r="AZ72" s="98">
        <v>707.4746231928638</v>
      </c>
      <c r="BA72" s="100">
        <v>0.2549019607843137</v>
      </c>
      <c r="BB72" s="100">
        <v>0.5294117647058824</v>
      </c>
      <c r="BC72" s="100">
        <v>0.21568627450980393</v>
      </c>
      <c r="BD72" s="157">
        <v>1.0375</v>
      </c>
      <c r="BE72" s="157">
        <v>1.3525</v>
      </c>
      <c r="BF72" s="161">
        <v>1093</v>
      </c>
      <c r="BG72" s="161">
        <v>13</v>
      </c>
      <c r="BH72" s="161">
        <v>2394</v>
      </c>
      <c r="BI72" s="161">
        <v>939</v>
      </c>
      <c r="BJ72" s="161">
        <v>560</v>
      </c>
      <c r="BK72" s="97"/>
      <c r="BL72" s="97"/>
      <c r="BM72" s="97"/>
      <c r="BN72" s="97"/>
    </row>
    <row r="73" spans="1:66" ht="12.75">
      <c r="A73" s="79" t="s">
        <v>319</v>
      </c>
      <c r="B73" s="79" t="s">
        <v>144</v>
      </c>
      <c r="C73" s="79" t="s">
        <v>367</v>
      </c>
      <c r="D73" s="99">
        <v>3564</v>
      </c>
      <c r="E73" s="99">
        <v>494</v>
      </c>
      <c r="F73" s="99" t="s">
        <v>177</v>
      </c>
      <c r="G73" s="99">
        <v>9</v>
      </c>
      <c r="H73" s="99" t="s">
        <v>916</v>
      </c>
      <c r="I73" s="99">
        <v>25</v>
      </c>
      <c r="J73" s="99">
        <v>222</v>
      </c>
      <c r="K73" s="99">
        <v>188</v>
      </c>
      <c r="L73" s="99">
        <v>630</v>
      </c>
      <c r="M73" s="99">
        <v>104</v>
      </c>
      <c r="N73" s="99">
        <v>63</v>
      </c>
      <c r="O73" s="99">
        <v>21</v>
      </c>
      <c r="P73" s="158">
        <v>21</v>
      </c>
      <c r="Q73" s="99" t="s">
        <v>916</v>
      </c>
      <c r="R73" s="99">
        <v>8</v>
      </c>
      <c r="S73" s="99">
        <v>9</v>
      </c>
      <c r="T73" s="99" t="s">
        <v>916</v>
      </c>
      <c r="U73" s="99" t="s">
        <v>916</v>
      </c>
      <c r="V73" s="99" t="s">
        <v>916</v>
      </c>
      <c r="W73" s="99" t="s">
        <v>916</v>
      </c>
      <c r="X73" s="99">
        <v>16</v>
      </c>
      <c r="Y73" s="99">
        <v>21</v>
      </c>
      <c r="Z73" s="99">
        <v>6</v>
      </c>
      <c r="AA73" s="99" t="s">
        <v>916</v>
      </c>
      <c r="AB73" s="99" t="s">
        <v>916</v>
      </c>
      <c r="AC73" s="99" t="s">
        <v>916</v>
      </c>
      <c r="AD73" s="98" t="s">
        <v>158</v>
      </c>
      <c r="AE73" s="100">
        <v>0.13860830527497195</v>
      </c>
      <c r="AF73" s="100">
        <v>0.28</v>
      </c>
      <c r="AG73" s="98">
        <v>252.5252525252525</v>
      </c>
      <c r="AH73" s="98" t="s">
        <v>916</v>
      </c>
      <c r="AI73" s="100">
        <v>0.006999999999999999</v>
      </c>
      <c r="AJ73" s="100">
        <v>0.641618</v>
      </c>
      <c r="AK73" s="100">
        <v>0.737255</v>
      </c>
      <c r="AL73" s="100">
        <v>0.770171</v>
      </c>
      <c r="AM73" s="100">
        <v>0.353741</v>
      </c>
      <c r="AN73" s="100">
        <v>0.348066</v>
      </c>
      <c r="AO73" s="98">
        <v>589.2255892255893</v>
      </c>
      <c r="AP73" s="157">
        <v>0.3264</v>
      </c>
      <c r="AQ73" s="100" t="s">
        <v>916</v>
      </c>
      <c r="AR73" s="100" t="s">
        <v>916</v>
      </c>
      <c r="AS73" s="98">
        <v>252.5252525252525</v>
      </c>
      <c r="AT73" s="98" t="s">
        <v>916</v>
      </c>
      <c r="AU73" s="98" t="s">
        <v>916</v>
      </c>
      <c r="AV73" s="98" t="s">
        <v>916</v>
      </c>
      <c r="AW73" s="98" t="s">
        <v>916</v>
      </c>
      <c r="AX73" s="98">
        <v>448.9337822671156</v>
      </c>
      <c r="AY73" s="98">
        <v>589.2255892255893</v>
      </c>
      <c r="AZ73" s="98">
        <v>168.35016835016836</v>
      </c>
      <c r="BA73" s="100" t="s">
        <v>916</v>
      </c>
      <c r="BB73" s="100" t="s">
        <v>916</v>
      </c>
      <c r="BC73" s="100" t="s">
        <v>916</v>
      </c>
      <c r="BD73" s="157">
        <v>0.20199999999999999</v>
      </c>
      <c r="BE73" s="157">
        <v>0.4989</v>
      </c>
      <c r="BF73" s="161">
        <v>346</v>
      </c>
      <c r="BG73" s="161">
        <v>255</v>
      </c>
      <c r="BH73" s="161">
        <v>818</v>
      </c>
      <c r="BI73" s="161">
        <v>294</v>
      </c>
      <c r="BJ73" s="161">
        <v>181</v>
      </c>
      <c r="BK73" s="97"/>
      <c r="BL73" s="97"/>
      <c r="BM73" s="97"/>
      <c r="BN73" s="97"/>
    </row>
    <row r="74" spans="1:66" ht="12.75">
      <c r="A74" s="79" t="s">
        <v>371</v>
      </c>
      <c r="B74" s="79" t="s">
        <v>71</v>
      </c>
      <c r="C74" s="79" t="s">
        <v>367</v>
      </c>
      <c r="D74" s="99">
        <v>3709</v>
      </c>
      <c r="E74" s="99">
        <v>256</v>
      </c>
      <c r="F74" s="99" t="s">
        <v>177</v>
      </c>
      <c r="G74" s="99" t="s">
        <v>916</v>
      </c>
      <c r="H74" s="99" t="s">
        <v>916</v>
      </c>
      <c r="I74" s="99">
        <v>20</v>
      </c>
      <c r="J74" s="99">
        <v>157</v>
      </c>
      <c r="K74" s="99">
        <v>151</v>
      </c>
      <c r="L74" s="99">
        <v>594</v>
      </c>
      <c r="M74" s="99">
        <v>45</v>
      </c>
      <c r="N74" s="99">
        <v>28</v>
      </c>
      <c r="O74" s="99">
        <v>23</v>
      </c>
      <c r="P74" s="158">
        <v>23</v>
      </c>
      <c r="Q74" s="99" t="s">
        <v>916</v>
      </c>
      <c r="R74" s="99">
        <v>7</v>
      </c>
      <c r="S74" s="99" t="s">
        <v>916</v>
      </c>
      <c r="T74" s="99" t="s">
        <v>916</v>
      </c>
      <c r="U74" s="99" t="s">
        <v>916</v>
      </c>
      <c r="V74" s="99" t="s">
        <v>916</v>
      </c>
      <c r="W74" s="99" t="s">
        <v>916</v>
      </c>
      <c r="X74" s="99" t="s">
        <v>916</v>
      </c>
      <c r="Y74" s="99">
        <v>8</v>
      </c>
      <c r="Z74" s="99" t="s">
        <v>916</v>
      </c>
      <c r="AA74" s="99" t="s">
        <v>916</v>
      </c>
      <c r="AB74" s="99" t="s">
        <v>916</v>
      </c>
      <c r="AC74" s="99" t="s">
        <v>916</v>
      </c>
      <c r="AD74" s="98" t="s">
        <v>158</v>
      </c>
      <c r="AE74" s="100">
        <v>0.06902129954165544</v>
      </c>
      <c r="AF74" s="100">
        <v>0.42</v>
      </c>
      <c r="AG74" s="98" t="s">
        <v>916</v>
      </c>
      <c r="AH74" s="98" t="s">
        <v>916</v>
      </c>
      <c r="AI74" s="100">
        <v>0.0054</v>
      </c>
      <c r="AJ74" s="100">
        <v>0.651452</v>
      </c>
      <c r="AK74" s="100">
        <v>0.639831</v>
      </c>
      <c r="AL74" s="100">
        <v>0.752852</v>
      </c>
      <c r="AM74" s="100">
        <v>0.267857</v>
      </c>
      <c r="AN74" s="100">
        <v>0.243478</v>
      </c>
      <c r="AO74" s="98">
        <v>620.1132380695606</v>
      </c>
      <c r="AP74" s="157">
        <v>0.5077</v>
      </c>
      <c r="AQ74" s="100" t="s">
        <v>916</v>
      </c>
      <c r="AR74" s="100" t="s">
        <v>916</v>
      </c>
      <c r="AS74" s="98" t="s">
        <v>916</v>
      </c>
      <c r="AT74" s="98" t="s">
        <v>916</v>
      </c>
      <c r="AU74" s="98" t="s">
        <v>916</v>
      </c>
      <c r="AV74" s="98" t="s">
        <v>916</v>
      </c>
      <c r="AW74" s="98" t="s">
        <v>916</v>
      </c>
      <c r="AX74" s="98" t="s">
        <v>916</v>
      </c>
      <c r="AY74" s="98">
        <v>215.69156106767323</v>
      </c>
      <c r="AZ74" s="98" t="s">
        <v>916</v>
      </c>
      <c r="BA74" s="100" t="s">
        <v>916</v>
      </c>
      <c r="BB74" s="100" t="s">
        <v>916</v>
      </c>
      <c r="BC74" s="100" t="s">
        <v>916</v>
      </c>
      <c r="BD74" s="157">
        <v>0.32189999999999996</v>
      </c>
      <c r="BE74" s="157">
        <v>0.7618</v>
      </c>
      <c r="BF74" s="161">
        <v>241</v>
      </c>
      <c r="BG74" s="161">
        <v>236</v>
      </c>
      <c r="BH74" s="161">
        <v>789</v>
      </c>
      <c r="BI74" s="161">
        <v>168</v>
      </c>
      <c r="BJ74" s="161">
        <v>115</v>
      </c>
      <c r="BK74" s="97"/>
      <c r="BL74" s="97"/>
      <c r="BM74" s="97"/>
      <c r="BN74" s="97"/>
    </row>
    <row r="75" spans="1:66" ht="12.75">
      <c r="A75" s="79" t="s">
        <v>330</v>
      </c>
      <c r="B75" s="79" t="s">
        <v>254</v>
      </c>
      <c r="C75" s="79" t="s">
        <v>367</v>
      </c>
      <c r="D75" s="99">
        <v>2761</v>
      </c>
      <c r="E75" s="99">
        <v>228</v>
      </c>
      <c r="F75" s="99" t="s">
        <v>177</v>
      </c>
      <c r="G75" s="99" t="s">
        <v>916</v>
      </c>
      <c r="H75" s="99" t="s">
        <v>916</v>
      </c>
      <c r="I75" s="99">
        <v>13</v>
      </c>
      <c r="J75" s="99">
        <v>106</v>
      </c>
      <c r="K75" s="99">
        <v>62</v>
      </c>
      <c r="L75" s="99">
        <v>576</v>
      </c>
      <c r="M75" s="99">
        <v>75</v>
      </c>
      <c r="N75" s="99">
        <v>43</v>
      </c>
      <c r="O75" s="99">
        <v>33</v>
      </c>
      <c r="P75" s="158">
        <v>33</v>
      </c>
      <c r="Q75" s="99" t="s">
        <v>916</v>
      </c>
      <c r="R75" s="99">
        <v>9</v>
      </c>
      <c r="S75" s="99">
        <v>15</v>
      </c>
      <c r="T75" s="99" t="s">
        <v>916</v>
      </c>
      <c r="U75" s="99" t="s">
        <v>916</v>
      </c>
      <c r="V75" s="99" t="s">
        <v>916</v>
      </c>
      <c r="W75" s="99">
        <v>6</v>
      </c>
      <c r="X75" s="99">
        <v>12</v>
      </c>
      <c r="Y75" s="99">
        <v>25</v>
      </c>
      <c r="Z75" s="99">
        <v>24</v>
      </c>
      <c r="AA75" s="99" t="s">
        <v>916</v>
      </c>
      <c r="AB75" s="99" t="s">
        <v>916</v>
      </c>
      <c r="AC75" s="99" t="s">
        <v>916</v>
      </c>
      <c r="AD75" s="98" t="s">
        <v>158</v>
      </c>
      <c r="AE75" s="100">
        <v>0.08257877580586744</v>
      </c>
      <c r="AF75" s="100">
        <v>0.23</v>
      </c>
      <c r="AG75" s="98" t="s">
        <v>916</v>
      </c>
      <c r="AH75" s="98" t="s">
        <v>916</v>
      </c>
      <c r="AI75" s="100">
        <v>0.004699999999999999</v>
      </c>
      <c r="AJ75" s="100">
        <v>0.56383</v>
      </c>
      <c r="AK75" s="100">
        <v>0.681319</v>
      </c>
      <c r="AL75" s="100">
        <v>0.724528</v>
      </c>
      <c r="AM75" s="100">
        <v>0.5</v>
      </c>
      <c r="AN75" s="100">
        <v>0.443299</v>
      </c>
      <c r="AO75" s="98">
        <v>1195.219123505976</v>
      </c>
      <c r="AP75" s="157">
        <v>0.8069</v>
      </c>
      <c r="AQ75" s="100" t="s">
        <v>916</v>
      </c>
      <c r="AR75" s="100" t="s">
        <v>916</v>
      </c>
      <c r="AS75" s="98">
        <v>543.2814197754436</v>
      </c>
      <c r="AT75" s="98" t="s">
        <v>916</v>
      </c>
      <c r="AU75" s="98" t="s">
        <v>916</v>
      </c>
      <c r="AV75" s="98" t="s">
        <v>916</v>
      </c>
      <c r="AW75" s="98">
        <v>217.31256791017748</v>
      </c>
      <c r="AX75" s="98">
        <v>434.62513582035496</v>
      </c>
      <c r="AY75" s="98">
        <v>905.4690329590728</v>
      </c>
      <c r="AZ75" s="98">
        <v>869.2502716407099</v>
      </c>
      <c r="BA75" s="100" t="s">
        <v>916</v>
      </c>
      <c r="BB75" s="100" t="s">
        <v>916</v>
      </c>
      <c r="BC75" s="100" t="s">
        <v>916</v>
      </c>
      <c r="BD75" s="157">
        <v>0.5554</v>
      </c>
      <c r="BE75" s="157">
        <v>1.1332</v>
      </c>
      <c r="BF75" s="161">
        <v>188</v>
      </c>
      <c r="BG75" s="161">
        <v>91</v>
      </c>
      <c r="BH75" s="161">
        <v>795</v>
      </c>
      <c r="BI75" s="161">
        <v>150</v>
      </c>
      <c r="BJ75" s="161">
        <v>97</v>
      </c>
      <c r="BK75" s="97"/>
      <c r="BL75" s="97"/>
      <c r="BM75" s="97"/>
      <c r="BN75" s="97"/>
    </row>
    <row r="76" spans="1:66" ht="12.75">
      <c r="A76" s="79" t="s">
        <v>497</v>
      </c>
      <c r="B76" s="79" t="s">
        <v>498</v>
      </c>
      <c r="C76" s="79" t="s">
        <v>367</v>
      </c>
      <c r="D76" s="99">
        <v>2154</v>
      </c>
      <c r="E76" s="99">
        <v>115</v>
      </c>
      <c r="F76" s="99" t="s">
        <v>177</v>
      </c>
      <c r="G76" s="99" t="s">
        <v>916</v>
      </c>
      <c r="H76" s="99" t="s">
        <v>916</v>
      </c>
      <c r="I76" s="99">
        <v>14</v>
      </c>
      <c r="J76" s="99">
        <v>63</v>
      </c>
      <c r="K76" s="99">
        <v>33</v>
      </c>
      <c r="L76" s="99">
        <v>470</v>
      </c>
      <c r="M76" s="99">
        <v>36</v>
      </c>
      <c r="N76" s="99">
        <v>16</v>
      </c>
      <c r="O76" s="99">
        <v>28</v>
      </c>
      <c r="P76" s="158">
        <v>28</v>
      </c>
      <c r="Q76" s="99" t="s">
        <v>916</v>
      </c>
      <c r="R76" s="99">
        <v>7</v>
      </c>
      <c r="S76" s="99">
        <v>7</v>
      </c>
      <c r="T76" s="99" t="s">
        <v>916</v>
      </c>
      <c r="U76" s="99" t="s">
        <v>916</v>
      </c>
      <c r="V76" s="99">
        <v>7</v>
      </c>
      <c r="W76" s="99" t="s">
        <v>916</v>
      </c>
      <c r="X76" s="99">
        <v>9</v>
      </c>
      <c r="Y76" s="99">
        <v>15</v>
      </c>
      <c r="Z76" s="99">
        <v>8</v>
      </c>
      <c r="AA76" s="99" t="s">
        <v>916</v>
      </c>
      <c r="AB76" s="99" t="s">
        <v>916</v>
      </c>
      <c r="AC76" s="99" t="s">
        <v>916</v>
      </c>
      <c r="AD76" s="98" t="s">
        <v>158</v>
      </c>
      <c r="AE76" s="100">
        <v>0.05338904363974002</v>
      </c>
      <c r="AF76" s="100">
        <v>0.27</v>
      </c>
      <c r="AG76" s="98" t="s">
        <v>916</v>
      </c>
      <c r="AH76" s="98" t="s">
        <v>916</v>
      </c>
      <c r="AI76" s="100">
        <v>0.006500000000000001</v>
      </c>
      <c r="AJ76" s="100">
        <v>0.492188</v>
      </c>
      <c r="AK76" s="100">
        <v>0.428571</v>
      </c>
      <c r="AL76" s="100">
        <v>0.725309</v>
      </c>
      <c r="AM76" s="100">
        <v>0.444444</v>
      </c>
      <c r="AN76" s="100">
        <v>0.313725</v>
      </c>
      <c r="AO76" s="98">
        <v>1299.9071494893221</v>
      </c>
      <c r="AP76" s="157">
        <v>0.9818000000000001</v>
      </c>
      <c r="AQ76" s="100" t="s">
        <v>916</v>
      </c>
      <c r="AR76" s="100" t="s">
        <v>916</v>
      </c>
      <c r="AS76" s="98">
        <v>324.97678737233053</v>
      </c>
      <c r="AT76" s="98" t="s">
        <v>916</v>
      </c>
      <c r="AU76" s="98" t="s">
        <v>916</v>
      </c>
      <c r="AV76" s="98">
        <v>324.97678737233053</v>
      </c>
      <c r="AW76" s="98" t="s">
        <v>916</v>
      </c>
      <c r="AX76" s="98">
        <v>417.8272980501393</v>
      </c>
      <c r="AY76" s="98">
        <v>696.3788300835655</v>
      </c>
      <c r="AZ76" s="98">
        <v>371.4020427112349</v>
      </c>
      <c r="BA76" s="100" t="s">
        <v>916</v>
      </c>
      <c r="BB76" s="100" t="s">
        <v>916</v>
      </c>
      <c r="BC76" s="100" t="s">
        <v>916</v>
      </c>
      <c r="BD76" s="157">
        <v>0.6524</v>
      </c>
      <c r="BE76" s="157">
        <v>1.4188999999999998</v>
      </c>
      <c r="BF76" s="161">
        <v>128</v>
      </c>
      <c r="BG76" s="161">
        <v>77</v>
      </c>
      <c r="BH76" s="161">
        <v>648</v>
      </c>
      <c r="BI76" s="161">
        <v>81</v>
      </c>
      <c r="BJ76" s="161">
        <v>51</v>
      </c>
      <c r="BK76" s="97"/>
      <c r="BL76" s="97"/>
      <c r="BM76" s="97"/>
      <c r="BN76" s="97"/>
    </row>
    <row r="77" spans="1:66" ht="12.75">
      <c r="A77" s="79" t="s">
        <v>329</v>
      </c>
      <c r="B77" s="79" t="s">
        <v>253</v>
      </c>
      <c r="C77" s="79" t="s">
        <v>367</v>
      </c>
      <c r="D77" s="99">
        <v>2106</v>
      </c>
      <c r="E77" s="99">
        <v>254</v>
      </c>
      <c r="F77" s="99" t="s">
        <v>177</v>
      </c>
      <c r="G77" s="99">
        <v>10</v>
      </c>
      <c r="H77" s="99" t="s">
        <v>916</v>
      </c>
      <c r="I77" s="99">
        <v>30</v>
      </c>
      <c r="J77" s="99">
        <v>150</v>
      </c>
      <c r="K77" s="99">
        <v>132</v>
      </c>
      <c r="L77" s="99">
        <v>411</v>
      </c>
      <c r="M77" s="99">
        <v>71</v>
      </c>
      <c r="N77" s="99">
        <v>37</v>
      </c>
      <c r="O77" s="99">
        <v>41</v>
      </c>
      <c r="P77" s="158">
        <v>41</v>
      </c>
      <c r="Q77" s="99">
        <v>9</v>
      </c>
      <c r="R77" s="99">
        <v>15</v>
      </c>
      <c r="S77" s="99">
        <v>12</v>
      </c>
      <c r="T77" s="99" t="s">
        <v>916</v>
      </c>
      <c r="U77" s="99" t="s">
        <v>916</v>
      </c>
      <c r="V77" s="99">
        <v>15</v>
      </c>
      <c r="W77" s="99">
        <v>14</v>
      </c>
      <c r="X77" s="99">
        <v>13</v>
      </c>
      <c r="Y77" s="99">
        <v>21</v>
      </c>
      <c r="Z77" s="99" t="s">
        <v>916</v>
      </c>
      <c r="AA77" s="99" t="s">
        <v>916</v>
      </c>
      <c r="AB77" s="99" t="s">
        <v>916</v>
      </c>
      <c r="AC77" s="99" t="s">
        <v>916</v>
      </c>
      <c r="AD77" s="98" t="s">
        <v>158</v>
      </c>
      <c r="AE77" s="100">
        <v>0.12060778727445394</v>
      </c>
      <c r="AF77" s="100">
        <v>0.28</v>
      </c>
      <c r="AG77" s="98">
        <v>474.8338081671415</v>
      </c>
      <c r="AH77" s="98" t="s">
        <v>916</v>
      </c>
      <c r="AI77" s="100">
        <v>0.014199999999999999</v>
      </c>
      <c r="AJ77" s="100">
        <v>0.773196</v>
      </c>
      <c r="AK77" s="100">
        <v>0.717391</v>
      </c>
      <c r="AL77" s="100">
        <v>0.740541</v>
      </c>
      <c r="AM77" s="100">
        <v>0.47973</v>
      </c>
      <c r="AN77" s="100">
        <v>0.430233</v>
      </c>
      <c r="AO77" s="98">
        <v>1946.8186134852801</v>
      </c>
      <c r="AP77" s="157">
        <v>1.1609</v>
      </c>
      <c r="AQ77" s="100">
        <v>0.21951219512195122</v>
      </c>
      <c r="AR77" s="100">
        <v>0.6</v>
      </c>
      <c r="AS77" s="98">
        <v>569.8005698005697</v>
      </c>
      <c r="AT77" s="98" t="s">
        <v>916</v>
      </c>
      <c r="AU77" s="98" t="s">
        <v>916</v>
      </c>
      <c r="AV77" s="98">
        <v>712.2507122507122</v>
      </c>
      <c r="AW77" s="98">
        <v>664.7673314339982</v>
      </c>
      <c r="AX77" s="98">
        <v>617.283950617284</v>
      </c>
      <c r="AY77" s="98">
        <v>997.1509971509971</v>
      </c>
      <c r="AZ77" s="98" t="s">
        <v>916</v>
      </c>
      <c r="BA77" s="100" t="s">
        <v>916</v>
      </c>
      <c r="BB77" s="100" t="s">
        <v>916</v>
      </c>
      <c r="BC77" s="100" t="s">
        <v>916</v>
      </c>
      <c r="BD77" s="157">
        <v>0.8331000000000001</v>
      </c>
      <c r="BE77" s="157">
        <v>1.5749000000000002</v>
      </c>
      <c r="BF77" s="161">
        <v>194</v>
      </c>
      <c r="BG77" s="161">
        <v>184</v>
      </c>
      <c r="BH77" s="161">
        <v>555</v>
      </c>
      <c r="BI77" s="161">
        <v>148</v>
      </c>
      <c r="BJ77" s="161">
        <v>86</v>
      </c>
      <c r="BK77" s="97"/>
      <c r="BL77" s="97"/>
      <c r="BM77" s="97"/>
      <c r="BN77" s="97"/>
    </row>
    <row r="78" spans="1:66" ht="12.75">
      <c r="A78" s="79" t="s">
        <v>321</v>
      </c>
      <c r="B78" s="79" t="s">
        <v>146</v>
      </c>
      <c r="C78" s="79" t="s">
        <v>367</v>
      </c>
      <c r="D78" s="99">
        <v>2115</v>
      </c>
      <c r="E78" s="99">
        <v>182</v>
      </c>
      <c r="F78" s="99" t="s">
        <v>177</v>
      </c>
      <c r="G78" s="99" t="s">
        <v>916</v>
      </c>
      <c r="H78" s="99" t="s">
        <v>916</v>
      </c>
      <c r="I78" s="99">
        <v>7</v>
      </c>
      <c r="J78" s="99">
        <v>68</v>
      </c>
      <c r="K78" s="99" t="s">
        <v>916</v>
      </c>
      <c r="L78" s="99">
        <v>289</v>
      </c>
      <c r="M78" s="99">
        <v>31</v>
      </c>
      <c r="N78" s="99">
        <v>18</v>
      </c>
      <c r="O78" s="99">
        <v>10</v>
      </c>
      <c r="P78" s="158">
        <v>10</v>
      </c>
      <c r="Q78" s="99" t="s">
        <v>916</v>
      </c>
      <c r="R78" s="99" t="s">
        <v>916</v>
      </c>
      <c r="S78" s="99">
        <v>9</v>
      </c>
      <c r="T78" s="99" t="s">
        <v>916</v>
      </c>
      <c r="U78" s="99" t="s">
        <v>916</v>
      </c>
      <c r="V78" s="99" t="s">
        <v>916</v>
      </c>
      <c r="W78" s="99" t="s">
        <v>916</v>
      </c>
      <c r="X78" s="99">
        <v>7</v>
      </c>
      <c r="Y78" s="99">
        <v>6</v>
      </c>
      <c r="Z78" s="99" t="s">
        <v>916</v>
      </c>
      <c r="AA78" s="99" t="s">
        <v>916</v>
      </c>
      <c r="AB78" s="99" t="s">
        <v>916</v>
      </c>
      <c r="AC78" s="99" t="s">
        <v>916</v>
      </c>
      <c r="AD78" s="98" t="s">
        <v>158</v>
      </c>
      <c r="AE78" s="100">
        <v>0.08605200945626477</v>
      </c>
      <c r="AF78" s="100">
        <v>0.34</v>
      </c>
      <c r="AG78" s="98" t="s">
        <v>916</v>
      </c>
      <c r="AH78" s="98" t="s">
        <v>916</v>
      </c>
      <c r="AI78" s="100">
        <v>0.0033</v>
      </c>
      <c r="AJ78" s="100">
        <v>0.53125</v>
      </c>
      <c r="AK78" s="100" t="s">
        <v>916</v>
      </c>
      <c r="AL78" s="100">
        <v>0.68</v>
      </c>
      <c r="AM78" s="100">
        <v>0.269565</v>
      </c>
      <c r="AN78" s="100">
        <v>0.243243</v>
      </c>
      <c r="AO78" s="98">
        <v>472.8132387706856</v>
      </c>
      <c r="AP78" s="157">
        <v>0.3583</v>
      </c>
      <c r="AQ78" s="100" t="s">
        <v>916</v>
      </c>
      <c r="AR78" s="100" t="s">
        <v>916</v>
      </c>
      <c r="AS78" s="98">
        <v>425.531914893617</v>
      </c>
      <c r="AT78" s="98" t="s">
        <v>916</v>
      </c>
      <c r="AU78" s="98" t="s">
        <v>916</v>
      </c>
      <c r="AV78" s="98" t="s">
        <v>916</v>
      </c>
      <c r="AW78" s="98" t="s">
        <v>916</v>
      </c>
      <c r="AX78" s="98">
        <v>330.9692671394799</v>
      </c>
      <c r="AY78" s="98">
        <v>283.68794326241135</v>
      </c>
      <c r="AZ78" s="98" t="s">
        <v>916</v>
      </c>
      <c r="BA78" s="100" t="s">
        <v>916</v>
      </c>
      <c r="BB78" s="100" t="s">
        <v>916</v>
      </c>
      <c r="BC78" s="100" t="s">
        <v>916</v>
      </c>
      <c r="BD78" s="157">
        <v>0.1718</v>
      </c>
      <c r="BE78" s="157">
        <v>0.6589</v>
      </c>
      <c r="BF78" s="161">
        <v>128</v>
      </c>
      <c r="BG78" s="161" t="s">
        <v>916</v>
      </c>
      <c r="BH78" s="161">
        <v>425</v>
      </c>
      <c r="BI78" s="161">
        <v>115</v>
      </c>
      <c r="BJ78" s="161">
        <v>74</v>
      </c>
      <c r="BK78" s="97"/>
      <c r="BL78" s="97"/>
      <c r="BM78" s="97"/>
      <c r="BN78" s="97"/>
    </row>
    <row r="79" spans="1:66" ht="12.75">
      <c r="A79" s="79" t="s">
        <v>384</v>
      </c>
      <c r="B79" s="79" t="s">
        <v>152</v>
      </c>
      <c r="C79" s="79" t="s">
        <v>367</v>
      </c>
      <c r="D79" s="99">
        <v>2389</v>
      </c>
      <c r="E79" s="99">
        <v>167</v>
      </c>
      <c r="F79" s="99" t="s">
        <v>177</v>
      </c>
      <c r="G79" s="99" t="s">
        <v>916</v>
      </c>
      <c r="H79" s="99" t="s">
        <v>916</v>
      </c>
      <c r="I79" s="99">
        <v>7</v>
      </c>
      <c r="J79" s="99">
        <v>86</v>
      </c>
      <c r="K79" s="99" t="s">
        <v>916</v>
      </c>
      <c r="L79" s="99">
        <v>374</v>
      </c>
      <c r="M79" s="99">
        <v>37</v>
      </c>
      <c r="N79" s="99">
        <v>16</v>
      </c>
      <c r="O79" s="99">
        <v>22</v>
      </c>
      <c r="P79" s="158">
        <v>22</v>
      </c>
      <c r="Q79" s="99" t="s">
        <v>916</v>
      </c>
      <c r="R79" s="99" t="s">
        <v>916</v>
      </c>
      <c r="S79" s="99">
        <v>7</v>
      </c>
      <c r="T79" s="99" t="s">
        <v>916</v>
      </c>
      <c r="U79" s="99" t="s">
        <v>916</v>
      </c>
      <c r="V79" s="99" t="s">
        <v>916</v>
      </c>
      <c r="W79" s="99">
        <v>9</v>
      </c>
      <c r="X79" s="99" t="s">
        <v>916</v>
      </c>
      <c r="Y79" s="99">
        <v>15</v>
      </c>
      <c r="Z79" s="99">
        <v>6</v>
      </c>
      <c r="AA79" s="99" t="s">
        <v>916</v>
      </c>
      <c r="AB79" s="99" t="s">
        <v>916</v>
      </c>
      <c r="AC79" s="99" t="s">
        <v>916</v>
      </c>
      <c r="AD79" s="98" t="s">
        <v>158</v>
      </c>
      <c r="AE79" s="100">
        <v>0.06990372540812055</v>
      </c>
      <c r="AF79" s="100">
        <v>0.28</v>
      </c>
      <c r="AG79" s="98" t="s">
        <v>916</v>
      </c>
      <c r="AH79" s="98" t="s">
        <v>916</v>
      </c>
      <c r="AI79" s="100">
        <v>0.0029</v>
      </c>
      <c r="AJ79" s="100">
        <v>0.554839</v>
      </c>
      <c r="AK79" s="100" t="s">
        <v>916</v>
      </c>
      <c r="AL79" s="100">
        <v>0.692593</v>
      </c>
      <c r="AM79" s="100">
        <v>0.293651</v>
      </c>
      <c r="AN79" s="100">
        <v>0.219178</v>
      </c>
      <c r="AO79" s="98">
        <v>920.8874005860192</v>
      </c>
      <c r="AP79" s="157">
        <v>0.6853</v>
      </c>
      <c r="AQ79" s="100" t="s">
        <v>916</v>
      </c>
      <c r="AR79" s="100" t="s">
        <v>916</v>
      </c>
      <c r="AS79" s="98">
        <v>293.0096274591879</v>
      </c>
      <c r="AT79" s="98" t="s">
        <v>916</v>
      </c>
      <c r="AU79" s="98" t="s">
        <v>916</v>
      </c>
      <c r="AV79" s="98" t="s">
        <v>916</v>
      </c>
      <c r="AW79" s="98">
        <v>376.72666387609877</v>
      </c>
      <c r="AX79" s="98" t="s">
        <v>916</v>
      </c>
      <c r="AY79" s="98">
        <v>627.8777731268314</v>
      </c>
      <c r="AZ79" s="98">
        <v>251.15110925073253</v>
      </c>
      <c r="BA79" s="100" t="s">
        <v>916</v>
      </c>
      <c r="BB79" s="100" t="s">
        <v>916</v>
      </c>
      <c r="BC79" s="100" t="s">
        <v>916</v>
      </c>
      <c r="BD79" s="157">
        <v>0.4294</v>
      </c>
      <c r="BE79" s="157">
        <v>1.0375</v>
      </c>
      <c r="BF79" s="161">
        <v>155</v>
      </c>
      <c r="BG79" s="161" t="s">
        <v>916</v>
      </c>
      <c r="BH79" s="161">
        <v>540</v>
      </c>
      <c r="BI79" s="161">
        <v>126</v>
      </c>
      <c r="BJ79" s="161">
        <v>73</v>
      </c>
      <c r="BK79" s="97"/>
      <c r="BL79" s="97"/>
      <c r="BM79" s="97"/>
      <c r="BN79" s="97"/>
    </row>
    <row r="80" spans="1:66" ht="12.75">
      <c r="A80" s="79" t="s">
        <v>267</v>
      </c>
      <c r="B80" s="79" t="s">
        <v>72</v>
      </c>
      <c r="C80" s="79" t="s">
        <v>367</v>
      </c>
      <c r="D80" s="99">
        <v>6997</v>
      </c>
      <c r="E80" s="99">
        <v>577</v>
      </c>
      <c r="F80" s="99" t="s">
        <v>177</v>
      </c>
      <c r="G80" s="99">
        <v>12</v>
      </c>
      <c r="H80" s="99" t="s">
        <v>916</v>
      </c>
      <c r="I80" s="99">
        <v>34</v>
      </c>
      <c r="J80" s="99">
        <v>248</v>
      </c>
      <c r="K80" s="99" t="s">
        <v>916</v>
      </c>
      <c r="L80" s="99">
        <v>927</v>
      </c>
      <c r="M80" s="99">
        <v>99</v>
      </c>
      <c r="N80" s="99">
        <v>59</v>
      </c>
      <c r="O80" s="99">
        <v>56</v>
      </c>
      <c r="P80" s="158">
        <v>56</v>
      </c>
      <c r="Q80" s="99" t="s">
        <v>916</v>
      </c>
      <c r="R80" s="99">
        <v>12</v>
      </c>
      <c r="S80" s="99">
        <v>9</v>
      </c>
      <c r="T80" s="99">
        <v>16</v>
      </c>
      <c r="U80" s="99" t="s">
        <v>916</v>
      </c>
      <c r="V80" s="99" t="s">
        <v>916</v>
      </c>
      <c r="W80" s="99">
        <v>16</v>
      </c>
      <c r="X80" s="99">
        <v>13</v>
      </c>
      <c r="Y80" s="99">
        <v>32</v>
      </c>
      <c r="Z80" s="99">
        <v>16</v>
      </c>
      <c r="AA80" s="99" t="s">
        <v>916</v>
      </c>
      <c r="AB80" s="99" t="s">
        <v>916</v>
      </c>
      <c r="AC80" s="99" t="s">
        <v>916</v>
      </c>
      <c r="AD80" s="98" t="s">
        <v>158</v>
      </c>
      <c r="AE80" s="100">
        <v>0.0824639131056167</v>
      </c>
      <c r="AF80" s="100">
        <v>0.37</v>
      </c>
      <c r="AG80" s="98">
        <v>171.50207231670717</v>
      </c>
      <c r="AH80" s="98" t="s">
        <v>916</v>
      </c>
      <c r="AI80" s="100">
        <v>0.0049</v>
      </c>
      <c r="AJ80" s="100">
        <v>0.540305</v>
      </c>
      <c r="AK80" s="100" t="s">
        <v>916</v>
      </c>
      <c r="AL80" s="100">
        <v>0.629755</v>
      </c>
      <c r="AM80" s="100">
        <v>0.291176</v>
      </c>
      <c r="AN80" s="100">
        <v>0.256522</v>
      </c>
      <c r="AO80" s="98">
        <v>800.3430041446334</v>
      </c>
      <c r="AP80" s="157">
        <v>0.6106</v>
      </c>
      <c r="AQ80" s="100" t="s">
        <v>916</v>
      </c>
      <c r="AR80" s="100" t="s">
        <v>916</v>
      </c>
      <c r="AS80" s="98">
        <v>128.62655423753037</v>
      </c>
      <c r="AT80" s="98">
        <v>228.66942975560954</v>
      </c>
      <c r="AU80" s="98" t="s">
        <v>916</v>
      </c>
      <c r="AV80" s="98" t="s">
        <v>916</v>
      </c>
      <c r="AW80" s="98">
        <v>228.66942975560954</v>
      </c>
      <c r="AX80" s="98">
        <v>185.79391167643277</v>
      </c>
      <c r="AY80" s="98">
        <v>457.3388595112191</v>
      </c>
      <c r="AZ80" s="98">
        <v>228.66942975560954</v>
      </c>
      <c r="BA80" s="100" t="s">
        <v>916</v>
      </c>
      <c r="BB80" s="100" t="s">
        <v>916</v>
      </c>
      <c r="BC80" s="100" t="s">
        <v>916</v>
      </c>
      <c r="BD80" s="157">
        <v>0.46130000000000004</v>
      </c>
      <c r="BE80" s="157">
        <v>0.7929999999999999</v>
      </c>
      <c r="BF80" s="161">
        <v>459</v>
      </c>
      <c r="BG80" s="161" t="s">
        <v>916</v>
      </c>
      <c r="BH80" s="161">
        <v>1472</v>
      </c>
      <c r="BI80" s="161">
        <v>340</v>
      </c>
      <c r="BJ80" s="161">
        <v>230</v>
      </c>
      <c r="BK80" s="97"/>
      <c r="BL80" s="97"/>
      <c r="BM80" s="97"/>
      <c r="BN80" s="97"/>
    </row>
    <row r="81" spans="1:66" ht="12.75">
      <c r="A81" s="79" t="s">
        <v>258</v>
      </c>
      <c r="B81" s="79" t="s">
        <v>61</v>
      </c>
      <c r="C81" s="79" t="s">
        <v>367</v>
      </c>
      <c r="D81" s="99">
        <v>11557</v>
      </c>
      <c r="E81" s="99">
        <v>977</v>
      </c>
      <c r="F81" s="99" t="s">
        <v>177</v>
      </c>
      <c r="G81" s="99">
        <v>46</v>
      </c>
      <c r="H81" s="99">
        <v>15</v>
      </c>
      <c r="I81" s="99">
        <v>99</v>
      </c>
      <c r="J81" s="99">
        <v>553</v>
      </c>
      <c r="K81" s="99">
        <v>542</v>
      </c>
      <c r="L81" s="99">
        <v>1986</v>
      </c>
      <c r="M81" s="99">
        <v>210</v>
      </c>
      <c r="N81" s="99">
        <v>128</v>
      </c>
      <c r="O81" s="99">
        <v>123</v>
      </c>
      <c r="P81" s="158">
        <v>123</v>
      </c>
      <c r="Q81" s="99">
        <v>7</v>
      </c>
      <c r="R81" s="99">
        <v>31</v>
      </c>
      <c r="S81" s="99">
        <v>32</v>
      </c>
      <c r="T81" s="99">
        <v>15</v>
      </c>
      <c r="U81" s="99" t="s">
        <v>916</v>
      </c>
      <c r="V81" s="99">
        <v>7</v>
      </c>
      <c r="W81" s="99">
        <v>12</v>
      </c>
      <c r="X81" s="99">
        <v>31</v>
      </c>
      <c r="Y81" s="99">
        <v>26</v>
      </c>
      <c r="Z81" s="99">
        <v>35</v>
      </c>
      <c r="AA81" s="99" t="s">
        <v>916</v>
      </c>
      <c r="AB81" s="99">
        <v>14</v>
      </c>
      <c r="AC81" s="99" t="s">
        <v>916</v>
      </c>
      <c r="AD81" s="98" t="s">
        <v>158</v>
      </c>
      <c r="AE81" s="100">
        <v>0.08453750973436013</v>
      </c>
      <c r="AF81" s="100">
        <v>0.42</v>
      </c>
      <c r="AG81" s="98">
        <v>398.027169680713</v>
      </c>
      <c r="AH81" s="98">
        <v>129.79146837414555</v>
      </c>
      <c r="AI81" s="100">
        <v>0.0086</v>
      </c>
      <c r="AJ81" s="100">
        <v>0.659118</v>
      </c>
      <c r="AK81" s="100">
        <v>0.652226</v>
      </c>
      <c r="AL81" s="100">
        <v>0.746897</v>
      </c>
      <c r="AM81" s="100">
        <v>0.346535</v>
      </c>
      <c r="AN81" s="100">
        <v>0.335958</v>
      </c>
      <c r="AO81" s="98">
        <v>1064.2900406679935</v>
      </c>
      <c r="AP81" s="157">
        <v>0.7478</v>
      </c>
      <c r="AQ81" s="100">
        <v>0.056910569105691054</v>
      </c>
      <c r="AR81" s="100">
        <v>0.22580645161290322</v>
      </c>
      <c r="AS81" s="98">
        <v>276.8884658648438</v>
      </c>
      <c r="AT81" s="98">
        <v>129.79146837414555</v>
      </c>
      <c r="AU81" s="98" t="s">
        <v>916</v>
      </c>
      <c r="AV81" s="98">
        <v>60.56935190793458</v>
      </c>
      <c r="AW81" s="98">
        <v>103.83317469931643</v>
      </c>
      <c r="AX81" s="98">
        <v>268.2357013065674</v>
      </c>
      <c r="AY81" s="98">
        <v>224.9718785151856</v>
      </c>
      <c r="AZ81" s="98">
        <v>302.8467595396729</v>
      </c>
      <c r="BA81" s="100" t="s">
        <v>916</v>
      </c>
      <c r="BB81" s="100">
        <v>0.45161290322580644</v>
      </c>
      <c r="BC81" s="100" t="s">
        <v>916</v>
      </c>
      <c r="BD81" s="157">
        <v>0.6214999999999999</v>
      </c>
      <c r="BE81" s="157">
        <v>0.8922</v>
      </c>
      <c r="BF81" s="161">
        <v>839</v>
      </c>
      <c r="BG81" s="161">
        <v>831</v>
      </c>
      <c r="BH81" s="161">
        <v>2659</v>
      </c>
      <c r="BI81" s="161">
        <v>606</v>
      </c>
      <c r="BJ81" s="161">
        <v>381</v>
      </c>
      <c r="BK81" s="97"/>
      <c r="BL81" s="97"/>
      <c r="BM81" s="97"/>
      <c r="BN81" s="97"/>
    </row>
    <row r="82" spans="1:66" ht="12.75">
      <c r="A82" s="79" t="s">
        <v>292</v>
      </c>
      <c r="B82" s="79" t="s">
        <v>103</v>
      </c>
      <c r="C82" s="79" t="s">
        <v>367</v>
      </c>
      <c r="D82" s="99">
        <v>8142</v>
      </c>
      <c r="E82" s="99">
        <v>1325</v>
      </c>
      <c r="F82" s="99" t="s">
        <v>177</v>
      </c>
      <c r="G82" s="99">
        <v>40</v>
      </c>
      <c r="H82" s="99">
        <v>27</v>
      </c>
      <c r="I82" s="99">
        <v>128</v>
      </c>
      <c r="J82" s="99">
        <v>616</v>
      </c>
      <c r="K82" s="99">
        <v>548</v>
      </c>
      <c r="L82" s="99">
        <v>1365</v>
      </c>
      <c r="M82" s="99">
        <v>367</v>
      </c>
      <c r="N82" s="99">
        <v>223</v>
      </c>
      <c r="O82" s="99">
        <v>105</v>
      </c>
      <c r="P82" s="158">
        <v>105</v>
      </c>
      <c r="Q82" s="99">
        <v>14</v>
      </c>
      <c r="R82" s="99">
        <v>38</v>
      </c>
      <c r="S82" s="99">
        <v>27</v>
      </c>
      <c r="T82" s="99">
        <v>14</v>
      </c>
      <c r="U82" s="99" t="s">
        <v>916</v>
      </c>
      <c r="V82" s="99">
        <v>8</v>
      </c>
      <c r="W82" s="99">
        <v>16</v>
      </c>
      <c r="X82" s="99">
        <v>26</v>
      </c>
      <c r="Y82" s="99">
        <v>29</v>
      </c>
      <c r="Z82" s="99">
        <v>53</v>
      </c>
      <c r="AA82" s="99" t="s">
        <v>916</v>
      </c>
      <c r="AB82" s="99">
        <v>20</v>
      </c>
      <c r="AC82" s="99" t="s">
        <v>916</v>
      </c>
      <c r="AD82" s="98" t="s">
        <v>158</v>
      </c>
      <c r="AE82" s="100">
        <v>0.1627364283959715</v>
      </c>
      <c r="AF82" s="100">
        <v>0.3</v>
      </c>
      <c r="AG82" s="98">
        <v>491.2797838368951</v>
      </c>
      <c r="AH82" s="98">
        <v>331.6138540899042</v>
      </c>
      <c r="AI82" s="100">
        <v>0.015700000000000002</v>
      </c>
      <c r="AJ82" s="100">
        <v>0.734207</v>
      </c>
      <c r="AK82" s="100">
        <v>0.690176</v>
      </c>
      <c r="AL82" s="100">
        <v>0.705062</v>
      </c>
      <c r="AM82" s="100">
        <v>0.475389</v>
      </c>
      <c r="AN82" s="100">
        <v>0.463617</v>
      </c>
      <c r="AO82" s="98">
        <v>1289.6094325718498</v>
      </c>
      <c r="AP82" s="157">
        <v>0.6801</v>
      </c>
      <c r="AQ82" s="100">
        <v>0.13333333333333333</v>
      </c>
      <c r="AR82" s="100">
        <v>0.3684210526315789</v>
      </c>
      <c r="AS82" s="98">
        <v>331.6138540899042</v>
      </c>
      <c r="AT82" s="98">
        <v>171.9479243429133</v>
      </c>
      <c r="AU82" s="98" t="s">
        <v>916</v>
      </c>
      <c r="AV82" s="98">
        <v>98.25595676737902</v>
      </c>
      <c r="AW82" s="98">
        <v>196.51191353475804</v>
      </c>
      <c r="AX82" s="98">
        <v>319.3318594939818</v>
      </c>
      <c r="AY82" s="98">
        <v>356.17784328174895</v>
      </c>
      <c r="AZ82" s="98">
        <v>650.945713583886</v>
      </c>
      <c r="BA82" s="100" t="s">
        <v>916</v>
      </c>
      <c r="BB82" s="100">
        <v>0.5714285714285714</v>
      </c>
      <c r="BC82" s="100" t="s">
        <v>916</v>
      </c>
      <c r="BD82" s="157">
        <v>0.5562</v>
      </c>
      <c r="BE82" s="157">
        <v>0.8233</v>
      </c>
      <c r="BF82" s="161">
        <v>839</v>
      </c>
      <c r="BG82" s="161">
        <v>794</v>
      </c>
      <c r="BH82" s="161">
        <v>1936</v>
      </c>
      <c r="BI82" s="161">
        <v>772</v>
      </c>
      <c r="BJ82" s="161">
        <v>481</v>
      </c>
      <c r="BK82" s="97"/>
      <c r="BL82" s="97"/>
      <c r="BM82" s="97"/>
      <c r="BN82" s="97"/>
    </row>
    <row r="83" spans="1:66" ht="12.75">
      <c r="A83" s="79" t="s">
        <v>290</v>
      </c>
      <c r="B83" s="79" t="s">
        <v>101</v>
      </c>
      <c r="C83" s="79" t="s">
        <v>367</v>
      </c>
      <c r="D83" s="99">
        <v>9788</v>
      </c>
      <c r="E83" s="99">
        <v>1860</v>
      </c>
      <c r="F83" s="99" t="s">
        <v>177</v>
      </c>
      <c r="G83" s="99">
        <v>62</v>
      </c>
      <c r="H83" s="99">
        <v>24</v>
      </c>
      <c r="I83" s="99">
        <v>190</v>
      </c>
      <c r="J83" s="99">
        <v>979</v>
      </c>
      <c r="K83" s="99">
        <v>908</v>
      </c>
      <c r="L83" s="99">
        <v>1737</v>
      </c>
      <c r="M83" s="99">
        <v>589</v>
      </c>
      <c r="N83" s="99">
        <v>339</v>
      </c>
      <c r="O83" s="99">
        <v>245</v>
      </c>
      <c r="P83" s="158">
        <v>245</v>
      </c>
      <c r="Q83" s="99">
        <v>28</v>
      </c>
      <c r="R83" s="99">
        <v>61</v>
      </c>
      <c r="S83" s="99">
        <v>56</v>
      </c>
      <c r="T83" s="99">
        <v>33</v>
      </c>
      <c r="U83" s="99">
        <v>9</v>
      </c>
      <c r="V83" s="99">
        <v>43</v>
      </c>
      <c r="W83" s="99">
        <v>51</v>
      </c>
      <c r="X83" s="99">
        <v>88</v>
      </c>
      <c r="Y83" s="99">
        <v>125</v>
      </c>
      <c r="Z83" s="99">
        <v>77</v>
      </c>
      <c r="AA83" s="99">
        <v>9</v>
      </c>
      <c r="AB83" s="99">
        <v>29</v>
      </c>
      <c r="AC83" s="99">
        <v>11</v>
      </c>
      <c r="AD83" s="98" t="s">
        <v>158</v>
      </c>
      <c r="AE83" s="100">
        <v>0.190028606456886</v>
      </c>
      <c r="AF83" s="100">
        <v>0.26</v>
      </c>
      <c r="AG83" s="98">
        <v>633.42868818962</v>
      </c>
      <c r="AH83" s="98">
        <v>245.1982018798529</v>
      </c>
      <c r="AI83" s="100">
        <v>0.0194</v>
      </c>
      <c r="AJ83" s="100">
        <v>0.819247</v>
      </c>
      <c r="AK83" s="100">
        <v>0.780739</v>
      </c>
      <c r="AL83" s="100">
        <v>0.738207</v>
      </c>
      <c r="AM83" s="100">
        <v>0.582016</v>
      </c>
      <c r="AN83" s="100">
        <v>0.561258</v>
      </c>
      <c r="AO83" s="98">
        <v>2503.0649775234983</v>
      </c>
      <c r="AP83" s="157">
        <v>1.1761</v>
      </c>
      <c r="AQ83" s="100">
        <v>0.11428571428571428</v>
      </c>
      <c r="AR83" s="100">
        <v>0.45901639344262296</v>
      </c>
      <c r="AS83" s="98">
        <v>572.1291377196567</v>
      </c>
      <c r="AT83" s="98">
        <v>337.14752758479773</v>
      </c>
      <c r="AU83" s="98">
        <v>91.94932570494483</v>
      </c>
      <c r="AV83" s="98">
        <v>439.3134450347364</v>
      </c>
      <c r="AW83" s="98">
        <v>521.0461789946874</v>
      </c>
      <c r="AX83" s="98">
        <v>899.0600735594605</v>
      </c>
      <c r="AY83" s="98">
        <v>1277.0739681242337</v>
      </c>
      <c r="AZ83" s="98">
        <v>786.6775643645279</v>
      </c>
      <c r="BA83" s="100">
        <v>0.1836734693877551</v>
      </c>
      <c r="BB83" s="100">
        <v>0.5918367346938775</v>
      </c>
      <c r="BC83" s="100">
        <v>0.22448979591836735</v>
      </c>
      <c r="BD83" s="157">
        <v>1.0334</v>
      </c>
      <c r="BE83" s="157">
        <v>1.3329</v>
      </c>
      <c r="BF83" s="161">
        <v>1195</v>
      </c>
      <c r="BG83" s="161">
        <v>1163</v>
      </c>
      <c r="BH83" s="161">
        <v>2353</v>
      </c>
      <c r="BI83" s="161">
        <v>1012</v>
      </c>
      <c r="BJ83" s="161">
        <v>604</v>
      </c>
      <c r="BK83" s="97"/>
      <c r="BL83" s="97"/>
      <c r="BM83" s="97"/>
      <c r="BN83" s="97"/>
    </row>
    <row r="84" spans="1:66" ht="12.75">
      <c r="A84" s="79" t="s">
        <v>289</v>
      </c>
      <c r="B84" s="79" t="s">
        <v>100</v>
      </c>
      <c r="C84" s="79" t="s">
        <v>367</v>
      </c>
      <c r="D84" s="99">
        <v>10902</v>
      </c>
      <c r="E84" s="99">
        <v>1536</v>
      </c>
      <c r="F84" s="99" t="s">
        <v>176</v>
      </c>
      <c r="G84" s="99">
        <v>49</v>
      </c>
      <c r="H84" s="99">
        <v>26</v>
      </c>
      <c r="I84" s="99">
        <v>170</v>
      </c>
      <c r="J84" s="99">
        <v>864</v>
      </c>
      <c r="K84" s="99">
        <v>9</v>
      </c>
      <c r="L84" s="99">
        <v>2305</v>
      </c>
      <c r="M84" s="99">
        <v>644</v>
      </c>
      <c r="N84" s="99">
        <v>380</v>
      </c>
      <c r="O84" s="99">
        <v>153</v>
      </c>
      <c r="P84" s="158">
        <v>153</v>
      </c>
      <c r="Q84" s="99">
        <v>17</v>
      </c>
      <c r="R84" s="99">
        <v>37</v>
      </c>
      <c r="S84" s="99">
        <v>58</v>
      </c>
      <c r="T84" s="99">
        <v>17</v>
      </c>
      <c r="U84" s="99" t="s">
        <v>916</v>
      </c>
      <c r="V84" s="99">
        <v>15</v>
      </c>
      <c r="W84" s="99">
        <v>31</v>
      </c>
      <c r="X84" s="99">
        <v>46</v>
      </c>
      <c r="Y84" s="99">
        <v>60</v>
      </c>
      <c r="Z84" s="99">
        <v>59</v>
      </c>
      <c r="AA84" s="99">
        <v>9</v>
      </c>
      <c r="AB84" s="99">
        <v>20</v>
      </c>
      <c r="AC84" s="99">
        <v>11</v>
      </c>
      <c r="AD84" s="98" t="s">
        <v>158</v>
      </c>
      <c r="AE84" s="100">
        <v>0.14089157952669235</v>
      </c>
      <c r="AF84" s="100">
        <v>0.19</v>
      </c>
      <c r="AG84" s="98">
        <v>449.4588148963493</v>
      </c>
      <c r="AH84" s="98">
        <v>238.4883507613282</v>
      </c>
      <c r="AI84" s="100">
        <v>0.015600000000000001</v>
      </c>
      <c r="AJ84" s="100">
        <v>0.71405</v>
      </c>
      <c r="AK84" s="100">
        <v>0.75</v>
      </c>
      <c r="AL84" s="100">
        <v>0.802856</v>
      </c>
      <c r="AM84" s="100">
        <v>0.597403</v>
      </c>
      <c r="AN84" s="100">
        <v>0.596546</v>
      </c>
      <c r="AO84" s="98">
        <v>1403.412217941662</v>
      </c>
      <c r="AP84" s="157">
        <v>0.7509</v>
      </c>
      <c r="AQ84" s="100">
        <v>0.1111111111111111</v>
      </c>
      <c r="AR84" s="100">
        <v>0.4594594594594595</v>
      </c>
      <c r="AS84" s="98">
        <v>532.0124747752706</v>
      </c>
      <c r="AT84" s="98">
        <v>155.9346908824069</v>
      </c>
      <c r="AU84" s="98" t="s">
        <v>916</v>
      </c>
      <c r="AV84" s="98">
        <v>137.5894331315355</v>
      </c>
      <c r="AW84" s="98">
        <v>284.3514951385067</v>
      </c>
      <c r="AX84" s="98">
        <v>421.9409282700422</v>
      </c>
      <c r="AY84" s="98">
        <v>550.357732526142</v>
      </c>
      <c r="AZ84" s="98">
        <v>541.1851036507063</v>
      </c>
      <c r="BA84" s="100">
        <v>0.225</v>
      </c>
      <c r="BB84" s="100">
        <v>0.5</v>
      </c>
      <c r="BC84" s="100">
        <v>0.275</v>
      </c>
      <c r="BD84" s="157">
        <v>0.6365999999999999</v>
      </c>
      <c r="BE84" s="157">
        <v>0.8797</v>
      </c>
      <c r="BF84" s="161">
        <v>1210</v>
      </c>
      <c r="BG84" s="161">
        <v>12</v>
      </c>
      <c r="BH84" s="161">
        <v>2871</v>
      </c>
      <c r="BI84" s="161">
        <v>1078</v>
      </c>
      <c r="BJ84" s="161">
        <v>637</v>
      </c>
      <c r="BK84" s="97"/>
      <c r="BL84" s="97"/>
      <c r="BM84" s="97"/>
      <c r="BN84" s="97"/>
    </row>
    <row r="85" spans="1:66" ht="12.75">
      <c r="A85" s="79" t="s">
        <v>379</v>
      </c>
      <c r="B85" s="79" t="s">
        <v>128</v>
      </c>
      <c r="C85" s="79" t="s">
        <v>367</v>
      </c>
      <c r="D85" s="99">
        <v>4244</v>
      </c>
      <c r="E85" s="99">
        <v>528</v>
      </c>
      <c r="F85" s="99" t="s">
        <v>177</v>
      </c>
      <c r="G85" s="99">
        <v>17</v>
      </c>
      <c r="H85" s="99">
        <v>6</v>
      </c>
      <c r="I85" s="99">
        <v>29</v>
      </c>
      <c r="J85" s="99">
        <v>128</v>
      </c>
      <c r="K85" s="99" t="s">
        <v>916</v>
      </c>
      <c r="L85" s="99">
        <v>481</v>
      </c>
      <c r="M85" s="99">
        <v>85</v>
      </c>
      <c r="N85" s="99">
        <v>50</v>
      </c>
      <c r="O85" s="99">
        <v>42</v>
      </c>
      <c r="P85" s="158">
        <v>42</v>
      </c>
      <c r="Q85" s="99">
        <v>6</v>
      </c>
      <c r="R85" s="99">
        <v>18</v>
      </c>
      <c r="S85" s="99">
        <v>10</v>
      </c>
      <c r="T85" s="99" t="s">
        <v>916</v>
      </c>
      <c r="U85" s="99" t="s">
        <v>916</v>
      </c>
      <c r="V85" s="99" t="s">
        <v>916</v>
      </c>
      <c r="W85" s="99">
        <v>6</v>
      </c>
      <c r="X85" s="99">
        <v>11</v>
      </c>
      <c r="Y85" s="99">
        <v>30</v>
      </c>
      <c r="Z85" s="99">
        <v>29</v>
      </c>
      <c r="AA85" s="99" t="s">
        <v>916</v>
      </c>
      <c r="AB85" s="99" t="s">
        <v>916</v>
      </c>
      <c r="AC85" s="99" t="s">
        <v>916</v>
      </c>
      <c r="AD85" s="98" t="s">
        <v>158</v>
      </c>
      <c r="AE85" s="100">
        <v>0.12441093308199812</v>
      </c>
      <c r="AF85" s="100">
        <v>0.29</v>
      </c>
      <c r="AG85" s="98">
        <v>400.5655042412818</v>
      </c>
      <c r="AH85" s="98">
        <v>141.3760603204524</v>
      </c>
      <c r="AI85" s="100">
        <v>0.0068000000000000005</v>
      </c>
      <c r="AJ85" s="100">
        <v>0.408946</v>
      </c>
      <c r="AK85" s="100" t="s">
        <v>916</v>
      </c>
      <c r="AL85" s="100">
        <v>0.591636</v>
      </c>
      <c r="AM85" s="100">
        <v>0.277778</v>
      </c>
      <c r="AN85" s="100">
        <v>0.289017</v>
      </c>
      <c r="AO85" s="98">
        <v>989.6324222431668</v>
      </c>
      <c r="AP85" s="157">
        <v>0.5989</v>
      </c>
      <c r="AQ85" s="100">
        <v>0.14285714285714285</v>
      </c>
      <c r="AR85" s="100">
        <v>0.3333333333333333</v>
      </c>
      <c r="AS85" s="98">
        <v>235.62676720075402</v>
      </c>
      <c r="AT85" s="98" t="s">
        <v>916</v>
      </c>
      <c r="AU85" s="98" t="s">
        <v>916</v>
      </c>
      <c r="AV85" s="98" t="s">
        <v>916</v>
      </c>
      <c r="AW85" s="98">
        <v>141.3760603204524</v>
      </c>
      <c r="AX85" s="98">
        <v>259.18944392082943</v>
      </c>
      <c r="AY85" s="98">
        <v>706.880301602262</v>
      </c>
      <c r="AZ85" s="98">
        <v>683.3176248821866</v>
      </c>
      <c r="BA85" s="100" t="s">
        <v>916</v>
      </c>
      <c r="BB85" s="100" t="s">
        <v>916</v>
      </c>
      <c r="BC85" s="100" t="s">
        <v>916</v>
      </c>
      <c r="BD85" s="157">
        <v>0.4316</v>
      </c>
      <c r="BE85" s="157">
        <v>0.8096</v>
      </c>
      <c r="BF85" s="161">
        <v>313</v>
      </c>
      <c r="BG85" s="161" t="s">
        <v>916</v>
      </c>
      <c r="BH85" s="161">
        <v>813</v>
      </c>
      <c r="BI85" s="161">
        <v>306</v>
      </c>
      <c r="BJ85" s="161">
        <v>173</v>
      </c>
      <c r="BK85" s="97"/>
      <c r="BL85" s="97"/>
      <c r="BM85" s="97"/>
      <c r="BN85" s="97"/>
    </row>
    <row r="86" spans="1:66" ht="12.75">
      <c r="A86" s="79" t="s">
        <v>297</v>
      </c>
      <c r="B86" s="79" t="s">
        <v>111</v>
      </c>
      <c r="C86" s="79" t="s">
        <v>367</v>
      </c>
      <c r="D86" s="99">
        <v>15844</v>
      </c>
      <c r="E86" s="99">
        <v>2325</v>
      </c>
      <c r="F86" s="99" t="s">
        <v>177</v>
      </c>
      <c r="G86" s="99">
        <v>78</v>
      </c>
      <c r="H86" s="99">
        <v>29</v>
      </c>
      <c r="I86" s="99">
        <v>275</v>
      </c>
      <c r="J86" s="99">
        <v>1132</v>
      </c>
      <c r="K86" s="99">
        <v>17</v>
      </c>
      <c r="L86" s="99">
        <v>2794</v>
      </c>
      <c r="M86" s="99">
        <v>679</v>
      </c>
      <c r="N86" s="99">
        <v>381</v>
      </c>
      <c r="O86" s="99">
        <v>335</v>
      </c>
      <c r="P86" s="158">
        <v>335</v>
      </c>
      <c r="Q86" s="99">
        <v>31</v>
      </c>
      <c r="R86" s="99">
        <v>68</v>
      </c>
      <c r="S86" s="99">
        <v>74</v>
      </c>
      <c r="T86" s="99">
        <v>59</v>
      </c>
      <c r="U86" s="99" t="s">
        <v>916</v>
      </c>
      <c r="V86" s="99">
        <v>35</v>
      </c>
      <c r="W86" s="99">
        <v>53</v>
      </c>
      <c r="X86" s="99">
        <v>129</v>
      </c>
      <c r="Y86" s="99">
        <v>109</v>
      </c>
      <c r="Z86" s="99">
        <v>101</v>
      </c>
      <c r="AA86" s="99">
        <v>13</v>
      </c>
      <c r="AB86" s="99">
        <v>32</v>
      </c>
      <c r="AC86" s="99">
        <v>14</v>
      </c>
      <c r="AD86" s="98" t="s">
        <v>158</v>
      </c>
      <c r="AE86" s="100">
        <v>0.14674324665488514</v>
      </c>
      <c r="AF86" s="100">
        <v>0.25</v>
      </c>
      <c r="AG86" s="98">
        <v>492.29992426155013</v>
      </c>
      <c r="AH86" s="98">
        <v>183.03458722544812</v>
      </c>
      <c r="AI86" s="100">
        <v>0.0174</v>
      </c>
      <c r="AJ86" s="100">
        <v>0.679064</v>
      </c>
      <c r="AK86" s="100">
        <v>0.447368</v>
      </c>
      <c r="AL86" s="100">
        <v>0.710941</v>
      </c>
      <c r="AM86" s="100">
        <v>0.472512</v>
      </c>
      <c r="AN86" s="100">
        <v>0.428571</v>
      </c>
      <c r="AO86" s="98">
        <v>2114.3650593284524</v>
      </c>
      <c r="AP86" s="157">
        <v>1.1425</v>
      </c>
      <c r="AQ86" s="100">
        <v>0.09253731343283582</v>
      </c>
      <c r="AR86" s="100">
        <v>0.45588235294117646</v>
      </c>
      <c r="AS86" s="98">
        <v>467.05377429941933</v>
      </c>
      <c r="AT86" s="98">
        <v>372.38071194142896</v>
      </c>
      <c r="AU86" s="98" t="s">
        <v>916</v>
      </c>
      <c r="AV86" s="98">
        <v>220.9038121686443</v>
      </c>
      <c r="AW86" s="98">
        <v>334.5114869982328</v>
      </c>
      <c r="AX86" s="98">
        <v>814.1883362787175</v>
      </c>
      <c r="AY86" s="98">
        <v>687.9575864680636</v>
      </c>
      <c r="AZ86" s="98">
        <v>637.4652865438021</v>
      </c>
      <c r="BA86" s="100">
        <v>0.22033898305084745</v>
      </c>
      <c r="BB86" s="100">
        <v>0.5423728813559322</v>
      </c>
      <c r="BC86" s="100">
        <v>0.23728813559322035</v>
      </c>
      <c r="BD86" s="157">
        <v>1.0234</v>
      </c>
      <c r="BE86" s="157">
        <v>1.2716</v>
      </c>
      <c r="BF86" s="161">
        <v>1667</v>
      </c>
      <c r="BG86" s="161">
        <v>38</v>
      </c>
      <c r="BH86" s="161">
        <v>3930</v>
      </c>
      <c r="BI86" s="161">
        <v>1437</v>
      </c>
      <c r="BJ86" s="161">
        <v>889</v>
      </c>
      <c r="BK86" s="97"/>
      <c r="BL86" s="97"/>
      <c r="BM86" s="97"/>
      <c r="BN86" s="97"/>
    </row>
    <row r="87" spans="1:66" ht="12.75">
      <c r="A87" s="79" t="s">
        <v>288</v>
      </c>
      <c r="B87" s="79" t="s">
        <v>99</v>
      </c>
      <c r="C87" s="79" t="s">
        <v>367</v>
      </c>
      <c r="D87" s="99">
        <v>14484</v>
      </c>
      <c r="E87" s="99">
        <v>2847</v>
      </c>
      <c r="F87" s="99" t="s">
        <v>177</v>
      </c>
      <c r="G87" s="99">
        <v>90</v>
      </c>
      <c r="H87" s="99">
        <v>37</v>
      </c>
      <c r="I87" s="99">
        <v>309</v>
      </c>
      <c r="J87" s="99">
        <v>1315</v>
      </c>
      <c r="K87" s="99">
        <v>284</v>
      </c>
      <c r="L87" s="99">
        <v>2550</v>
      </c>
      <c r="M87" s="99">
        <v>972</v>
      </c>
      <c r="N87" s="99">
        <v>540</v>
      </c>
      <c r="O87" s="99">
        <v>404</v>
      </c>
      <c r="P87" s="158">
        <v>404</v>
      </c>
      <c r="Q87" s="99">
        <v>41</v>
      </c>
      <c r="R87" s="99">
        <v>98</v>
      </c>
      <c r="S87" s="99">
        <v>77</v>
      </c>
      <c r="T87" s="99">
        <v>75</v>
      </c>
      <c r="U87" s="99" t="s">
        <v>916</v>
      </c>
      <c r="V87" s="99">
        <v>45</v>
      </c>
      <c r="W87" s="99">
        <v>63</v>
      </c>
      <c r="X87" s="99">
        <v>91</v>
      </c>
      <c r="Y87" s="99">
        <v>162</v>
      </c>
      <c r="Z87" s="99">
        <v>106</v>
      </c>
      <c r="AA87" s="99">
        <v>17</v>
      </c>
      <c r="AB87" s="99">
        <v>41</v>
      </c>
      <c r="AC87" s="99">
        <v>39</v>
      </c>
      <c r="AD87" s="98" t="s">
        <v>158</v>
      </c>
      <c r="AE87" s="100">
        <v>0.19656172328086163</v>
      </c>
      <c r="AF87" s="100">
        <v>0.22</v>
      </c>
      <c r="AG87" s="98">
        <v>621.3753106876553</v>
      </c>
      <c r="AH87" s="98">
        <v>255.45429439381385</v>
      </c>
      <c r="AI87" s="100">
        <v>0.0213</v>
      </c>
      <c r="AJ87" s="100">
        <v>0.720548</v>
      </c>
      <c r="AK87" s="100">
        <v>0.804533</v>
      </c>
      <c r="AL87" s="100">
        <v>0.746269</v>
      </c>
      <c r="AM87" s="100">
        <v>0.561525</v>
      </c>
      <c r="AN87" s="100">
        <v>0.529931</v>
      </c>
      <c r="AO87" s="98">
        <v>2789.2847279756975</v>
      </c>
      <c r="AP87" s="157">
        <v>1.3227000000000002</v>
      </c>
      <c r="AQ87" s="100">
        <v>0.10148514851485149</v>
      </c>
      <c r="AR87" s="100">
        <v>0.41836734693877553</v>
      </c>
      <c r="AS87" s="98">
        <v>531.6210991438829</v>
      </c>
      <c r="AT87" s="98">
        <v>517.8127589063795</v>
      </c>
      <c r="AU87" s="98" t="s">
        <v>916</v>
      </c>
      <c r="AV87" s="98">
        <v>310.68765534382766</v>
      </c>
      <c r="AW87" s="98">
        <v>434.96271748135877</v>
      </c>
      <c r="AX87" s="98">
        <v>628.279480806407</v>
      </c>
      <c r="AY87" s="98">
        <v>1118.4755592377796</v>
      </c>
      <c r="AZ87" s="98">
        <v>731.842032587683</v>
      </c>
      <c r="BA87" s="100">
        <v>0.17525773195876287</v>
      </c>
      <c r="BB87" s="100">
        <v>0.422680412371134</v>
      </c>
      <c r="BC87" s="100">
        <v>0.4020618556701031</v>
      </c>
      <c r="BD87" s="157">
        <v>1.1969</v>
      </c>
      <c r="BE87" s="157">
        <v>1.4582</v>
      </c>
      <c r="BF87" s="161">
        <v>1825</v>
      </c>
      <c r="BG87" s="161">
        <v>353</v>
      </c>
      <c r="BH87" s="161">
        <v>3417</v>
      </c>
      <c r="BI87" s="161">
        <v>1731</v>
      </c>
      <c r="BJ87" s="161">
        <v>1019</v>
      </c>
      <c r="BK87" s="97"/>
      <c r="BL87" s="97"/>
      <c r="BM87" s="97"/>
      <c r="BN87" s="97"/>
    </row>
    <row r="88" spans="1:66" ht="12.75">
      <c r="A88" s="79" t="s">
        <v>263</v>
      </c>
      <c r="B88" s="79" t="s">
        <v>66</v>
      </c>
      <c r="C88" s="79" t="s">
        <v>367</v>
      </c>
      <c r="D88" s="99">
        <v>4226</v>
      </c>
      <c r="E88" s="99">
        <v>476</v>
      </c>
      <c r="F88" s="99" t="s">
        <v>177</v>
      </c>
      <c r="G88" s="99">
        <v>12</v>
      </c>
      <c r="H88" s="99">
        <v>7</v>
      </c>
      <c r="I88" s="99">
        <v>45</v>
      </c>
      <c r="J88" s="99">
        <v>182</v>
      </c>
      <c r="K88" s="99" t="s">
        <v>916</v>
      </c>
      <c r="L88" s="99">
        <v>749</v>
      </c>
      <c r="M88" s="99">
        <v>121</v>
      </c>
      <c r="N88" s="99">
        <v>64</v>
      </c>
      <c r="O88" s="99">
        <v>97</v>
      </c>
      <c r="P88" s="158">
        <v>97</v>
      </c>
      <c r="Q88" s="99">
        <v>7</v>
      </c>
      <c r="R88" s="99">
        <v>17</v>
      </c>
      <c r="S88" s="99">
        <v>27</v>
      </c>
      <c r="T88" s="99">
        <v>18</v>
      </c>
      <c r="U88" s="99" t="s">
        <v>916</v>
      </c>
      <c r="V88" s="99">
        <v>8</v>
      </c>
      <c r="W88" s="99">
        <v>7</v>
      </c>
      <c r="X88" s="99">
        <v>21</v>
      </c>
      <c r="Y88" s="99">
        <v>12</v>
      </c>
      <c r="Z88" s="99">
        <v>23</v>
      </c>
      <c r="AA88" s="99" t="s">
        <v>916</v>
      </c>
      <c r="AB88" s="99" t="s">
        <v>916</v>
      </c>
      <c r="AC88" s="99" t="s">
        <v>916</v>
      </c>
      <c r="AD88" s="98" t="s">
        <v>158</v>
      </c>
      <c r="AE88" s="100">
        <v>0.1126360624704212</v>
      </c>
      <c r="AF88" s="100">
        <v>0.28</v>
      </c>
      <c r="AG88" s="98">
        <v>283.9564600094652</v>
      </c>
      <c r="AH88" s="98">
        <v>165.6412683388547</v>
      </c>
      <c r="AI88" s="100">
        <v>0.0106</v>
      </c>
      <c r="AJ88" s="100">
        <v>0.585209</v>
      </c>
      <c r="AK88" s="100" t="s">
        <v>916</v>
      </c>
      <c r="AL88" s="100">
        <v>0.683394</v>
      </c>
      <c r="AM88" s="100">
        <v>0.444853</v>
      </c>
      <c r="AN88" s="100">
        <v>0.410256</v>
      </c>
      <c r="AO88" s="98">
        <v>2295.314718409844</v>
      </c>
      <c r="AP88" s="157">
        <v>1.4043999999999999</v>
      </c>
      <c r="AQ88" s="100">
        <v>0.07216494845360824</v>
      </c>
      <c r="AR88" s="100">
        <v>0.4117647058823529</v>
      </c>
      <c r="AS88" s="98">
        <v>638.9020350212967</v>
      </c>
      <c r="AT88" s="98">
        <v>425.9346900141978</v>
      </c>
      <c r="AU88" s="98" t="s">
        <v>916</v>
      </c>
      <c r="AV88" s="98">
        <v>189.30430667297682</v>
      </c>
      <c r="AW88" s="98">
        <v>165.6412683388547</v>
      </c>
      <c r="AX88" s="98">
        <v>496.92380501656413</v>
      </c>
      <c r="AY88" s="98">
        <v>283.9564600094652</v>
      </c>
      <c r="AZ88" s="98">
        <v>544.2498816848083</v>
      </c>
      <c r="BA88" s="100" t="s">
        <v>916</v>
      </c>
      <c r="BB88" s="100" t="s">
        <v>916</v>
      </c>
      <c r="BC88" s="100" t="s">
        <v>916</v>
      </c>
      <c r="BD88" s="157">
        <v>1.1389</v>
      </c>
      <c r="BE88" s="157">
        <v>1.7131999999999998</v>
      </c>
      <c r="BF88" s="161">
        <v>311</v>
      </c>
      <c r="BG88" s="161" t="s">
        <v>916</v>
      </c>
      <c r="BH88" s="161">
        <v>1096</v>
      </c>
      <c r="BI88" s="161">
        <v>272</v>
      </c>
      <c r="BJ88" s="161">
        <v>156</v>
      </c>
      <c r="BK88" s="97"/>
      <c r="BL88" s="97"/>
      <c r="BM88" s="97"/>
      <c r="BN88" s="97"/>
    </row>
    <row r="89" spans="1:66" ht="12.75">
      <c r="A89" s="79" t="s">
        <v>303</v>
      </c>
      <c r="B89" s="79" t="s">
        <v>119</v>
      </c>
      <c r="C89" s="79" t="s">
        <v>367</v>
      </c>
      <c r="D89" s="99">
        <v>4360</v>
      </c>
      <c r="E89" s="99">
        <v>706</v>
      </c>
      <c r="F89" s="99" t="s">
        <v>177</v>
      </c>
      <c r="G89" s="99">
        <v>23</v>
      </c>
      <c r="H89" s="99">
        <v>13</v>
      </c>
      <c r="I89" s="99">
        <v>86</v>
      </c>
      <c r="J89" s="99">
        <v>356</v>
      </c>
      <c r="K89" s="99" t="s">
        <v>916</v>
      </c>
      <c r="L89" s="99">
        <v>821</v>
      </c>
      <c r="M89" s="99">
        <v>264</v>
      </c>
      <c r="N89" s="99">
        <v>155</v>
      </c>
      <c r="O89" s="99">
        <v>84</v>
      </c>
      <c r="P89" s="158">
        <v>84</v>
      </c>
      <c r="Q89" s="99">
        <v>11</v>
      </c>
      <c r="R89" s="99">
        <v>25</v>
      </c>
      <c r="S89" s="99">
        <v>21</v>
      </c>
      <c r="T89" s="99">
        <v>17</v>
      </c>
      <c r="U89" s="99" t="s">
        <v>916</v>
      </c>
      <c r="V89" s="99">
        <v>9</v>
      </c>
      <c r="W89" s="99">
        <v>26</v>
      </c>
      <c r="X89" s="99">
        <v>26</v>
      </c>
      <c r="Y89" s="99">
        <v>27</v>
      </c>
      <c r="Z89" s="99">
        <v>34</v>
      </c>
      <c r="AA89" s="99" t="s">
        <v>916</v>
      </c>
      <c r="AB89" s="99" t="s">
        <v>916</v>
      </c>
      <c r="AC89" s="99" t="s">
        <v>916</v>
      </c>
      <c r="AD89" s="98" t="s">
        <v>158</v>
      </c>
      <c r="AE89" s="100">
        <v>0.16192660550458715</v>
      </c>
      <c r="AF89" s="100">
        <v>0.22</v>
      </c>
      <c r="AG89" s="98">
        <v>527.5229357798165</v>
      </c>
      <c r="AH89" s="98">
        <v>298.1651376146789</v>
      </c>
      <c r="AI89" s="100">
        <v>0.0197</v>
      </c>
      <c r="AJ89" s="100">
        <v>0.710579</v>
      </c>
      <c r="AK89" s="100" t="s">
        <v>916</v>
      </c>
      <c r="AL89" s="100">
        <v>0.775992</v>
      </c>
      <c r="AM89" s="100">
        <v>0.586667</v>
      </c>
      <c r="AN89" s="100">
        <v>0.553571</v>
      </c>
      <c r="AO89" s="98">
        <v>1926.605504587156</v>
      </c>
      <c r="AP89" s="157">
        <v>0.9948</v>
      </c>
      <c r="AQ89" s="100">
        <v>0.13095238095238096</v>
      </c>
      <c r="AR89" s="100">
        <v>0.44</v>
      </c>
      <c r="AS89" s="98">
        <v>481.651376146789</v>
      </c>
      <c r="AT89" s="98">
        <v>389.908256880734</v>
      </c>
      <c r="AU89" s="98" t="s">
        <v>916</v>
      </c>
      <c r="AV89" s="98">
        <v>206.42201834862385</v>
      </c>
      <c r="AW89" s="98">
        <v>596.3302752293578</v>
      </c>
      <c r="AX89" s="98">
        <v>596.3302752293578</v>
      </c>
      <c r="AY89" s="98">
        <v>619.2660550458716</v>
      </c>
      <c r="AZ89" s="98">
        <v>779.816513761468</v>
      </c>
      <c r="BA89" s="100" t="s">
        <v>916</v>
      </c>
      <c r="BB89" s="100" t="s">
        <v>916</v>
      </c>
      <c r="BC89" s="100" t="s">
        <v>916</v>
      </c>
      <c r="BD89" s="157">
        <v>0.7935</v>
      </c>
      <c r="BE89" s="157">
        <v>1.2317</v>
      </c>
      <c r="BF89" s="161">
        <v>501</v>
      </c>
      <c r="BG89" s="161" t="s">
        <v>916</v>
      </c>
      <c r="BH89" s="161">
        <v>1058</v>
      </c>
      <c r="BI89" s="161">
        <v>450</v>
      </c>
      <c r="BJ89" s="161">
        <v>280</v>
      </c>
      <c r="BK89" s="97"/>
      <c r="BL89" s="97"/>
      <c r="BM89" s="97"/>
      <c r="BN89" s="97"/>
    </row>
    <row r="90" spans="1:66" ht="12.75">
      <c r="A90" s="79" t="s">
        <v>311</v>
      </c>
      <c r="B90" s="79" t="s">
        <v>130</v>
      </c>
      <c r="C90" s="79" t="s">
        <v>367</v>
      </c>
      <c r="D90" s="99">
        <v>2945</v>
      </c>
      <c r="E90" s="99">
        <v>355</v>
      </c>
      <c r="F90" s="99" t="s">
        <v>177</v>
      </c>
      <c r="G90" s="99">
        <v>7</v>
      </c>
      <c r="H90" s="99" t="s">
        <v>916</v>
      </c>
      <c r="I90" s="99">
        <v>35</v>
      </c>
      <c r="J90" s="99">
        <v>131</v>
      </c>
      <c r="K90" s="99">
        <v>113</v>
      </c>
      <c r="L90" s="99">
        <v>401</v>
      </c>
      <c r="M90" s="99">
        <v>73</v>
      </c>
      <c r="N90" s="99">
        <v>39</v>
      </c>
      <c r="O90" s="99">
        <v>22</v>
      </c>
      <c r="P90" s="158">
        <v>22</v>
      </c>
      <c r="Q90" s="99" t="s">
        <v>916</v>
      </c>
      <c r="R90" s="99">
        <v>9</v>
      </c>
      <c r="S90" s="99">
        <v>7</v>
      </c>
      <c r="T90" s="99" t="s">
        <v>916</v>
      </c>
      <c r="U90" s="99" t="s">
        <v>916</v>
      </c>
      <c r="V90" s="99" t="s">
        <v>916</v>
      </c>
      <c r="W90" s="99" t="s">
        <v>916</v>
      </c>
      <c r="X90" s="99" t="s">
        <v>916</v>
      </c>
      <c r="Y90" s="99">
        <v>10</v>
      </c>
      <c r="Z90" s="99">
        <v>18</v>
      </c>
      <c r="AA90" s="99" t="s">
        <v>916</v>
      </c>
      <c r="AB90" s="99" t="s">
        <v>916</v>
      </c>
      <c r="AC90" s="99" t="s">
        <v>916</v>
      </c>
      <c r="AD90" s="98" t="s">
        <v>158</v>
      </c>
      <c r="AE90" s="100">
        <v>0.12054329371816638</v>
      </c>
      <c r="AF90" s="100">
        <v>0.3</v>
      </c>
      <c r="AG90" s="98">
        <v>237.69100169779287</v>
      </c>
      <c r="AH90" s="98" t="s">
        <v>916</v>
      </c>
      <c r="AI90" s="100">
        <v>0.011899999999999999</v>
      </c>
      <c r="AJ90" s="100">
        <v>0.620853</v>
      </c>
      <c r="AK90" s="100">
        <v>0.559406</v>
      </c>
      <c r="AL90" s="100">
        <v>0.590574</v>
      </c>
      <c r="AM90" s="100">
        <v>0.365</v>
      </c>
      <c r="AN90" s="100">
        <v>0.309524</v>
      </c>
      <c r="AO90" s="98">
        <v>747.0288624787776</v>
      </c>
      <c r="AP90" s="157">
        <v>0.4678</v>
      </c>
      <c r="AQ90" s="100" t="s">
        <v>916</v>
      </c>
      <c r="AR90" s="100" t="s">
        <v>916</v>
      </c>
      <c r="AS90" s="98">
        <v>237.69100169779287</v>
      </c>
      <c r="AT90" s="98" t="s">
        <v>916</v>
      </c>
      <c r="AU90" s="98" t="s">
        <v>916</v>
      </c>
      <c r="AV90" s="98" t="s">
        <v>916</v>
      </c>
      <c r="AW90" s="98" t="s">
        <v>916</v>
      </c>
      <c r="AX90" s="98" t="s">
        <v>916</v>
      </c>
      <c r="AY90" s="98">
        <v>339.5585738539898</v>
      </c>
      <c r="AZ90" s="98">
        <v>611.2054329371816</v>
      </c>
      <c r="BA90" s="100" t="s">
        <v>916</v>
      </c>
      <c r="BB90" s="100" t="s">
        <v>916</v>
      </c>
      <c r="BC90" s="100" t="s">
        <v>916</v>
      </c>
      <c r="BD90" s="157">
        <v>0.2932</v>
      </c>
      <c r="BE90" s="157">
        <v>0.7082999999999999</v>
      </c>
      <c r="BF90" s="161">
        <v>211</v>
      </c>
      <c r="BG90" s="161">
        <v>202</v>
      </c>
      <c r="BH90" s="161">
        <v>679</v>
      </c>
      <c r="BI90" s="161">
        <v>200</v>
      </c>
      <c r="BJ90" s="161">
        <v>126</v>
      </c>
      <c r="BK90" s="97"/>
      <c r="BL90" s="97"/>
      <c r="BM90" s="97"/>
      <c r="BN90" s="97"/>
    </row>
    <row r="91" spans="1:66" ht="12.75">
      <c r="A91" s="79" t="s">
        <v>264</v>
      </c>
      <c r="B91" s="79" t="s">
        <v>67</v>
      </c>
      <c r="C91" s="79" t="s">
        <v>367</v>
      </c>
      <c r="D91" s="99">
        <v>3876</v>
      </c>
      <c r="E91" s="99">
        <v>483</v>
      </c>
      <c r="F91" s="99" t="s">
        <v>177</v>
      </c>
      <c r="G91" s="99">
        <v>20</v>
      </c>
      <c r="H91" s="99">
        <v>10</v>
      </c>
      <c r="I91" s="99">
        <v>59</v>
      </c>
      <c r="J91" s="99">
        <v>240</v>
      </c>
      <c r="K91" s="99" t="s">
        <v>916</v>
      </c>
      <c r="L91" s="99">
        <v>652</v>
      </c>
      <c r="M91" s="99">
        <v>120</v>
      </c>
      <c r="N91" s="99">
        <v>65</v>
      </c>
      <c r="O91" s="99">
        <v>66</v>
      </c>
      <c r="P91" s="158">
        <v>66</v>
      </c>
      <c r="Q91" s="99">
        <v>11</v>
      </c>
      <c r="R91" s="99">
        <v>23</v>
      </c>
      <c r="S91" s="99">
        <v>11</v>
      </c>
      <c r="T91" s="99">
        <v>7</v>
      </c>
      <c r="U91" s="99" t="s">
        <v>916</v>
      </c>
      <c r="V91" s="99">
        <v>9</v>
      </c>
      <c r="W91" s="99">
        <v>10</v>
      </c>
      <c r="X91" s="99">
        <v>17</v>
      </c>
      <c r="Y91" s="99">
        <v>14</v>
      </c>
      <c r="Z91" s="99">
        <v>30</v>
      </c>
      <c r="AA91" s="99" t="s">
        <v>916</v>
      </c>
      <c r="AB91" s="99" t="s">
        <v>916</v>
      </c>
      <c r="AC91" s="99" t="s">
        <v>916</v>
      </c>
      <c r="AD91" s="98" t="s">
        <v>158</v>
      </c>
      <c r="AE91" s="100">
        <v>0.12461300309597523</v>
      </c>
      <c r="AF91" s="100">
        <v>0.32</v>
      </c>
      <c r="AG91" s="98">
        <v>515.9958720330237</v>
      </c>
      <c r="AH91" s="98">
        <v>257.99793601651186</v>
      </c>
      <c r="AI91" s="100">
        <v>0.0152</v>
      </c>
      <c r="AJ91" s="100">
        <v>0.705882</v>
      </c>
      <c r="AK91" s="100" t="s">
        <v>916</v>
      </c>
      <c r="AL91" s="100">
        <v>0.709467</v>
      </c>
      <c r="AM91" s="100">
        <v>0.444444</v>
      </c>
      <c r="AN91" s="100">
        <v>0.436242</v>
      </c>
      <c r="AO91" s="98">
        <v>1702.7863777089783</v>
      </c>
      <c r="AP91" s="157">
        <v>0.9984000000000001</v>
      </c>
      <c r="AQ91" s="100">
        <v>0.16666666666666666</v>
      </c>
      <c r="AR91" s="100">
        <v>0.4782608695652174</v>
      </c>
      <c r="AS91" s="98">
        <v>283.79772961816303</v>
      </c>
      <c r="AT91" s="98">
        <v>180.5985552115583</v>
      </c>
      <c r="AU91" s="98" t="s">
        <v>916</v>
      </c>
      <c r="AV91" s="98">
        <v>232.19814241486068</v>
      </c>
      <c r="AW91" s="98">
        <v>257.99793601651186</v>
      </c>
      <c r="AX91" s="98">
        <v>438.5964912280702</v>
      </c>
      <c r="AY91" s="98">
        <v>361.1971104231166</v>
      </c>
      <c r="AZ91" s="98">
        <v>773.9938080495356</v>
      </c>
      <c r="BA91" s="100" t="s">
        <v>916</v>
      </c>
      <c r="BB91" s="100" t="s">
        <v>916</v>
      </c>
      <c r="BC91" s="100" t="s">
        <v>916</v>
      </c>
      <c r="BD91" s="157">
        <v>0.7722</v>
      </c>
      <c r="BE91" s="157">
        <v>1.2702</v>
      </c>
      <c r="BF91" s="161">
        <v>340</v>
      </c>
      <c r="BG91" s="161" t="s">
        <v>916</v>
      </c>
      <c r="BH91" s="161">
        <v>919</v>
      </c>
      <c r="BI91" s="161">
        <v>270</v>
      </c>
      <c r="BJ91" s="161">
        <v>149</v>
      </c>
      <c r="BK91" s="97"/>
      <c r="BL91" s="97"/>
      <c r="BM91" s="97"/>
      <c r="BN91" s="97"/>
    </row>
    <row r="92" spans="1:66" ht="12.75">
      <c r="A92" s="79" t="s">
        <v>370</v>
      </c>
      <c r="B92" s="79" t="s">
        <v>70</v>
      </c>
      <c r="C92" s="79" t="s">
        <v>367</v>
      </c>
      <c r="D92" s="99">
        <v>5357</v>
      </c>
      <c r="E92" s="99">
        <v>817</v>
      </c>
      <c r="F92" s="99" t="s">
        <v>176</v>
      </c>
      <c r="G92" s="99">
        <v>24</v>
      </c>
      <c r="H92" s="99">
        <v>12</v>
      </c>
      <c r="I92" s="99">
        <v>103</v>
      </c>
      <c r="J92" s="99">
        <v>424</v>
      </c>
      <c r="K92" s="99">
        <v>405</v>
      </c>
      <c r="L92" s="99">
        <v>1057</v>
      </c>
      <c r="M92" s="99">
        <v>224</v>
      </c>
      <c r="N92" s="99">
        <v>120</v>
      </c>
      <c r="O92" s="99">
        <v>60</v>
      </c>
      <c r="P92" s="158">
        <v>60</v>
      </c>
      <c r="Q92" s="99">
        <v>8</v>
      </c>
      <c r="R92" s="99">
        <v>26</v>
      </c>
      <c r="S92" s="99">
        <v>23</v>
      </c>
      <c r="T92" s="99">
        <v>13</v>
      </c>
      <c r="U92" s="99" t="s">
        <v>916</v>
      </c>
      <c r="V92" s="99" t="s">
        <v>916</v>
      </c>
      <c r="W92" s="99">
        <v>13</v>
      </c>
      <c r="X92" s="99">
        <v>31</v>
      </c>
      <c r="Y92" s="99">
        <v>23</v>
      </c>
      <c r="Z92" s="99">
        <v>48</v>
      </c>
      <c r="AA92" s="99">
        <v>7</v>
      </c>
      <c r="AB92" s="99">
        <v>8</v>
      </c>
      <c r="AC92" s="99">
        <v>10</v>
      </c>
      <c r="AD92" s="98" t="s">
        <v>158</v>
      </c>
      <c r="AE92" s="100">
        <v>0.1525107336195632</v>
      </c>
      <c r="AF92" s="100">
        <v>0.18</v>
      </c>
      <c r="AG92" s="98">
        <v>448.01194698525296</v>
      </c>
      <c r="AH92" s="98">
        <v>224.00597349262648</v>
      </c>
      <c r="AI92" s="100">
        <v>0.0192</v>
      </c>
      <c r="AJ92" s="100">
        <v>0.776557</v>
      </c>
      <c r="AK92" s="100">
        <v>0.772901</v>
      </c>
      <c r="AL92" s="100">
        <v>0.772661</v>
      </c>
      <c r="AM92" s="100">
        <v>0.523364</v>
      </c>
      <c r="AN92" s="100">
        <v>0.465116</v>
      </c>
      <c r="AO92" s="98">
        <v>1120.0298674631324</v>
      </c>
      <c r="AP92" s="157">
        <v>0.5785</v>
      </c>
      <c r="AQ92" s="100">
        <v>0.13333333333333333</v>
      </c>
      <c r="AR92" s="100">
        <v>0.3076923076923077</v>
      </c>
      <c r="AS92" s="98">
        <v>429.34478252753405</v>
      </c>
      <c r="AT92" s="98">
        <v>242.67313795034534</v>
      </c>
      <c r="AU92" s="98" t="s">
        <v>916</v>
      </c>
      <c r="AV92" s="98" t="s">
        <v>916</v>
      </c>
      <c r="AW92" s="98">
        <v>242.67313795034534</v>
      </c>
      <c r="AX92" s="98">
        <v>578.682098189285</v>
      </c>
      <c r="AY92" s="98">
        <v>429.34478252753405</v>
      </c>
      <c r="AZ92" s="98">
        <v>896.0238939705059</v>
      </c>
      <c r="BA92" s="100">
        <v>0.28</v>
      </c>
      <c r="BB92" s="100">
        <v>0.32</v>
      </c>
      <c r="BC92" s="100">
        <v>0.4</v>
      </c>
      <c r="BD92" s="157">
        <v>0.4415</v>
      </c>
      <c r="BE92" s="157">
        <v>0.7447</v>
      </c>
      <c r="BF92" s="161">
        <v>546</v>
      </c>
      <c r="BG92" s="161">
        <v>524</v>
      </c>
      <c r="BH92" s="161">
        <v>1368</v>
      </c>
      <c r="BI92" s="161">
        <v>428</v>
      </c>
      <c r="BJ92" s="161">
        <v>258</v>
      </c>
      <c r="BK92" s="97"/>
      <c r="BL92" s="97"/>
      <c r="BM92" s="97"/>
      <c r="BN92" s="97"/>
    </row>
    <row r="93" spans="1:66" ht="12.75">
      <c r="A93" s="79" t="s">
        <v>280</v>
      </c>
      <c r="B93" s="79" t="s">
        <v>89</v>
      </c>
      <c r="C93" s="79" t="s">
        <v>367</v>
      </c>
      <c r="D93" s="99">
        <v>2934</v>
      </c>
      <c r="E93" s="99">
        <v>145</v>
      </c>
      <c r="F93" s="99" t="s">
        <v>177</v>
      </c>
      <c r="G93" s="99" t="s">
        <v>916</v>
      </c>
      <c r="H93" s="99" t="s">
        <v>916</v>
      </c>
      <c r="I93" s="99">
        <v>21</v>
      </c>
      <c r="J93" s="99">
        <v>138</v>
      </c>
      <c r="K93" s="99" t="s">
        <v>916</v>
      </c>
      <c r="L93" s="99">
        <v>522</v>
      </c>
      <c r="M93" s="99">
        <v>33</v>
      </c>
      <c r="N93" s="99">
        <v>17</v>
      </c>
      <c r="O93" s="99">
        <v>18</v>
      </c>
      <c r="P93" s="158">
        <v>18</v>
      </c>
      <c r="Q93" s="99" t="s">
        <v>916</v>
      </c>
      <c r="R93" s="99">
        <v>10</v>
      </c>
      <c r="S93" s="99">
        <v>8</v>
      </c>
      <c r="T93" s="99" t="s">
        <v>916</v>
      </c>
      <c r="U93" s="99" t="s">
        <v>916</v>
      </c>
      <c r="V93" s="99" t="s">
        <v>916</v>
      </c>
      <c r="W93" s="99" t="s">
        <v>916</v>
      </c>
      <c r="X93" s="99" t="s">
        <v>916</v>
      </c>
      <c r="Y93" s="99" t="s">
        <v>916</v>
      </c>
      <c r="Z93" s="99">
        <v>7</v>
      </c>
      <c r="AA93" s="99" t="s">
        <v>916</v>
      </c>
      <c r="AB93" s="99" t="s">
        <v>916</v>
      </c>
      <c r="AC93" s="99" t="s">
        <v>916</v>
      </c>
      <c r="AD93" s="98" t="s">
        <v>158</v>
      </c>
      <c r="AE93" s="100">
        <v>0.04942058623040218</v>
      </c>
      <c r="AF93" s="100">
        <v>0.34</v>
      </c>
      <c r="AG93" s="98" t="s">
        <v>916</v>
      </c>
      <c r="AH93" s="98" t="s">
        <v>916</v>
      </c>
      <c r="AI93" s="100">
        <v>0.0072</v>
      </c>
      <c r="AJ93" s="100">
        <v>0.75</v>
      </c>
      <c r="AK93" s="100" t="s">
        <v>916</v>
      </c>
      <c r="AL93" s="100">
        <v>0.718019</v>
      </c>
      <c r="AM93" s="100">
        <v>0.311321</v>
      </c>
      <c r="AN93" s="100">
        <v>0.246377</v>
      </c>
      <c r="AO93" s="98">
        <v>613.4969325153374</v>
      </c>
      <c r="AP93" s="157">
        <v>0.5055</v>
      </c>
      <c r="AQ93" s="100" t="s">
        <v>916</v>
      </c>
      <c r="AR93" s="100" t="s">
        <v>916</v>
      </c>
      <c r="AS93" s="98">
        <v>272.66530334015</v>
      </c>
      <c r="AT93" s="98" t="s">
        <v>916</v>
      </c>
      <c r="AU93" s="98" t="s">
        <v>916</v>
      </c>
      <c r="AV93" s="98" t="s">
        <v>916</v>
      </c>
      <c r="AW93" s="98" t="s">
        <v>916</v>
      </c>
      <c r="AX93" s="98" t="s">
        <v>916</v>
      </c>
      <c r="AY93" s="98" t="s">
        <v>916</v>
      </c>
      <c r="AZ93" s="98">
        <v>238.58214042263123</v>
      </c>
      <c r="BA93" s="100" t="s">
        <v>916</v>
      </c>
      <c r="BB93" s="100" t="s">
        <v>916</v>
      </c>
      <c r="BC93" s="100" t="s">
        <v>916</v>
      </c>
      <c r="BD93" s="157">
        <v>0.29960000000000003</v>
      </c>
      <c r="BE93" s="157">
        <v>0.799</v>
      </c>
      <c r="BF93" s="161">
        <v>184</v>
      </c>
      <c r="BG93" s="161" t="s">
        <v>916</v>
      </c>
      <c r="BH93" s="161">
        <v>727</v>
      </c>
      <c r="BI93" s="161">
        <v>106</v>
      </c>
      <c r="BJ93" s="161">
        <v>69</v>
      </c>
      <c r="BK93" s="97"/>
      <c r="BL93" s="97"/>
      <c r="BM93" s="97"/>
      <c r="BN93" s="97"/>
    </row>
    <row r="94" spans="1:66" ht="12.75">
      <c r="A94" s="79" t="s">
        <v>262</v>
      </c>
      <c r="B94" s="79" t="s">
        <v>65</v>
      </c>
      <c r="C94" s="79" t="s">
        <v>367</v>
      </c>
      <c r="D94" s="99">
        <v>2989</v>
      </c>
      <c r="E94" s="99">
        <v>268</v>
      </c>
      <c r="F94" s="99" t="s">
        <v>177</v>
      </c>
      <c r="G94" s="99">
        <v>6</v>
      </c>
      <c r="H94" s="99" t="s">
        <v>916</v>
      </c>
      <c r="I94" s="99">
        <v>15</v>
      </c>
      <c r="J94" s="99">
        <v>88</v>
      </c>
      <c r="K94" s="99" t="s">
        <v>916</v>
      </c>
      <c r="L94" s="99">
        <v>325</v>
      </c>
      <c r="M94" s="99">
        <v>41</v>
      </c>
      <c r="N94" s="99">
        <v>23</v>
      </c>
      <c r="O94" s="99">
        <v>21</v>
      </c>
      <c r="P94" s="158">
        <v>21</v>
      </c>
      <c r="Q94" s="99" t="s">
        <v>916</v>
      </c>
      <c r="R94" s="99" t="s">
        <v>916</v>
      </c>
      <c r="S94" s="99" t="s">
        <v>916</v>
      </c>
      <c r="T94" s="99" t="s">
        <v>916</v>
      </c>
      <c r="U94" s="99" t="s">
        <v>916</v>
      </c>
      <c r="V94" s="99" t="s">
        <v>916</v>
      </c>
      <c r="W94" s="99" t="s">
        <v>916</v>
      </c>
      <c r="X94" s="99" t="s">
        <v>916</v>
      </c>
      <c r="Y94" s="99">
        <v>16</v>
      </c>
      <c r="Z94" s="99" t="s">
        <v>916</v>
      </c>
      <c r="AA94" s="99" t="s">
        <v>916</v>
      </c>
      <c r="AB94" s="99" t="s">
        <v>916</v>
      </c>
      <c r="AC94" s="99" t="s">
        <v>916</v>
      </c>
      <c r="AD94" s="98" t="s">
        <v>158</v>
      </c>
      <c r="AE94" s="100">
        <v>0.0896620943459351</v>
      </c>
      <c r="AF94" s="100">
        <v>0.47</v>
      </c>
      <c r="AG94" s="98">
        <v>200.73603211776515</v>
      </c>
      <c r="AH94" s="98" t="s">
        <v>916</v>
      </c>
      <c r="AI94" s="100">
        <v>0.005</v>
      </c>
      <c r="AJ94" s="100">
        <v>0.611111</v>
      </c>
      <c r="AK94" s="100" t="s">
        <v>916</v>
      </c>
      <c r="AL94" s="100">
        <v>0.569177</v>
      </c>
      <c r="AM94" s="100">
        <v>0.271523</v>
      </c>
      <c r="AN94" s="100">
        <v>0.234694</v>
      </c>
      <c r="AO94" s="98">
        <v>702.576112412178</v>
      </c>
      <c r="AP94" s="157">
        <v>0.5305</v>
      </c>
      <c r="AQ94" s="100" t="s">
        <v>916</v>
      </c>
      <c r="AR94" s="100" t="s">
        <v>916</v>
      </c>
      <c r="AS94" s="98" t="s">
        <v>916</v>
      </c>
      <c r="AT94" s="98" t="s">
        <v>916</v>
      </c>
      <c r="AU94" s="98" t="s">
        <v>916</v>
      </c>
      <c r="AV94" s="98" t="s">
        <v>916</v>
      </c>
      <c r="AW94" s="98" t="s">
        <v>916</v>
      </c>
      <c r="AX94" s="98" t="s">
        <v>916</v>
      </c>
      <c r="AY94" s="98">
        <v>535.2960856473737</v>
      </c>
      <c r="AZ94" s="98" t="s">
        <v>916</v>
      </c>
      <c r="BA94" s="100" t="s">
        <v>916</v>
      </c>
      <c r="BB94" s="100" t="s">
        <v>916</v>
      </c>
      <c r="BC94" s="100" t="s">
        <v>916</v>
      </c>
      <c r="BD94" s="157">
        <v>0.3284</v>
      </c>
      <c r="BE94" s="157">
        <v>0.8109999999999999</v>
      </c>
      <c r="BF94" s="161">
        <v>144</v>
      </c>
      <c r="BG94" s="161" t="s">
        <v>916</v>
      </c>
      <c r="BH94" s="161">
        <v>571</v>
      </c>
      <c r="BI94" s="161">
        <v>151</v>
      </c>
      <c r="BJ94" s="161">
        <v>98</v>
      </c>
      <c r="BK94" s="97"/>
      <c r="BL94" s="97"/>
      <c r="BM94" s="97"/>
      <c r="BN94" s="97"/>
    </row>
    <row r="95" spans="1:66" ht="12.75">
      <c r="A95" s="79" t="s">
        <v>929</v>
      </c>
      <c r="B95" s="79" t="s">
        <v>124</v>
      </c>
      <c r="C95" s="79" t="s">
        <v>367</v>
      </c>
      <c r="D95" s="99">
        <v>5156</v>
      </c>
      <c r="E95" s="99">
        <v>656</v>
      </c>
      <c r="F95" s="99" t="s">
        <v>177</v>
      </c>
      <c r="G95" s="99">
        <v>12</v>
      </c>
      <c r="H95" s="99">
        <v>9</v>
      </c>
      <c r="I95" s="99">
        <v>43</v>
      </c>
      <c r="J95" s="99">
        <v>311</v>
      </c>
      <c r="K95" s="99">
        <v>260</v>
      </c>
      <c r="L95" s="99">
        <v>769</v>
      </c>
      <c r="M95" s="99">
        <v>143</v>
      </c>
      <c r="N95" s="99">
        <v>94</v>
      </c>
      <c r="O95" s="99">
        <v>36</v>
      </c>
      <c r="P95" s="158">
        <v>36</v>
      </c>
      <c r="Q95" s="99" t="s">
        <v>916</v>
      </c>
      <c r="R95" s="99">
        <v>19</v>
      </c>
      <c r="S95" s="99">
        <v>20</v>
      </c>
      <c r="T95" s="99" t="s">
        <v>916</v>
      </c>
      <c r="U95" s="99" t="s">
        <v>916</v>
      </c>
      <c r="V95" s="99" t="s">
        <v>916</v>
      </c>
      <c r="W95" s="99">
        <v>10</v>
      </c>
      <c r="X95" s="99">
        <v>15</v>
      </c>
      <c r="Y95" s="99">
        <v>27</v>
      </c>
      <c r="Z95" s="99">
        <v>24</v>
      </c>
      <c r="AA95" s="99" t="s">
        <v>916</v>
      </c>
      <c r="AB95" s="99">
        <v>10</v>
      </c>
      <c r="AC95" s="99" t="s">
        <v>916</v>
      </c>
      <c r="AD95" s="98" t="s">
        <v>158</v>
      </c>
      <c r="AE95" s="100">
        <v>0.12723041117145073</v>
      </c>
      <c r="AF95" s="100">
        <v>0.3</v>
      </c>
      <c r="AG95" s="98">
        <v>232.73855702094647</v>
      </c>
      <c r="AH95" s="98">
        <v>174.55391776570985</v>
      </c>
      <c r="AI95" s="100">
        <v>0.0083</v>
      </c>
      <c r="AJ95" s="100">
        <v>0.689579</v>
      </c>
      <c r="AK95" s="100">
        <v>0.606061</v>
      </c>
      <c r="AL95" s="100">
        <v>0.634488</v>
      </c>
      <c r="AM95" s="100">
        <v>0.353086</v>
      </c>
      <c r="AN95" s="100">
        <v>0.350746</v>
      </c>
      <c r="AO95" s="98">
        <v>698.2156710628394</v>
      </c>
      <c r="AP95" s="157">
        <v>0.4094</v>
      </c>
      <c r="AQ95" s="100" t="s">
        <v>916</v>
      </c>
      <c r="AR95" s="100" t="s">
        <v>916</v>
      </c>
      <c r="AS95" s="98">
        <v>387.8975950349108</v>
      </c>
      <c r="AT95" s="98" t="s">
        <v>916</v>
      </c>
      <c r="AU95" s="98" t="s">
        <v>916</v>
      </c>
      <c r="AV95" s="98" t="s">
        <v>916</v>
      </c>
      <c r="AW95" s="98">
        <v>193.9487975174554</v>
      </c>
      <c r="AX95" s="98">
        <v>290.9231962761831</v>
      </c>
      <c r="AY95" s="98">
        <v>523.6617532971295</v>
      </c>
      <c r="AZ95" s="98">
        <v>465.47711404189295</v>
      </c>
      <c r="BA95" s="100" t="s">
        <v>916</v>
      </c>
      <c r="BB95" s="100">
        <v>0.625</v>
      </c>
      <c r="BC95" s="100" t="s">
        <v>916</v>
      </c>
      <c r="BD95" s="157">
        <v>0.2867</v>
      </c>
      <c r="BE95" s="157">
        <v>0.5668</v>
      </c>
      <c r="BF95" s="161">
        <v>451</v>
      </c>
      <c r="BG95" s="161">
        <v>429</v>
      </c>
      <c r="BH95" s="161">
        <v>1212</v>
      </c>
      <c r="BI95" s="161">
        <v>405</v>
      </c>
      <c r="BJ95" s="161">
        <v>268</v>
      </c>
      <c r="BK95" s="97"/>
      <c r="BL95" s="97"/>
      <c r="BM95" s="97"/>
      <c r="BN95" s="97"/>
    </row>
    <row r="96" spans="1:66" ht="12.75">
      <c r="A96" s="79" t="s">
        <v>369</v>
      </c>
      <c r="B96" s="79" t="s">
        <v>63</v>
      </c>
      <c r="C96" s="79" t="s">
        <v>367</v>
      </c>
      <c r="D96" s="99">
        <v>2791</v>
      </c>
      <c r="E96" s="99">
        <v>294</v>
      </c>
      <c r="F96" s="99" t="s">
        <v>177</v>
      </c>
      <c r="G96" s="99" t="s">
        <v>916</v>
      </c>
      <c r="H96" s="99" t="s">
        <v>916</v>
      </c>
      <c r="I96" s="99">
        <v>20</v>
      </c>
      <c r="J96" s="99">
        <v>147</v>
      </c>
      <c r="K96" s="99" t="s">
        <v>916</v>
      </c>
      <c r="L96" s="99">
        <v>533</v>
      </c>
      <c r="M96" s="99">
        <v>53</v>
      </c>
      <c r="N96" s="99">
        <v>34</v>
      </c>
      <c r="O96" s="99">
        <v>36</v>
      </c>
      <c r="P96" s="158">
        <v>36</v>
      </c>
      <c r="Q96" s="99" t="s">
        <v>916</v>
      </c>
      <c r="R96" s="99" t="s">
        <v>916</v>
      </c>
      <c r="S96" s="99">
        <v>9</v>
      </c>
      <c r="T96" s="99">
        <v>13</v>
      </c>
      <c r="U96" s="99" t="s">
        <v>916</v>
      </c>
      <c r="V96" s="99" t="s">
        <v>916</v>
      </c>
      <c r="W96" s="99">
        <v>8</v>
      </c>
      <c r="X96" s="99">
        <v>13</v>
      </c>
      <c r="Y96" s="99">
        <v>6</v>
      </c>
      <c r="Z96" s="99">
        <v>9</v>
      </c>
      <c r="AA96" s="99" t="s">
        <v>916</v>
      </c>
      <c r="AB96" s="99" t="s">
        <v>916</v>
      </c>
      <c r="AC96" s="99" t="s">
        <v>916</v>
      </c>
      <c r="AD96" s="98" t="s">
        <v>158</v>
      </c>
      <c r="AE96" s="100">
        <v>0.1053385883195987</v>
      </c>
      <c r="AF96" s="100">
        <v>0.33</v>
      </c>
      <c r="AG96" s="98" t="s">
        <v>916</v>
      </c>
      <c r="AH96" s="98" t="s">
        <v>916</v>
      </c>
      <c r="AI96" s="100">
        <v>0.0072</v>
      </c>
      <c r="AJ96" s="100">
        <v>0.602459</v>
      </c>
      <c r="AK96" s="100" t="s">
        <v>916</v>
      </c>
      <c r="AL96" s="100">
        <v>0.736188</v>
      </c>
      <c r="AM96" s="100">
        <v>0.309942</v>
      </c>
      <c r="AN96" s="100">
        <v>0.298246</v>
      </c>
      <c r="AO96" s="98">
        <v>1289.8602651379433</v>
      </c>
      <c r="AP96" s="157">
        <v>0.7875</v>
      </c>
      <c r="AQ96" s="100" t="s">
        <v>916</v>
      </c>
      <c r="AR96" s="100" t="s">
        <v>916</v>
      </c>
      <c r="AS96" s="98">
        <v>322.46506628448583</v>
      </c>
      <c r="AT96" s="98">
        <v>465.7828735220351</v>
      </c>
      <c r="AU96" s="98" t="s">
        <v>916</v>
      </c>
      <c r="AV96" s="98" t="s">
        <v>916</v>
      </c>
      <c r="AW96" s="98">
        <v>286.6356144750985</v>
      </c>
      <c r="AX96" s="98">
        <v>465.7828735220351</v>
      </c>
      <c r="AY96" s="98">
        <v>214.9767108563239</v>
      </c>
      <c r="AZ96" s="98">
        <v>322.46506628448583</v>
      </c>
      <c r="BA96" s="100" t="s">
        <v>916</v>
      </c>
      <c r="BB96" s="100" t="s">
        <v>916</v>
      </c>
      <c r="BC96" s="100" t="s">
        <v>916</v>
      </c>
      <c r="BD96" s="157">
        <v>0.5516</v>
      </c>
      <c r="BE96" s="157">
        <v>1.0903</v>
      </c>
      <c r="BF96" s="161">
        <v>244</v>
      </c>
      <c r="BG96" s="161" t="s">
        <v>916</v>
      </c>
      <c r="BH96" s="161">
        <v>724</v>
      </c>
      <c r="BI96" s="161">
        <v>171</v>
      </c>
      <c r="BJ96" s="161">
        <v>114</v>
      </c>
      <c r="BK96" s="97"/>
      <c r="BL96" s="97"/>
      <c r="BM96" s="97"/>
      <c r="BN96" s="97"/>
    </row>
    <row r="97" spans="1:66" ht="12.75">
      <c r="A97" s="79" t="s">
        <v>291</v>
      </c>
      <c r="B97" s="79" t="s">
        <v>102</v>
      </c>
      <c r="C97" s="79" t="s">
        <v>367</v>
      </c>
      <c r="D97" s="99">
        <v>5471</v>
      </c>
      <c r="E97" s="99">
        <v>990</v>
      </c>
      <c r="F97" s="99" t="s">
        <v>177</v>
      </c>
      <c r="G97" s="99">
        <v>23</v>
      </c>
      <c r="H97" s="99">
        <v>13</v>
      </c>
      <c r="I97" s="99">
        <v>104</v>
      </c>
      <c r="J97" s="99">
        <v>539</v>
      </c>
      <c r="K97" s="99" t="s">
        <v>916</v>
      </c>
      <c r="L97" s="99">
        <v>1030</v>
      </c>
      <c r="M97" s="99">
        <v>354</v>
      </c>
      <c r="N97" s="99">
        <v>209</v>
      </c>
      <c r="O97" s="99">
        <v>134</v>
      </c>
      <c r="P97" s="158">
        <v>134</v>
      </c>
      <c r="Q97" s="99">
        <v>18</v>
      </c>
      <c r="R97" s="99">
        <v>43</v>
      </c>
      <c r="S97" s="99">
        <v>31</v>
      </c>
      <c r="T97" s="99">
        <v>19</v>
      </c>
      <c r="U97" s="99" t="s">
        <v>916</v>
      </c>
      <c r="V97" s="99">
        <v>46</v>
      </c>
      <c r="W97" s="99">
        <v>19</v>
      </c>
      <c r="X97" s="99">
        <v>54</v>
      </c>
      <c r="Y97" s="99">
        <v>33</v>
      </c>
      <c r="Z97" s="99">
        <v>37</v>
      </c>
      <c r="AA97" s="99">
        <v>8</v>
      </c>
      <c r="AB97" s="99">
        <v>10</v>
      </c>
      <c r="AC97" s="99">
        <v>13</v>
      </c>
      <c r="AD97" s="98" t="s">
        <v>158</v>
      </c>
      <c r="AE97" s="100">
        <v>0.1809541217327728</v>
      </c>
      <c r="AF97" s="100">
        <v>0.23</v>
      </c>
      <c r="AG97" s="98">
        <v>420.39846463169437</v>
      </c>
      <c r="AH97" s="98">
        <v>237.61652348747944</v>
      </c>
      <c r="AI97" s="100">
        <v>0.019</v>
      </c>
      <c r="AJ97" s="100">
        <v>0.72349</v>
      </c>
      <c r="AK97" s="100" t="s">
        <v>916</v>
      </c>
      <c r="AL97" s="100">
        <v>0.762963</v>
      </c>
      <c r="AM97" s="100">
        <v>0.562798</v>
      </c>
      <c r="AN97" s="100">
        <v>0.527778</v>
      </c>
      <c r="AO97" s="98">
        <v>2449.27801133248</v>
      </c>
      <c r="AP97" s="157">
        <v>1.1573</v>
      </c>
      <c r="AQ97" s="100">
        <v>0.13432835820895522</v>
      </c>
      <c r="AR97" s="100">
        <v>0.4186046511627907</v>
      </c>
      <c r="AS97" s="98">
        <v>566.6240175470664</v>
      </c>
      <c r="AT97" s="98">
        <v>347.2856881740084</v>
      </c>
      <c r="AU97" s="98" t="s">
        <v>916</v>
      </c>
      <c r="AV97" s="98">
        <v>840.7969292633887</v>
      </c>
      <c r="AW97" s="98">
        <v>347.2856881740084</v>
      </c>
      <c r="AX97" s="98">
        <v>987.0224821787607</v>
      </c>
      <c r="AY97" s="98">
        <v>603.1804057759093</v>
      </c>
      <c r="AZ97" s="98">
        <v>676.2931822335953</v>
      </c>
      <c r="BA97" s="100">
        <v>0.25806451612903225</v>
      </c>
      <c r="BB97" s="100">
        <v>0.3225806451612903</v>
      </c>
      <c r="BC97" s="100">
        <v>0.41935483870967744</v>
      </c>
      <c r="BD97" s="157">
        <v>0.9697</v>
      </c>
      <c r="BE97" s="157">
        <v>1.3707</v>
      </c>
      <c r="BF97" s="161">
        <v>745</v>
      </c>
      <c r="BG97" s="161" t="s">
        <v>916</v>
      </c>
      <c r="BH97" s="161">
        <v>1350</v>
      </c>
      <c r="BI97" s="161">
        <v>629</v>
      </c>
      <c r="BJ97" s="161">
        <v>396</v>
      </c>
      <c r="BK97" s="97"/>
      <c r="BL97" s="97"/>
      <c r="BM97" s="97"/>
      <c r="BN97" s="97"/>
    </row>
    <row r="98" spans="1:66" ht="12.75">
      <c r="A98" s="79" t="s">
        <v>922</v>
      </c>
      <c r="B98" s="79" t="s">
        <v>503</v>
      </c>
      <c r="C98" s="79" t="s">
        <v>367</v>
      </c>
      <c r="D98" s="99">
        <v>2804</v>
      </c>
      <c r="E98" s="99">
        <v>120</v>
      </c>
      <c r="F98" s="99" t="s">
        <v>177</v>
      </c>
      <c r="G98" s="99" t="s">
        <v>916</v>
      </c>
      <c r="H98" s="99" t="s">
        <v>916</v>
      </c>
      <c r="I98" s="99">
        <v>11</v>
      </c>
      <c r="J98" s="99">
        <v>32</v>
      </c>
      <c r="K98" s="99">
        <v>13</v>
      </c>
      <c r="L98" s="99">
        <v>408</v>
      </c>
      <c r="M98" s="99">
        <v>10</v>
      </c>
      <c r="N98" s="99">
        <v>8</v>
      </c>
      <c r="O98" s="99">
        <v>18</v>
      </c>
      <c r="P98" s="158">
        <v>18</v>
      </c>
      <c r="Q98" s="99" t="s">
        <v>916</v>
      </c>
      <c r="R98" s="99" t="s">
        <v>916</v>
      </c>
      <c r="S98" s="99">
        <v>10</v>
      </c>
      <c r="T98" s="99" t="s">
        <v>916</v>
      </c>
      <c r="U98" s="99" t="s">
        <v>916</v>
      </c>
      <c r="V98" s="99" t="s">
        <v>916</v>
      </c>
      <c r="W98" s="99" t="s">
        <v>916</v>
      </c>
      <c r="X98" s="99">
        <v>6</v>
      </c>
      <c r="Y98" s="99">
        <v>6</v>
      </c>
      <c r="Z98" s="99">
        <v>10</v>
      </c>
      <c r="AA98" s="99" t="s">
        <v>916</v>
      </c>
      <c r="AB98" s="99" t="s">
        <v>916</v>
      </c>
      <c r="AC98" s="99" t="s">
        <v>916</v>
      </c>
      <c r="AD98" s="98" t="s">
        <v>158</v>
      </c>
      <c r="AE98" s="100">
        <v>0.042796005706134094</v>
      </c>
      <c r="AF98" s="100">
        <v>0.37</v>
      </c>
      <c r="AG98" s="98" t="s">
        <v>916</v>
      </c>
      <c r="AH98" s="98" t="s">
        <v>916</v>
      </c>
      <c r="AI98" s="100">
        <v>0.0039000000000000003</v>
      </c>
      <c r="AJ98" s="100">
        <v>0.390244</v>
      </c>
      <c r="AK98" s="100">
        <v>0.541667</v>
      </c>
      <c r="AL98" s="100">
        <v>0.544</v>
      </c>
      <c r="AM98" s="100">
        <v>0.204082</v>
      </c>
      <c r="AN98" s="100">
        <v>0.266667</v>
      </c>
      <c r="AO98" s="98">
        <v>641.9400855920114</v>
      </c>
      <c r="AP98" s="157">
        <v>0.5832999999999999</v>
      </c>
      <c r="AQ98" s="100" t="s">
        <v>916</v>
      </c>
      <c r="AR98" s="100" t="s">
        <v>916</v>
      </c>
      <c r="AS98" s="98">
        <v>356.6333808844508</v>
      </c>
      <c r="AT98" s="98" t="s">
        <v>916</v>
      </c>
      <c r="AU98" s="98" t="s">
        <v>916</v>
      </c>
      <c r="AV98" s="98" t="s">
        <v>916</v>
      </c>
      <c r="AW98" s="98" t="s">
        <v>916</v>
      </c>
      <c r="AX98" s="98">
        <v>213.98002853067047</v>
      </c>
      <c r="AY98" s="98">
        <v>213.98002853067047</v>
      </c>
      <c r="AZ98" s="98">
        <v>356.6333808844508</v>
      </c>
      <c r="BA98" s="100" t="s">
        <v>916</v>
      </c>
      <c r="BB98" s="100" t="s">
        <v>916</v>
      </c>
      <c r="BC98" s="100" t="s">
        <v>916</v>
      </c>
      <c r="BD98" s="157">
        <v>0.3457</v>
      </c>
      <c r="BE98" s="157">
        <v>0.9218999999999999</v>
      </c>
      <c r="BF98" s="161">
        <v>82</v>
      </c>
      <c r="BG98" s="161">
        <v>24</v>
      </c>
      <c r="BH98" s="161">
        <v>750</v>
      </c>
      <c r="BI98" s="161">
        <v>49</v>
      </c>
      <c r="BJ98" s="161">
        <v>30</v>
      </c>
      <c r="BK98" s="97"/>
      <c r="BL98" s="97"/>
      <c r="BM98" s="97"/>
      <c r="BN98" s="97"/>
    </row>
    <row r="99" spans="1:66" ht="12.75">
      <c r="A99" s="79" t="s">
        <v>272</v>
      </c>
      <c r="B99" s="79" t="s">
        <v>79</v>
      </c>
      <c r="C99" s="79" t="s">
        <v>367</v>
      </c>
      <c r="D99" s="99">
        <v>1650</v>
      </c>
      <c r="E99" s="99">
        <v>186</v>
      </c>
      <c r="F99" s="99" t="s">
        <v>177</v>
      </c>
      <c r="G99" s="99">
        <v>11</v>
      </c>
      <c r="H99" s="99" t="s">
        <v>916</v>
      </c>
      <c r="I99" s="99">
        <v>21</v>
      </c>
      <c r="J99" s="99">
        <v>84</v>
      </c>
      <c r="K99" s="99" t="s">
        <v>916</v>
      </c>
      <c r="L99" s="99">
        <v>253</v>
      </c>
      <c r="M99" s="99">
        <v>42</v>
      </c>
      <c r="N99" s="99">
        <v>22</v>
      </c>
      <c r="O99" s="99">
        <v>10</v>
      </c>
      <c r="P99" s="158">
        <v>10</v>
      </c>
      <c r="Q99" s="99" t="s">
        <v>916</v>
      </c>
      <c r="R99" s="99" t="s">
        <v>916</v>
      </c>
      <c r="S99" s="99" t="s">
        <v>916</v>
      </c>
      <c r="T99" s="99" t="s">
        <v>916</v>
      </c>
      <c r="U99" s="99" t="s">
        <v>916</v>
      </c>
      <c r="V99" s="99" t="s">
        <v>916</v>
      </c>
      <c r="W99" s="99" t="s">
        <v>916</v>
      </c>
      <c r="X99" s="99" t="s">
        <v>916</v>
      </c>
      <c r="Y99" s="99">
        <v>8</v>
      </c>
      <c r="Z99" s="99">
        <v>10</v>
      </c>
      <c r="AA99" s="99" t="s">
        <v>916</v>
      </c>
      <c r="AB99" s="99" t="s">
        <v>916</v>
      </c>
      <c r="AC99" s="99" t="s">
        <v>916</v>
      </c>
      <c r="AD99" s="98" t="s">
        <v>158</v>
      </c>
      <c r="AE99" s="100">
        <v>0.11272727272727273</v>
      </c>
      <c r="AF99" s="100">
        <v>0.32</v>
      </c>
      <c r="AG99" s="98">
        <v>666.6666666666666</v>
      </c>
      <c r="AH99" s="98" t="s">
        <v>916</v>
      </c>
      <c r="AI99" s="100">
        <v>0.0127</v>
      </c>
      <c r="AJ99" s="100">
        <v>0.613139</v>
      </c>
      <c r="AK99" s="100" t="s">
        <v>916</v>
      </c>
      <c r="AL99" s="100">
        <v>0.681941</v>
      </c>
      <c r="AM99" s="100">
        <v>0.4</v>
      </c>
      <c r="AN99" s="100">
        <v>0.385965</v>
      </c>
      <c r="AO99" s="98">
        <v>606.060606060606</v>
      </c>
      <c r="AP99" s="157">
        <v>0.3771</v>
      </c>
      <c r="AQ99" s="100" t="s">
        <v>916</v>
      </c>
      <c r="AR99" s="100" t="s">
        <v>916</v>
      </c>
      <c r="AS99" s="98" t="s">
        <v>916</v>
      </c>
      <c r="AT99" s="98" t="s">
        <v>916</v>
      </c>
      <c r="AU99" s="98" t="s">
        <v>916</v>
      </c>
      <c r="AV99" s="98" t="s">
        <v>916</v>
      </c>
      <c r="AW99" s="98" t="s">
        <v>916</v>
      </c>
      <c r="AX99" s="98" t="s">
        <v>916</v>
      </c>
      <c r="AY99" s="98">
        <v>484.8484848484849</v>
      </c>
      <c r="AZ99" s="98">
        <v>606.060606060606</v>
      </c>
      <c r="BA99" s="100" t="s">
        <v>916</v>
      </c>
      <c r="BB99" s="100" t="s">
        <v>916</v>
      </c>
      <c r="BC99" s="100" t="s">
        <v>916</v>
      </c>
      <c r="BD99" s="157">
        <v>0.1808</v>
      </c>
      <c r="BE99" s="157">
        <v>0.6934999999999999</v>
      </c>
      <c r="BF99" s="161">
        <v>137</v>
      </c>
      <c r="BG99" s="161" t="s">
        <v>916</v>
      </c>
      <c r="BH99" s="161">
        <v>371</v>
      </c>
      <c r="BI99" s="161">
        <v>105</v>
      </c>
      <c r="BJ99" s="161">
        <v>57</v>
      </c>
      <c r="BK99" s="97"/>
      <c r="BL99" s="97"/>
      <c r="BM99" s="97"/>
      <c r="BN99" s="97"/>
    </row>
    <row r="100" spans="1:66" ht="12.75">
      <c r="A100" s="79" t="s">
        <v>275</v>
      </c>
      <c r="B100" s="79" t="s">
        <v>83</v>
      </c>
      <c r="C100" s="79" t="s">
        <v>367</v>
      </c>
      <c r="D100" s="99">
        <v>1701</v>
      </c>
      <c r="E100" s="99">
        <v>140</v>
      </c>
      <c r="F100" s="99" t="s">
        <v>177</v>
      </c>
      <c r="G100" s="99" t="s">
        <v>916</v>
      </c>
      <c r="H100" s="99" t="s">
        <v>916</v>
      </c>
      <c r="I100" s="99">
        <v>16</v>
      </c>
      <c r="J100" s="99">
        <v>92</v>
      </c>
      <c r="K100" s="99" t="s">
        <v>916</v>
      </c>
      <c r="L100" s="99">
        <v>310</v>
      </c>
      <c r="M100" s="99">
        <v>44</v>
      </c>
      <c r="N100" s="99">
        <v>29</v>
      </c>
      <c r="O100" s="99">
        <v>16</v>
      </c>
      <c r="P100" s="158">
        <v>16</v>
      </c>
      <c r="Q100" s="99" t="s">
        <v>916</v>
      </c>
      <c r="R100" s="99">
        <v>6</v>
      </c>
      <c r="S100" s="99" t="s">
        <v>916</v>
      </c>
      <c r="T100" s="99" t="s">
        <v>916</v>
      </c>
      <c r="U100" s="99" t="s">
        <v>916</v>
      </c>
      <c r="V100" s="99" t="s">
        <v>916</v>
      </c>
      <c r="W100" s="99" t="s">
        <v>916</v>
      </c>
      <c r="X100" s="99">
        <v>12</v>
      </c>
      <c r="Y100" s="99">
        <v>6</v>
      </c>
      <c r="Z100" s="99" t="s">
        <v>916</v>
      </c>
      <c r="AA100" s="99" t="s">
        <v>916</v>
      </c>
      <c r="AB100" s="99" t="s">
        <v>916</v>
      </c>
      <c r="AC100" s="99" t="s">
        <v>916</v>
      </c>
      <c r="AD100" s="98" t="s">
        <v>158</v>
      </c>
      <c r="AE100" s="100">
        <v>0.0823045267489712</v>
      </c>
      <c r="AF100" s="100">
        <v>0.38</v>
      </c>
      <c r="AG100" s="98" t="s">
        <v>916</v>
      </c>
      <c r="AH100" s="98" t="s">
        <v>916</v>
      </c>
      <c r="AI100" s="100">
        <v>0.009399999999999999</v>
      </c>
      <c r="AJ100" s="100">
        <v>0.571429</v>
      </c>
      <c r="AK100" s="100" t="s">
        <v>916</v>
      </c>
      <c r="AL100" s="100">
        <v>0.702948</v>
      </c>
      <c r="AM100" s="100">
        <v>0.389381</v>
      </c>
      <c r="AN100" s="100">
        <v>0.402778</v>
      </c>
      <c r="AO100" s="98">
        <v>940.6231628453851</v>
      </c>
      <c r="AP100" s="157">
        <v>0.6302</v>
      </c>
      <c r="AQ100" s="100" t="s">
        <v>916</v>
      </c>
      <c r="AR100" s="100" t="s">
        <v>916</v>
      </c>
      <c r="AS100" s="98" t="s">
        <v>916</v>
      </c>
      <c r="AT100" s="98" t="s">
        <v>916</v>
      </c>
      <c r="AU100" s="98" t="s">
        <v>916</v>
      </c>
      <c r="AV100" s="98" t="s">
        <v>916</v>
      </c>
      <c r="AW100" s="98" t="s">
        <v>916</v>
      </c>
      <c r="AX100" s="98">
        <v>705.4673721340388</v>
      </c>
      <c r="AY100" s="98">
        <v>352.7336860670194</v>
      </c>
      <c r="AZ100" s="98" t="s">
        <v>916</v>
      </c>
      <c r="BA100" s="100" t="s">
        <v>916</v>
      </c>
      <c r="BB100" s="100" t="s">
        <v>916</v>
      </c>
      <c r="BC100" s="100" t="s">
        <v>916</v>
      </c>
      <c r="BD100" s="157">
        <v>0.3602</v>
      </c>
      <c r="BE100" s="157">
        <v>1.0234</v>
      </c>
      <c r="BF100" s="161">
        <v>161</v>
      </c>
      <c r="BG100" s="161" t="s">
        <v>916</v>
      </c>
      <c r="BH100" s="161">
        <v>441</v>
      </c>
      <c r="BI100" s="161">
        <v>113</v>
      </c>
      <c r="BJ100" s="161">
        <v>72</v>
      </c>
      <c r="BK100" s="97"/>
      <c r="BL100" s="97"/>
      <c r="BM100" s="97"/>
      <c r="BN100" s="97"/>
    </row>
    <row r="101" spans="1:66" ht="12.75">
      <c r="A101" s="79" t="s">
        <v>286</v>
      </c>
      <c r="B101" s="79" t="s">
        <v>97</v>
      </c>
      <c r="C101" s="79" t="s">
        <v>367</v>
      </c>
      <c r="D101" s="99">
        <v>9875</v>
      </c>
      <c r="E101" s="99">
        <v>1597</v>
      </c>
      <c r="F101" s="99" t="s">
        <v>177</v>
      </c>
      <c r="G101" s="99">
        <v>50</v>
      </c>
      <c r="H101" s="99">
        <v>27</v>
      </c>
      <c r="I101" s="99">
        <v>146</v>
      </c>
      <c r="J101" s="99">
        <v>663</v>
      </c>
      <c r="K101" s="99">
        <v>13</v>
      </c>
      <c r="L101" s="99">
        <v>1492</v>
      </c>
      <c r="M101" s="99">
        <v>433</v>
      </c>
      <c r="N101" s="99">
        <v>247</v>
      </c>
      <c r="O101" s="99">
        <v>155</v>
      </c>
      <c r="P101" s="158">
        <v>155</v>
      </c>
      <c r="Q101" s="99">
        <v>22</v>
      </c>
      <c r="R101" s="99">
        <v>40</v>
      </c>
      <c r="S101" s="99">
        <v>64</v>
      </c>
      <c r="T101" s="99">
        <v>17</v>
      </c>
      <c r="U101" s="99" t="s">
        <v>916</v>
      </c>
      <c r="V101" s="99">
        <v>16</v>
      </c>
      <c r="W101" s="99">
        <v>22</v>
      </c>
      <c r="X101" s="99">
        <v>36</v>
      </c>
      <c r="Y101" s="99">
        <v>46</v>
      </c>
      <c r="Z101" s="99">
        <v>86</v>
      </c>
      <c r="AA101" s="99">
        <v>9</v>
      </c>
      <c r="AB101" s="99">
        <v>22</v>
      </c>
      <c r="AC101" s="99">
        <v>9</v>
      </c>
      <c r="AD101" s="98" t="s">
        <v>158</v>
      </c>
      <c r="AE101" s="100">
        <v>0.16172151898734177</v>
      </c>
      <c r="AF101" s="100">
        <v>0.27</v>
      </c>
      <c r="AG101" s="98">
        <v>506.32911392405066</v>
      </c>
      <c r="AH101" s="98">
        <v>273.4177215189873</v>
      </c>
      <c r="AI101" s="100">
        <v>0.0148</v>
      </c>
      <c r="AJ101" s="100">
        <v>0.629032</v>
      </c>
      <c r="AK101" s="100">
        <v>0.565217</v>
      </c>
      <c r="AL101" s="100">
        <v>0.626364</v>
      </c>
      <c r="AM101" s="100">
        <v>0.472192</v>
      </c>
      <c r="AN101" s="100">
        <v>0.426598</v>
      </c>
      <c r="AO101" s="98">
        <v>1569.620253164557</v>
      </c>
      <c r="AP101" s="157">
        <v>0.8206</v>
      </c>
      <c r="AQ101" s="100">
        <v>0.14193548387096774</v>
      </c>
      <c r="AR101" s="100">
        <v>0.55</v>
      </c>
      <c r="AS101" s="98">
        <v>648.1012658227849</v>
      </c>
      <c r="AT101" s="98">
        <v>172.15189873417722</v>
      </c>
      <c r="AU101" s="98" t="s">
        <v>916</v>
      </c>
      <c r="AV101" s="98">
        <v>162.0253164556962</v>
      </c>
      <c r="AW101" s="98">
        <v>222.78481012658227</v>
      </c>
      <c r="AX101" s="98">
        <v>364.55696202531647</v>
      </c>
      <c r="AY101" s="98">
        <v>465.82278481012656</v>
      </c>
      <c r="AZ101" s="98">
        <v>870.8860759493671</v>
      </c>
      <c r="BA101" s="100">
        <v>0.225</v>
      </c>
      <c r="BB101" s="100">
        <v>0.55</v>
      </c>
      <c r="BC101" s="100">
        <v>0.225</v>
      </c>
      <c r="BD101" s="157">
        <v>0.6965</v>
      </c>
      <c r="BE101" s="157">
        <v>0.9604</v>
      </c>
      <c r="BF101" s="161">
        <v>1054</v>
      </c>
      <c r="BG101" s="161">
        <v>23</v>
      </c>
      <c r="BH101" s="161">
        <v>2382</v>
      </c>
      <c r="BI101" s="161">
        <v>917</v>
      </c>
      <c r="BJ101" s="161">
        <v>579</v>
      </c>
      <c r="BK101" s="97"/>
      <c r="BL101" s="97"/>
      <c r="BM101" s="97"/>
      <c r="BN101" s="97"/>
    </row>
    <row r="102" spans="1:66" ht="12.75">
      <c r="A102" s="79" t="s">
        <v>324</v>
      </c>
      <c r="B102" s="79" t="s">
        <v>149</v>
      </c>
      <c r="C102" s="79" t="s">
        <v>367</v>
      </c>
      <c r="D102" s="99">
        <v>3498</v>
      </c>
      <c r="E102" s="99">
        <v>431</v>
      </c>
      <c r="F102" s="99" t="s">
        <v>177</v>
      </c>
      <c r="G102" s="99">
        <v>11</v>
      </c>
      <c r="H102" s="99">
        <v>8</v>
      </c>
      <c r="I102" s="99">
        <v>28</v>
      </c>
      <c r="J102" s="99">
        <v>235</v>
      </c>
      <c r="K102" s="99">
        <v>210</v>
      </c>
      <c r="L102" s="99">
        <v>575</v>
      </c>
      <c r="M102" s="99">
        <v>114</v>
      </c>
      <c r="N102" s="99">
        <v>65</v>
      </c>
      <c r="O102" s="99">
        <v>45</v>
      </c>
      <c r="P102" s="158">
        <v>45</v>
      </c>
      <c r="Q102" s="99">
        <v>7</v>
      </c>
      <c r="R102" s="99">
        <v>17</v>
      </c>
      <c r="S102" s="99">
        <v>14</v>
      </c>
      <c r="T102" s="99" t="s">
        <v>916</v>
      </c>
      <c r="U102" s="99" t="s">
        <v>916</v>
      </c>
      <c r="V102" s="99">
        <v>8</v>
      </c>
      <c r="W102" s="99">
        <v>9</v>
      </c>
      <c r="X102" s="99">
        <v>15</v>
      </c>
      <c r="Y102" s="99">
        <v>31</v>
      </c>
      <c r="Z102" s="99">
        <v>21</v>
      </c>
      <c r="AA102" s="99" t="s">
        <v>916</v>
      </c>
      <c r="AB102" s="99" t="s">
        <v>916</v>
      </c>
      <c r="AC102" s="99" t="s">
        <v>916</v>
      </c>
      <c r="AD102" s="98" t="s">
        <v>158</v>
      </c>
      <c r="AE102" s="100">
        <v>0.12321326472269868</v>
      </c>
      <c r="AF102" s="100">
        <v>0.27</v>
      </c>
      <c r="AG102" s="98">
        <v>314.4654088050315</v>
      </c>
      <c r="AH102" s="98">
        <v>228.70211549456832</v>
      </c>
      <c r="AI102" s="100">
        <v>0.008</v>
      </c>
      <c r="AJ102" s="100">
        <v>0.712121</v>
      </c>
      <c r="AK102" s="100">
        <v>0.677419</v>
      </c>
      <c r="AL102" s="100">
        <v>0.673302</v>
      </c>
      <c r="AM102" s="100">
        <v>0.438462</v>
      </c>
      <c r="AN102" s="100">
        <v>0.427632</v>
      </c>
      <c r="AO102" s="98">
        <v>1286.4493996569468</v>
      </c>
      <c r="AP102" s="157">
        <v>0.7641</v>
      </c>
      <c r="AQ102" s="100">
        <v>0.15555555555555556</v>
      </c>
      <c r="AR102" s="100">
        <v>0.4117647058823529</v>
      </c>
      <c r="AS102" s="98">
        <v>400.22870211549457</v>
      </c>
      <c r="AT102" s="98" t="s">
        <v>916</v>
      </c>
      <c r="AU102" s="98" t="s">
        <v>916</v>
      </c>
      <c r="AV102" s="98">
        <v>228.70211549456832</v>
      </c>
      <c r="AW102" s="98">
        <v>257.28987993138935</v>
      </c>
      <c r="AX102" s="98">
        <v>428.8164665523156</v>
      </c>
      <c r="AY102" s="98">
        <v>886.2206975414523</v>
      </c>
      <c r="AZ102" s="98">
        <v>600.3430531732419</v>
      </c>
      <c r="BA102" s="100" t="s">
        <v>916</v>
      </c>
      <c r="BB102" s="100" t="s">
        <v>916</v>
      </c>
      <c r="BC102" s="100" t="s">
        <v>916</v>
      </c>
      <c r="BD102" s="157">
        <v>0.5574</v>
      </c>
      <c r="BE102" s="157">
        <v>1.0225</v>
      </c>
      <c r="BF102" s="161">
        <v>330</v>
      </c>
      <c r="BG102" s="161">
        <v>310</v>
      </c>
      <c r="BH102" s="161">
        <v>854</v>
      </c>
      <c r="BI102" s="161">
        <v>260</v>
      </c>
      <c r="BJ102" s="161">
        <v>152</v>
      </c>
      <c r="BK102" s="97"/>
      <c r="BL102" s="97"/>
      <c r="BM102" s="97"/>
      <c r="BN102" s="97"/>
    </row>
    <row r="103" spans="1:66" ht="12.75">
      <c r="A103" s="79" t="s">
        <v>310</v>
      </c>
      <c r="B103" s="79" t="s">
        <v>129</v>
      </c>
      <c r="C103" s="79" t="s">
        <v>367</v>
      </c>
      <c r="D103" s="99">
        <v>2676</v>
      </c>
      <c r="E103" s="99">
        <v>433</v>
      </c>
      <c r="F103" s="99" t="s">
        <v>177</v>
      </c>
      <c r="G103" s="99">
        <v>16</v>
      </c>
      <c r="H103" s="99" t="s">
        <v>916</v>
      </c>
      <c r="I103" s="99">
        <v>37</v>
      </c>
      <c r="J103" s="99">
        <v>178</v>
      </c>
      <c r="K103" s="99">
        <v>170</v>
      </c>
      <c r="L103" s="99">
        <v>463</v>
      </c>
      <c r="M103" s="99">
        <v>107</v>
      </c>
      <c r="N103" s="99">
        <v>62</v>
      </c>
      <c r="O103" s="99">
        <v>46</v>
      </c>
      <c r="P103" s="158">
        <v>46</v>
      </c>
      <c r="Q103" s="99">
        <v>8</v>
      </c>
      <c r="R103" s="99">
        <v>16</v>
      </c>
      <c r="S103" s="99">
        <v>9</v>
      </c>
      <c r="T103" s="99">
        <v>9</v>
      </c>
      <c r="U103" s="99" t="s">
        <v>916</v>
      </c>
      <c r="V103" s="99">
        <v>8</v>
      </c>
      <c r="W103" s="99">
        <v>11</v>
      </c>
      <c r="X103" s="99">
        <v>21</v>
      </c>
      <c r="Y103" s="99">
        <v>24</v>
      </c>
      <c r="Z103" s="99">
        <v>16</v>
      </c>
      <c r="AA103" s="99" t="s">
        <v>916</v>
      </c>
      <c r="AB103" s="99" t="s">
        <v>916</v>
      </c>
      <c r="AC103" s="99" t="s">
        <v>916</v>
      </c>
      <c r="AD103" s="98" t="s">
        <v>158</v>
      </c>
      <c r="AE103" s="100">
        <v>0.1618086696562033</v>
      </c>
      <c r="AF103" s="100">
        <v>0.26</v>
      </c>
      <c r="AG103" s="98">
        <v>597.9073243647234</v>
      </c>
      <c r="AH103" s="98" t="s">
        <v>916</v>
      </c>
      <c r="AI103" s="100">
        <v>0.0138</v>
      </c>
      <c r="AJ103" s="100">
        <v>0.664179</v>
      </c>
      <c r="AK103" s="100">
        <v>0.682731</v>
      </c>
      <c r="AL103" s="100">
        <v>0.776846</v>
      </c>
      <c r="AM103" s="100">
        <v>0.416342</v>
      </c>
      <c r="AN103" s="100">
        <v>0.405229</v>
      </c>
      <c r="AO103" s="98">
        <v>1718.98355754858</v>
      </c>
      <c r="AP103" s="157">
        <v>0.9326000000000001</v>
      </c>
      <c r="AQ103" s="100">
        <v>0.17391304347826086</v>
      </c>
      <c r="AR103" s="100">
        <v>0.5</v>
      </c>
      <c r="AS103" s="98">
        <v>336.32286995515693</v>
      </c>
      <c r="AT103" s="98">
        <v>336.32286995515693</v>
      </c>
      <c r="AU103" s="98" t="s">
        <v>916</v>
      </c>
      <c r="AV103" s="98">
        <v>298.9536621823617</v>
      </c>
      <c r="AW103" s="98">
        <v>411.0612855007474</v>
      </c>
      <c r="AX103" s="98">
        <v>784.7533632286995</v>
      </c>
      <c r="AY103" s="98">
        <v>896.8609865470852</v>
      </c>
      <c r="AZ103" s="98">
        <v>597.9073243647234</v>
      </c>
      <c r="BA103" s="100" t="s">
        <v>916</v>
      </c>
      <c r="BB103" s="100" t="s">
        <v>916</v>
      </c>
      <c r="BC103" s="100" t="s">
        <v>916</v>
      </c>
      <c r="BD103" s="157">
        <v>0.6828</v>
      </c>
      <c r="BE103" s="157">
        <v>1.244</v>
      </c>
      <c r="BF103" s="161">
        <v>268</v>
      </c>
      <c r="BG103" s="161">
        <v>249</v>
      </c>
      <c r="BH103" s="161">
        <v>596</v>
      </c>
      <c r="BI103" s="161">
        <v>257</v>
      </c>
      <c r="BJ103" s="161">
        <v>153</v>
      </c>
      <c r="BK103" s="97"/>
      <c r="BL103" s="97"/>
      <c r="BM103" s="97"/>
      <c r="BN103" s="97"/>
    </row>
    <row r="104" spans="1:66" ht="12.75">
      <c r="A104" s="79" t="s">
        <v>301</v>
      </c>
      <c r="B104" s="79" t="s">
        <v>117</v>
      </c>
      <c r="C104" s="79" t="s">
        <v>367</v>
      </c>
      <c r="D104" s="99">
        <v>3021</v>
      </c>
      <c r="E104" s="99">
        <v>471</v>
      </c>
      <c r="F104" s="99" t="s">
        <v>177</v>
      </c>
      <c r="G104" s="99">
        <v>10</v>
      </c>
      <c r="H104" s="99" t="s">
        <v>916</v>
      </c>
      <c r="I104" s="99">
        <v>52</v>
      </c>
      <c r="J104" s="99">
        <v>207</v>
      </c>
      <c r="K104" s="99" t="s">
        <v>916</v>
      </c>
      <c r="L104" s="99">
        <v>536</v>
      </c>
      <c r="M104" s="99">
        <v>166</v>
      </c>
      <c r="N104" s="99">
        <v>102</v>
      </c>
      <c r="O104" s="99">
        <v>47</v>
      </c>
      <c r="P104" s="158">
        <v>47</v>
      </c>
      <c r="Q104" s="99">
        <v>6</v>
      </c>
      <c r="R104" s="99">
        <v>9</v>
      </c>
      <c r="S104" s="99">
        <v>18</v>
      </c>
      <c r="T104" s="99" t="s">
        <v>916</v>
      </c>
      <c r="U104" s="99" t="s">
        <v>916</v>
      </c>
      <c r="V104" s="99" t="s">
        <v>916</v>
      </c>
      <c r="W104" s="99">
        <v>11</v>
      </c>
      <c r="X104" s="99">
        <v>7</v>
      </c>
      <c r="Y104" s="99">
        <v>31</v>
      </c>
      <c r="Z104" s="99">
        <v>15</v>
      </c>
      <c r="AA104" s="99" t="s">
        <v>916</v>
      </c>
      <c r="AB104" s="99" t="s">
        <v>916</v>
      </c>
      <c r="AC104" s="99" t="s">
        <v>916</v>
      </c>
      <c r="AD104" s="98" t="s">
        <v>158</v>
      </c>
      <c r="AE104" s="100">
        <v>0.15590863952333664</v>
      </c>
      <c r="AF104" s="100">
        <v>0.26</v>
      </c>
      <c r="AG104" s="98">
        <v>331.01621979476994</v>
      </c>
      <c r="AH104" s="98" t="s">
        <v>916</v>
      </c>
      <c r="AI104" s="100">
        <v>0.0172</v>
      </c>
      <c r="AJ104" s="100">
        <v>0.629179</v>
      </c>
      <c r="AK104" s="100" t="s">
        <v>916</v>
      </c>
      <c r="AL104" s="100">
        <v>0.765714</v>
      </c>
      <c r="AM104" s="100">
        <v>0.510769</v>
      </c>
      <c r="AN104" s="100">
        <v>0.536842</v>
      </c>
      <c r="AO104" s="98">
        <v>1555.7762330354187</v>
      </c>
      <c r="AP104" s="157">
        <v>0.8145</v>
      </c>
      <c r="AQ104" s="100">
        <v>0.1276595744680851</v>
      </c>
      <c r="AR104" s="100">
        <v>0.6666666666666666</v>
      </c>
      <c r="AS104" s="98">
        <v>595.8291956305859</v>
      </c>
      <c r="AT104" s="98" t="s">
        <v>916</v>
      </c>
      <c r="AU104" s="98" t="s">
        <v>916</v>
      </c>
      <c r="AV104" s="98" t="s">
        <v>916</v>
      </c>
      <c r="AW104" s="98">
        <v>364.1178417742469</v>
      </c>
      <c r="AX104" s="98">
        <v>231.71135385633897</v>
      </c>
      <c r="AY104" s="98">
        <v>1026.150281363787</v>
      </c>
      <c r="AZ104" s="98">
        <v>496.52432969215494</v>
      </c>
      <c r="BA104" s="100" t="s">
        <v>916</v>
      </c>
      <c r="BB104" s="100" t="s">
        <v>916</v>
      </c>
      <c r="BC104" s="100" t="s">
        <v>916</v>
      </c>
      <c r="BD104" s="157">
        <v>0.5985</v>
      </c>
      <c r="BE104" s="157">
        <v>1.0832</v>
      </c>
      <c r="BF104" s="161">
        <v>329</v>
      </c>
      <c r="BG104" s="161" t="s">
        <v>916</v>
      </c>
      <c r="BH104" s="161">
        <v>700</v>
      </c>
      <c r="BI104" s="161">
        <v>325</v>
      </c>
      <c r="BJ104" s="161">
        <v>190</v>
      </c>
      <c r="BK104" s="97"/>
      <c r="BL104" s="97"/>
      <c r="BM104" s="97"/>
      <c r="BN104" s="97"/>
    </row>
    <row r="105" spans="1:66" ht="12.75">
      <c r="A105" s="79" t="s">
        <v>381</v>
      </c>
      <c r="B105" s="79" t="s">
        <v>132</v>
      </c>
      <c r="C105" s="79" t="s">
        <v>367</v>
      </c>
      <c r="D105" s="99">
        <v>2187</v>
      </c>
      <c r="E105" s="99">
        <v>253</v>
      </c>
      <c r="F105" s="99" t="s">
        <v>177</v>
      </c>
      <c r="G105" s="99">
        <v>16</v>
      </c>
      <c r="H105" s="99" t="s">
        <v>916</v>
      </c>
      <c r="I105" s="99">
        <v>25</v>
      </c>
      <c r="J105" s="99">
        <v>102</v>
      </c>
      <c r="K105" s="99" t="s">
        <v>916</v>
      </c>
      <c r="L105" s="99">
        <v>387</v>
      </c>
      <c r="M105" s="99">
        <v>69</v>
      </c>
      <c r="N105" s="99">
        <v>34</v>
      </c>
      <c r="O105" s="99">
        <v>26</v>
      </c>
      <c r="P105" s="158">
        <v>26</v>
      </c>
      <c r="Q105" s="99" t="s">
        <v>916</v>
      </c>
      <c r="R105" s="99">
        <v>7</v>
      </c>
      <c r="S105" s="99">
        <v>7</v>
      </c>
      <c r="T105" s="99" t="s">
        <v>916</v>
      </c>
      <c r="U105" s="99" t="s">
        <v>916</v>
      </c>
      <c r="V105" s="99" t="s">
        <v>916</v>
      </c>
      <c r="W105" s="99">
        <v>6</v>
      </c>
      <c r="X105" s="99">
        <v>7</v>
      </c>
      <c r="Y105" s="99">
        <v>11</v>
      </c>
      <c r="Z105" s="99">
        <v>8</v>
      </c>
      <c r="AA105" s="99" t="s">
        <v>916</v>
      </c>
      <c r="AB105" s="99" t="s">
        <v>916</v>
      </c>
      <c r="AC105" s="99" t="s">
        <v>916</v>
      </c>
      <c r="AD105" s="98" t="s">
        <v>158</v>
      </c>
      <c r="AE105" s="100">
        <v>0.11568358481938729</v>
      </c>
      <c r="AF105" s="100">
        <v>0.23</v>
      </c>
      <c r="AG105" s="98">
        <v>731.5957933241884</v>
      </c>
      <c r="AH105" s="98" t="s">
        <v>916</v>
      </c>
      <c r="AI105" s="100">
        <v>0.011399999999999999</v>
      </c>
      <c r="AJ105" s="100">
        <v>0.554348</v>
      </c>
      <c r="AK105" s="100" t="s">
        <v>916</v>
      </c>
      <c r="AL105" s="100">
        <v>0.710092</v>
      </c>
      <c r="AM105" s="100">
        <v>0.442308</v>
      </c>
      <c r="AN105" s="100">
        <v>0.382022</v>
      </c>
      <c r="AO105" s="98">
        <v>1188.8431641518061</v>
      </c>
      <c r="AP105" s="157">
        <v>0.7145999999999999</v>
      </c>
      <c r="AQ105" s="100" t="s">
        <v>916</v>
      </c>
      <c r="AR105" s="100" t="s">
        <v>916</v>
      </c>
      <c r="AS105" s="98">
        <v>320.0731595793324</v>
      </c>
      <c r="AT105" s="98" t="s">
        <v>916</v>
      </c>
      <c r="AU105" s="98" t="s">
        <v>916</v>
      </c>
      <c r="AV105" s="98" t="s">
        <v>916</v>
      </c>
      <c r="AW105" s="98">
        <v>274.34842249657066</v>
      </c>
      <c r="AX105" s="98">
        <v>320.0731595793324</v>
      </c>
      <c r="AY105" s="98">
        <v>502.9721079103795</v>
      </c>
      <c r="AZ105" s="98">
        <v>365.7978966620942</v>
      </c>
      <c r="BA105" s="100" t="s">
        <v>916</v>
      </c>
      <c r="BB105" s="100" t="s">
        <v>916</v>
      </c>
      <c r="BC105" s="100" t="s">
        <v>916</v>
      </c>
      <c r="BD105" s="157">
        <v>0.4668</v>
      </c>
      <c r="BE105" s="157">
        <v>1.047</v>
      </c>
      <c r="BF105" s="161">
        <v>184</v>
      </c>
      <c r="BG105" s="161" t="s">
        <v>916</v>
      </c>
      <c r="BH105" s="161">
        <v>545</v>
      </c>
      <c r="BI105" s="161">
        <v>156</v>
      </c>
      <c r="BJ105" s="161">
        <v>89</v>
      </c>
      <c r="BK105" s="97"/>
      <c r="BL105" s="97"/>
      <c r="BM105" s="97"/>
      <c r="BN105" s="97"/>
    </row>
    <row r="106" spans="1:66" ht="12.75">
      <c r="A106" s="79" t="s">
        <v>274</v>
      </c>
      <c r="B106" s="79" t="s">
        <v>82</v>
      </c>
      <c r="C106" s="79" t="s">
        <v>367</v>
      </c>
      <c r="D106" s="99">
        <v>4554</v>
      </c>
      <c r="E106" s="99">
        <v>389</v>
      </c>
      <c r="F106" s="99" t="s">
        <v>177</v>
      </c>
      <c r="G106" s="99">
        <v>9</v>
      </c>
      <c r="H106" s="99">
        <v>6</v>
      </c>
      <c r="I106" s="99">
        <v>30</v>
      </c>
      <c r="J106" s="99">
        <v>184</v>
      </c>
      <c r="K106" s="99">
        <v>176</v>
      </c>
      <c r="L106" s="99">
        <v>646</v>
      </c>
      <c r="M106" s="99">
        <v>57</v>
      </c>
      <c r="N106" s="99">
        <v>33</v>
      </c>
      <c r="O106" s="99">
        <v>30</v>
      </c>
      <c r="P106" s="158">
        <v>30</v>
      </c>
      <c r="Q106" s="99" t="s">
        <v>916</v>
      </c>
      <c r="R106" s="99">
        <v>11</v>
      </c>
      <c r="S106" s="99" t="s">
        <v>916</v>
      </c>
      <c r="T106" s="99">
        <v>9</v>
      </c>
      <c r="U106" s="99" t="s">
        <v>916</v>
      </c>
      <c r="V106" s="99" t="s">
        <v>916</v>
      </c>
      <c r="W106" s="99" t="s">
        <v>916</v>
      </c>
      <c r="X106" s="99">
        <v>8</v>
      </c>
      <c r="Y106" s="99">
        <v>14</v>
      </c>
      <c r="Z106" s="99">
        <v>13</v>
      </c>
      <c r="AA106" s="99" t="s">
        <v>916</v>
      </c>
      <c r="AB106" s="99" t="s">
        <v>916</v>
      </c>
      <c r="AC106" s="99" t="s">
        <v>916</v>
      </c>
      <c r="AD106" s="98" t="s">
        <v>158</v>
      </c>
      <c r="AE106" s="100">
        <v>0.08541941150636803</v>
      </c>
      <c r="AF106" s="100">
        <v>0.4</v>
      </c>
      <c r="AG106" s="98">
        <v>197.62845849802372</v>
      </c>
      <c r="AH106" s="98">
        <v>131.75230566534916</v>
      </c>
      <c r="AI106" s="100">
        <v>0.0066</v>
      </c>
      <c r="AJ106" s="100">
        <v>0.601307</v>
      </c>
      <c r="AK106" s="100">
        <v>0.580858</v>
      </c>
      <c r="AL106" s="100">
        <v>0.67644</v>
      </c>
      <c r="AM106" s="100">
        <v>0.252212</v>
      </c>
      <c r="AN106" s="100">
        <v>0.22449</v>
      </c>
      <c r="AO106" s="98">
        <v>658.7615283267457</v>
      </c>
      <c r="AP106" s="157">
        <v>0.4893</v>
      </c>
      <c r="AQ106" s="100" t="s">
        <v>916</v>
      </c>
      <c r="AR106" s="100" t="s">
        <v>916</v>
      </c>
      <c r="AS106" s="98" t="s">
        <v>916</v>
      </c>
      <c r="AT106" s="98">
        <v>197.62845849802372</v>
      </c>
      <c r="AU106" s="98" t="s">
        <v>916</v>
      </c>
      <c r="AV106" s="98" t="s">
        <v>916</v>
      </c>
      <c r="AW106" s="98" t="s">
        <v>916</v>
      </c>
      <c r="AX106" s="98">
        <v>175.66974088713218</v>
      </c>
      <c r="AY106" s="98">
        <v>307.42204655248133</v>
      </c>
      <c r="AZ106" s="98">
        <v>285.4633289415898</v>
      </c>
      <c r="BA106" s="100" t="s">
        <v>916</v>
      </c>
      <c r="BB106" s="100" t="s">
        <v>916</v>
      </c>
      <c r="BC106" s="100" t="s">
        <v>916</v>
      </c>
      <c r="BD106" s="157">
        <v>0.33020000000000005</v>
      </c>
      <c r="BE106" s="157">
        <v>0.6986</v>
      </c>
      <c r="BF106" s="161">
        <v>306</v>
      </c>
      <c r="BG106" s="161">
        <v>303</v>
      </c>
      <c r="BH106" s="161">
        <v>955</v>
      </c>
      <c r="BI106" s="161">
        <v>226</v>
      </c>
      <c r="BJ106" s="161">
        <v>147</v>
      </c>
      <c r="BK106" s="97"/>
      <c r="BL106" s="97"/>
      <c r="BM106" s="97"/>
      <c r="BN106" s="97"/>
    </row>
    <row r="107" spans="1:66" ht="12.75">
      <c r="A107" s="79" t="s">
        <v>925</v>
      </c>
      <c r="B107" s="79" t="s">
        <v>134</v>
      </c>
      <c r="C107" s="79" t="s">
        <v>367</v>
      </c>
      <c r="D107" s="99">
        <v>2308</v>
      </c>
      <c r="E107" s="99">
        <v>297</v>
      </c>
      <c r="F107" s="99" t="s">
        <v>177</v>
      </c>
      <c r="G107" s="99" t="s">
        <v>916</v>
      </c>
      <c r="H107" s="99" t="s">
        <v>916</v>
      </c>
      <c r="I107" s="99">
        <v>23</v>
      </c>
      <c r="J107" s="99">
        <v>144</v>
      </c>
      <c r="K107" s="99">
        <v>108</v>
      </c>
      <c r="L107" s="99">
        <v>353</v>
      </c>
      <c r="M107" s="99">
        <v>75</v>
      </c>
      <c r="N107" s="99">
        <v>44</v>
      </c>
      <c r="O107" s="99">
        <v>11</v>
      </c>
      <c r="P107" s="158">
        <v>11</v>
      </c>
      <c r="Q107" s="99" t="s">
        <v>916</v>
      </c>
      <c r="R107" s="99">
        <v>8</v>
      </c>
      <c r="S107" s="99" t="s">
        <v>916</v>
      </c>
      <c r="T107" s="99" t="s">
        <v>916</v>
      </c>
      <c r="U107" s="99" t="s">
        <v>916</v>
      </c>
      <c r="V107" s="99" t="s">
        <v>916</v>
      </c>
      <c r="W107" s="99" t="s">
        <v>916</v>
      </c>
      <c r="X107" s="99">
        <v>8</v>
      </c>
      <c r="Y107" s="99">
        <v>12</v>
      </c>
      <c r="Z107" s="99">
        <v>10</v>
      </c>
      <c r="AA107" s="99" t="s">
        <v>916</v>
      </c>
      <c r="AB107" s="99" t="s">
        <v>916</v>
      </c>
      <c r="AC107" s="99" t="s">
        <v>916</v>
      </c>
      <c r="AD107" s="98" t="s">
        <v>158</v>
      </c>
      <c r="AE107" s="100">
        <v>0.12868284228769497</v>
      </c>
      <c r="AF107" s="100">
        <v>0.26</v>
      </c>
      <c r="AG107" s="98" t="s">
        <v>916</v>
      </c>
      <c r="AH107" s="98" t="s">
        <v>916</v>
      </c>
      <c r="AI107" s="100">
        <v>0.01</v>
      </c>
      <c r="AJ107" s="100">
        <v>0.651584</v>
      </c>
      <c r="AK107" s="100">
        <v>0.662577</v>
      </c>
      <c r="AL107" s="100">
        <v>0.661049</v>
      </c>
      <c r="AM107" s="100">
        <v>0.390625</v>
      </c>
      <c r="AN107" s="100">
        <v>0.335878</v>
      </c>
      <c r="AO107" s="98">
        <v>476.60311958405543</v>
      </c>
      <c r="AP107" s="157">
        <v>0.2803</v>
      </c>
      <c r="AQ107" s="100" t="s">
        <v>916</v>
      </c>
      <c r="AR107" s="100" t="s">
        <v>916</v>
      </c>
      <c r="AS107" s="98" t="s">
        <v>916</v>
      </c>
      <c r="AT107" s="98" t="s">
        <v>916</v>
      </c>
      <c r="AU107" s="98" t="s">
        <v>916</v>
      </c>
      <c r="AV107" s="98" t="s">
        <v>916</v>
      </c>
      <c r="AW107" s="98" t="s">
        <v>916</v>
      </c>
      <c r="AX107" s="98">
        <v>346.6204506065858</v>
      </c>
      <c r="AY107" s="98">
        <v>519.9306759098787</v>
      </c>
      <c r="AZ107" s="98">
        <v>433.27556325823224</v>
      </c>
      <c r="BA107" s="100" t="s">
        <v>916</v>
      </c>
      <c r="BB107" s="100" t="s">
        <v>916</v>
      </c>
      <c r="BC107" s="100" t="s">
        <v>916</v>
      </c>
      <c r="BD107" s="157">
        <v>0.1399</v>
      </c>
      <c r="BE107" s="157">
        <v>0.5015</v>
      </c>
      <c r="BF107" s="161">
        <v>221</v>
      </c>
      <c r="BG107" s="161">
        <v>163</v>
      </c>
      <c r="BH107" s="161">
        <v>534</v>
      </c>
      <c r="BI107" s="161">
        <v>192</v>
      </c>
      <c r="BJ107" s="161">
        <v>131</v>
      </c>
      <c r="BK107" s="97"/>
      <c r="BL107" s="97"/>
      <c r="BM107" s="97"/>
      <c r="BN107" s="97"/>
    </row>
    <row r="108" spans="1:66" ht="12.75">
      <c r="A108" s="79" t="s">
        <v>287</v>
      </c>
      <c r="B108" s="79" t="s">
        <v>98</v>
      </c>
      <c r="C108" s="79" t="s">
        <v>367</v>
      </c>
      <c r="D108" s="99">
        <v>11351</v>
      </c>
      <c r="E108" s="99">
        <v>2365</v>
      </c>
      <c r="F108" s="99" t="s">
        <v>176</v>
      </c>
      <c r="G108" s="99">
        <v>71</v>
      </c>
      <c r="H108" s="99">
        <v>32</v>
      </c>
      <c r="I108" s="99">
        <v>250</v>
      </c>
      <c r="J108" s="99">
        <v>1047</v>
      </c>
      <c r="K108" s="99">
        <v>10</v>
      </c>
      <c r="L108" s="99">
        <v>2060</v>
      </c>
      <c r="M108" s="99">
        <v>756</v>
      </c>
      <c r="N108" s="99">
        <v>401</v>
      </c>
      <c r="O108" s="99">
        <v>328</v>
      </c>
      <c r="P108" s="158">
        <v>328</v>
      </c>
      <c r="Q108" s="99">
        <v>30</v>
      </c>
      <c r="R108" s="99">
        <v>60</v>
      </c>
      <c r="S108" s="99">
        <v>69</v>
      </c>
      <c r="T108" s="99">
        <v>59</v>
      </c>
      <c r="U108" s="99" t="s">
        <v>916</v>
      </c>
      <c r="V108" s="99">
        <v>64</v>
      </c>
      <c r="W108" s="99">
        <v>53</v>
      </c>
      <c r="X108" s="99">
        <v>96</v>
      </c>
      <c r="Y108" s="99">
        <v>109</v>
      </c>
      <c r="Z108" s="99">
        <v>70</v>
      </c>
      <c r="AA108" s="99">
        <v>15</v>
      </c>
      <c r="AB108" s="99">
        <v>37</v>
      </c>
      <c r="AC108" s="99">
        <v>20</v>
      </c>
      <c r="AD108" s="98" t="s">
        <v>158</v>
      </c>
      <c r="AE108" s="100">
        <v>0.20835168707602855</v>
      </c>
      <c r="AF108" s="100">
        <v>0.18</v>
      </c>
      <c r="AG108" s="98">
        <v>625.4955510527707</v>
      </c>
      <c r="AH108" s="98">
        <v>281.91348779843185</v>
      </c>
      <c r="AI108" s="100">
        <v>0.022000000000000002</v>
      </c>
      <c r="AJ108" s="100">
        <v>0.71273</v>
      </c>
      <c r="AK108" s="100">
        <v>0.434783</v>
      </c>
      <c r="AL108" s="100">
        <v>0.760428</v>
      </c>
      <c r="AM108" s="100">
        <v>0.542324</v>
      </c>
      <c r="AN108" s="100">
        <v>0.495062</v>
      </c>
      <c r="AO108" s="98">
        <v>2889.6132499339265</v>
      </c>
      <c r="AP108" s="157">
        <v>1.3094999999999999</v>
      </c>
      <c r="AQ108" s="100">
        <v>0.09146341463414634</v>
      </c>
      <c r="AR108" s="100">
        <v>0.5</v>
      </c>
      <c r="AS108" s="98">
        <v>607.8759580653686</v>
      </c>
      <c r="AT108" s="98">
        <v>519.7779931283587</v>
      </c>
      <c r="AU108" s="98" t="s">
        <v>916</v>
      </c>
      <c r="AV108" s="98">
        <v>563.8269755968637</v>
      </c>
      <c r="AW108" s="98">
        <v>466.91921416615276</v>
      </c>
      <c r="AX108" s="98">
        <v>845.7404633952956</v>
      </c>
      <c r="AY108" s="98">
        <v>960.2678178134086</v>
      </c>
      <c r="AZ108" s="98">
        <v>616.6857545590697</v>
      </c>
      <c r="BA108" s="100">
        <v>0.20833333333333334</v>
      </c>
      <c r="BB108" s="100">
        <v>0.5138888888888888</v>
      </c>
      <c r="BC108" s="100">
        <v>0.2777777777777778</v>
      </c>
      <c r="BD108" s="157">
        <v>1.1716</v>
      </c>
      <c r="BE108" s="157">
        <v>1.4591</v>
      </c>
      <c r="BF108" s="161">
        <v>1469</v>
      </c>
      <c r="BG108" s="161">
        <v>23</v>
      </c>
      <c r="BH108" s="161">
        <v>2709</v>
      </c>
      <c r="BI108" s="161">
        <v>1394</v>
      </c>
      <c r="BJ108" s="161">
        <v>810</v>
      </c>
      <c r="BK108" s="97"/>
      <c r="BL108" s="97"/>
      <c r="BM108" s="97"/>
      <c r="BN108" s="97"/>
    </row>
    <row r="109" spans="1:66" ht="12.75">
      <c r="A109" s="79" t="s">
        <v>323</v>
      </c>
      <c r="B109" s="79" t="s">
        <v>148</v>
      </c>
      <c r="C109" s="79" t="s">
        <v>367</v>
      </c>
      <c r="D109" s="99">
        <v>3245</v>
      </c>
      <c r="E109" s="99">
        <v>357</v>
      </c>
      <c r="F109" s="99" t="s">
        <v>177</v>
      </c>
      <c r="G109" s="99">
        <v>10</v>
      </c>
      <c r="H109" s="99" t="s">
        <v>916</v>
      </c>
      <c r="I109" s="99">
        <v>30</v>
      </c>
      <c r="J109" s="99">
        <v>265</v>
      </c>
      <c r="K109" s="99" t="s">
        <v>916</v>
      </c>
      <c r="L109" s="99">
        <v>657</v>
      </c>
      <c r="M109" s="99">
        <v>83</v>
      </c>
      <c r="N109" s="99">
        <v>53</v>
      </c>
      <c r="O109" s="99">
        <v>39</v>
      </c>
      <c r="P109" s="158">
        <v>39</v>
      </c>
      <c r="Q109" s="99" t="s">
        <v>916</v>
      </c>
      <c r="R109" s="99">
        <v>8</v>
      </c>
      <c r="S109" s="99">
        <v>24</v>
      </c>
      <c r="T109" s="99" t="s">
        <v>916</v>
      </c>
      <c r="U109" s="99" t="s">
        <v>916</v>
      </c>
      <c r="V109" s="99" t="s">
        <v>916</v>
      </c>
      <c r="W109" s="99" t="s">
        <v>916</v>
      </c>
      <c r="X109" s="99">
        <v>18</v>
      </c>
      <c r="Y109" s="99">
        <v>10</v>
      </c>
      <c r="Z109" s="99">
        <v>23</v>
      </c>
      <c r="AA109" s="99" t="s">
        <v>916</v>
      </c>
      <c r="AB109" s="99" t="s">
        <v>916</v>
      </c>
      <c r="AC109" s="99" t="s">
        <v>916</v>
      </c>
      <c r="AD109" s="98" t="s">
        <v>158</v>
      </c>
      <c r="AE109" s="100">
        <v>0.11001540832049307</v>
      </c>
      <c r="AF109" s="100">
        <v>0.25</v>
      </c>
      <c r="AG109" s="98">
        <v>308.1664098613251</v>
      </c>
      <c r="AH109" s="98" t="s">
        <v>916</v>
      </c>
      <c r="AI109" s="100">
        <v>0.0092</v>
      </c>
      <c r="AJ109" s="100">
        <v>0.708556</v>
      </c>
      <c r="AK109" s="100" t="s">
        <v>916</v>
      </c>
      <c r="AL109" s="100">
        <v>0.736547</v>
      </c>
      <c r="AM109" s="100">
        <v>0.336032</v>
      </c>
      <c r="AN109" s="100">
        <v>0.335443</v>
      </c>
      <c r="AO109" s="98">
        <v>1201.848998459168</v>
      </c>
      <c r="AP109" s="157">
        <v>0.7084999999999999</v>
      </c>
      <c r="AQ109" s="100" t="s">
        <v>916</v>
      </c>
      <c r="AR109" s="100" t="s">
        <v>916</v>
      </c>
      <c r="AS109" s="98">
        <v>739.5993836671803</v>
      </c>
      <c r="AT109" s="98" t="s">
        <v>916</v>
      </c>
      <c r="AU109" s="98" t="s">
        <v>916</v>
      </c>
      <c r="AV109" s="98" t="s">
        <v>916</v>
      </c>
      <c r="AW109" s="98" t="s">
        <v>916</v>
      </c>
      <c r="AX109" s="98">
        <v>554.6995377503852</v>
      </c>
      <c r="AY109" s="98">
        <v>308.1664098613251</v>
      </c>
      <c r="AZ109" s="98">
        <v>708.7827426810478</v>
      </c>
      <c r="BA109" s="100" t="s">
        <v>916</v>
      </c>
      <c r="BB109" s="100" t="s">
        <v>916</v>
      </c>
      <c r="BC109" s="100" t="s">
        <v>916</v>
      </c>
      <c r="BD109" s="157">
        <v>0.5038</v>
      </c>
      <c r="BE109" s="157">
        <v>0.9684999999999999</v>
      </c>
      <c r="BF109" s="161">
        <v>374</v>
      </c>
      <c r="BG109" s="161" t="s">
        <v>916</v>
      </c>
      <c r="BH109" s="161">
        <v>892</v>
      </c>
      <c r="BI109" s="161">
        <v>247</v>
      </c>
      <c r="BJ109" s="161">
        <v>158</v>
      </c>
      <c r="BK109" s="97"/>
      <c r="BL109" s="97"/>
      <c r="BM109" s="97"/>
      <c r="BN109" s="97"/>
    </row>
    <row r="110" spans="1:66" ht="12.75">
      <c r="A110" s="79" t="s">
        <v>304</v>
      </c>
      <c r="B110" s="79" t="s">
        <v>120</v>
      </c>
      <c r="C110" s="79" t="s">
        <v>367</v>
      </c>
      <c r="D110" s="99">
        <v>7810</v>
      </c>
      <c r="E110" s="99">
        <v>1038</v>
      </c>
      <c r="F110" s="99" t="s">
        <v>177</v>
      </c>
      <c r="G110" s="99">
        <v>33</v>
      </c>
      <c r="H110" s="99">
        <v>10</v>
      </c>
      <c r="I110" s="99">
        <v>109</v>
      </c>
      <c r="J110" s="99">
        <v>451</v>
      </c>
      <c r="K110" s="99">
        <v>6</v>
      </c>
      <c r="L110" s="99">
        <v>1284</v>
      </c>
      <c r="M110" s="99">
        <v>310</v>
      </c>
      <c r="N110" s="99">
        <v>173</v>
      </c>
      <c r="O110" s="99">
        <v>127</v>
      </c>
      <c r="P110" s="158">
        <v>127</v>
      </c>
      <c r="Q110" s="99" t="s">
        <v>916</v>
      </c>
      <c r="R110" s="99">
        <v>21</v>
      </c>
      <c r="S110" s="99">
        <v>29</v>
      </c>
      <c r="T110" s="99">
        <v>18</v>
      </c>
      <c r="U110" s="99">
        <v>6</v>
      </c>
      <c r="V110" s="99">
        <v>8</v>
      </c>
      <c r="W110" s="99">
        <v>21</v>
      </c>
      <c r="X110" s="99">
        <v>44</v>
      </c>
      <c r="Y110" s="99">
        <v>49</v>
      </c>
      <c r="Z110" s="99">
        <v>38</v>
      </c>
      <c r="AA110" s="99">
        <v>11</v>
      </c>
      <c r="AB110" s="99">
        <v>13</v>
      </c>
      <c r="AC110" s="99">
        <v>12</v>
      </c>
      <c r="AD110" s="98" t="s">
        <v>158</v>
      </c>
      <c r="AE110" s="100">
        <v>0.1329065300896287</v>
      </c>
      <c r="AF110" s="100">
        <v>0.26</v>
      </c>
      <c r="AG110" s="98">
        <v>422.53521126760563</v>
      </c>
      <c r="AH110" s="98">
        <v>128.04097311139566</v>
      </c>
      <c r="AI110" s="100">
        <v>0.013999999999999999</v>
      </c>
      <c r="AJ110" s="100">
        <v>0.622069</v>
      </c>
      <c r="AK110" s="100">
        <v>0.545455</v>
      </c>
      <c r="AL110" s="100">
        <v>0.730791</v>
      </c>
      <c r="AM110" s="100">
        <v>0.515807</v>
      </c>
      <c r="AN110" s="100">
        <v>0.470109</v>
      </c>
      <c r="AO110" s="98">
        <v>1626.1203585147248</v>
      </c>
      <c r="AP110" s="157">
        <v>0.9769</v>
      </c>
      <c r="AQ110" s="100" t="s">
        <v>916</v>
      </c>
      <c r="AR110" s="100" t="s">
        <v>916</v>
      </c>
      <c r="AS110" s="98">
        <v>371.3188220230474</v>
      </c>
      <c r="AT110" s="98">
        <v>230.47375160051217</v>
      </c>
      <c r="AU110" s="98">
        <v>76.82458386683739</v>
      </c>
      <c r="AV110" s="98">
        <v>102.43277848911652</v>
      </c>
      <c r="AW110" s="98">
        <v>268.88604353393083</v>
      </c>
      <c r="AX110" s="98">
        <v>563.3802816901408</v>
      </c>
      <c r="AY110" s="98">
        <v>627.4007682458387</v>
      </c>
      <c r="AZ110" s="98">
        <v>486.55569782330343</v>
      </c>
      <c r="BA110" s="100">
        <v>0.3055555555555556</v>
      </c>
      <c r="BB110" s="100">
        <v>0.3611111111111111</v>
      </c>
      <c r="BC110" s="100">
        <v>0.3333333333333333</v>
      </c>
      <c r="BD110" s="157">
        <v>0.8144</v>
      </c>
      <c r="BE110" s="157">
        <v>1.1623</v>
      </c>
      <c r="BF110" s="161">
        <v>725</v>
      </c>
      <c r="BG110" s="161">
        <v>11</v>
      </c>
      <c r="BH110" s="161">
        <v>1757</v>
      </c>
      <c r="BI110" s="161">
        <v>601</v>
      </c>
      <c r="BJ110" s="161">
        <v>368</v>
      </c>
      <c r="BK110" s="97"/>
      <c r="BL110" s="97"/>
      <c r="BM110" s="97"/>
      <c r="BN110" s="97"/>
    </row>
    <row r="111" spans="1:66" ht="12.75">
      <c r="A111" s="79" t="s">
        <v>774</v>
      </c>
      <c r="B111" s="94" t="s">
        <v>367</v>
      </c>
      <c r="C111" s="94" t="s">
        <v>7</v>
      </c>
      <c r="D111" s="99">
        <v>530073</v>
      </c>
      <c r="E111" s="99">
        <v>68005</v>
      </c>
      <c r="F111" s="99">
        <v>146185.55</v>
      </c>
      <c r="G111" s="99">
        <v>2016</v>
      </c>
      <c r="H111" s="99">
        <v>951</v>
      </c>
      <c r="I111" s="99">
        <v>6528</v>
      </c>
      <c r="J111" s="99">
        <v>33168</v>
      </c>
      <c r="K111" s="99">
        <v>13972</v>
      </c>
      <c r="L111" s="99">
        <v>90417</v>
      </c>
      <c r="M111" s="99">
        <v>18972</v>
      </c>
      <c r="N111" s="99">
        <v>10766</v>
      </c>
      <c r="O111" s="99">
        <v>7832</v>
      </c>
      <c r="P111" s="99">
        <v>7832</v>
      </c>
      <c r="Q111" s="99">
        <v>764</v>
      </c>
      <c r="R111" s="99">
        <v>1990</v>
      </c>
      <c r="S111" s="99">
        <v>2138</v>
      </c>
      <c r="T111" s="99">
        <v>1175</v>
      </c>
      <c r="U111" s="99">
        <v>149</v>
      </c>
      <c r="V111" s="99">
        <v>951</v>
      </c>
      <c r="W111" s="99">
        <v>1347</v>
      </c>
      <c r="X111" s="99">
        <v>2567</v>
      </c>
      <c r="Y111" s="99">
        <v>3239</v>
      </c>
      <c r="Z111" s="99">
        <v>2704</v>
      </c>
      <c r="AA111" s="99">
        <v>449</v>
      </c>
      <c r="AB111" s="99">
        <v>861</v>
      </c>
      <c r="AC111" s="99">
        <v>515</v>
      </c>
      <c r="AD111" s="98">
        <v>0</v>
      </c>
      <c r="AE111" s="101">
        <v>0.12829365011988914</v>
      </c>
      <c r="AF111" s="101">
        <v>0.2757838071359982</v>
      </c>
      <c r="AG111" s="98">
        <v>380.3249741073399</v>
      </c>
      <c r="AH111" s="98">
        <v>179.40925117861124</v>
      </c>
      <c r="AI111" s="101">
        <v>0.012315284875856721</v>
      </c>
      <c r="AJ111" s="101">
        <v>0.6837635029273522</v>
      </c>
      <c r="AK111" s="101">
        <v>0.6856750257643421</v>
      </c>
      <c r="AL111" s="101">
        <v>0.7204484426418913</v>
      </c>
      <c r="AM111" s="101">
        <v>0.4624722716524876</v>
      </c>
      <c r="AN111" s="101">
        <v>0.4321438606350098</v>
      </c>
      <c r="AO111" s="98">
        <v>1477.532339885261</v>
      </c>
      <c r="AP111" s="98">
        <v>0</v>
      </c>
      <c r="AQ111" s="101">
        <v>0.0975485188968335</v>
      </c>
      <c r="AR111" s="101">
        <v>0.38391959798994973</v>
      </c>
      <c r="AS111" s="98">
        <v>403.3406719451849</v>
      </c>
      <c r="AT111" s="98">
        <v>221.66758163498235</v>
      </c>
      <c r="AU111" s="98">
        <v>28.10933588392542</v>
      </c>
      <c r="AV111" s="98">
        <v>179.40925117861124</v>
      </c>
      <c r="AW111" s="98">
        <v>254.11594252112445</v>
      </c>
      <c r="AX111" s="98">
        <v>484.2729208995742</v>
      </c>
      <c r="AY111" s="98">
        <v>611.0479122686875</v>
      </c>
      <c r="AZ111" s="98">
        <v>510.1184176519083</v>
      </c>
      <c r="BA111" s="101">
        <v>0.24602739726027398</v>
      </c>
      <c r="BB111" s="101">
        <v>0.47178082191780824</v>
      </c>
      <c r="BC111" s="101">
        <v>0.2821917808219178</v>
      </c>
      <c r="BD111" s="98">
        <v>0</v>
      </c>
      <c r="BE111" s="98">
        <v>0</v>
      </c>
      <c r="BF111" s="99">
        <v>48508</v>
      </c>
      <c r="BG111" s="99">
        <v>20377</v>
      </c>
      <c r="BH111" s="99">
        <v>125501</v>
      </c>
      <c r="BI111" s="99">
        <v>41023</v>
      </c>
      <c r="BJ111" s="99">
        <v>24913</v>
      </c>
      <c r="BK111" s="97"/>
      <c r="BL111" s="97"/>
      <c r="BM111" s="97"/>
      <c r="BN111" s="97"/>
    </row>
    <row r="112" spans="1:66" ht="12.75">
      <c r="A112" s="79" t="s">
        <v>24</v>
      </c>
      <c r="B112" s="94" t="s">
        <v>7</v>
      </c>
      <c r="C112" s="94" t="s">
        <v>7</v>
      </c>
      <c r="D112" s="99">
        <v>55165362</v>
      </c>
      <c r="E112" s="99">
        <v>9048994</v>
      </c>
      <c r="F112" s="99">
        <v>8305264.179999999</v>
      </c>
      <c r="G112" s="99">
        <v>259770</v>
      </c>
      <c r="H112" s="99">
        <v>128954</v>
      </c>
      <c r="I112" s="99">
        <v>978426</v>
      </c>
      <c r="J112" s="99">
        <v>4727163</v>
      </c>
      <c r="K112" s="99">
        <v>1693161</v>
      </c>
      <c r="L112" s="99">
        <v>10175535</v>
      </c>
      <c r="M112" s="99">
        <v>3358821</v>
      </c>
      <c r="N112" s="99">
        <v>1654961</v>
      </c>
      <c r="O112" s="99">
        <v>1093346</v>
      </c>
      <c r="P112" s="99">
        <v>1093346</v>
      </c>
      <c r="Q112" s="99">
        <v>115539</v>
      </c>
      <c r="R112" s="99">
        <v>248587</v>
      </c>
      <c r="S112" s="99">
        <v>205061</v>
      </c>
      <c r="T112" s="99">
        <v>184806</v>
      </c>
      <c r="U112" s="99">
        <v>42802</v>
      </c>
      <c r="V112" s="99">
        <v>192402</v>
      </c>
      <c r="W112" s="99">
        <v>343839</v>
      </c>
      <c r="X112" s="99">
        <v>238616</v>
      </c>
      <c r="Y112" s="99">
        <v>553576</v>
      </c>
      <c r="Z112" s="99">
        <v>323780</v>
      </c>
      <c r="AA112" s="99">
        <v>58003</v>
      </c>
      <c r="AB112" s="99">
        <v>120283</v>
      </c>
      <c r="AC112" s="99">
        <v>66239</v>
      </c>
      <c r="AD112" s="98">
        <v>0</v>
      </c>
      <c r="AE112" s="101">
        <v>0.16403398204837302</v>
      </c>
      <c r="AF112" s="101">
        <v>0.1505521558981159</v>
      </c>
      <c r="AG112" s="98">
        <v>470.8933116400106</v>
      </c>
      <c r="AH112" s="98">
        <v>233.75900261472046</v>
      </c>
      <c r="AI112" s="101">
        <v>0.017736238185113332</v>
      </c>
      <c r="AJ112" s="101">
        <v>0.7246856648259642</v>
      </c>
      <c r="AK112" s="101">
        <v>0.7425503147315781</v>
      </c>
      <c r="AL112" s="101">
        <v>0.7530641252748632</v>
      </c>
      <c r="AM112" s="101">
        <v>0.5744521249276766</v>
      </c>
      <c r="AN112" s="101">
        <v>0.5565049054289257</v>
      </c>
      <c r="AO112" s="98">
        <v>1981.9429445600304</v>
      </c>
      <c r="AP112" s="98">
        <v>1</v>
      </c>
      <c r="AQ112" s="101">
        <v>0.10567469035419712</v>
      </c>
      <c r="AR112" s="101">
        <v>0.46478295325177904</v>
      </c>
      <c r="AS112" s="98">
        <v>371.7205735004512</v>
      </c>
      <c r="AT112" s="98">
        <v>335.00369307827617</v>
      </c>
      <c r="AU112" s="98">
        <v>77.58854188249504</v>
      </c>
      <c r="AV112" s="98">
        <v>348.7732030109763</v>
      </c>
      <c r="AW112" s="98">
        <v>623.2878522577265</v>
      </c>
      <c r="AX112" s="98">
        <v>432.5467854266958</v>
      </c>
      <c r="AY112" s="98">
        <v>1003.4847591501348</v>
      </c>
      <c r="AZ112" s="98">
        <v>586.9262672471904</v>
      </c>
      <c r="BA112" s="101">
        <v>0.2372068295675289</v>
      </c>
      <c r="BB112" s="101">
        <v>0.4919047132195072</v>
      </c>
      <c r="BC112" s="101">
        <v>0.2708884572129639</v>
      </c>
      <c r="BD112" s="98">
        <v>0</v>
      </c>
      <c r="BE112" s="98">
        <v>0</v>
      </c>
      <c r="BF112" s="99">
        <v>6523053</v>
      </c>
      <c r="BG112" s="99">
        <v>2280197</v>
      </c>
      <c r="BH112" s="99">
        <v>13512176</v>
      </c>
      <c r="BI112" s="99">
        <v>5846999</v>
      </c>
      <c r="BJ112" s="99">
        <v>2973848</v>
      </c>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205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163</v>
      </c>
      <c r="O4" s="75" t="s">
        <v>162</v>
      </c>
      <c r="P4" s="75" t="s">
        <v>212</v>
      </c>
      <c r="Q4" s="75" t="s">
        <v>213</v>
      </c>
      <c r="R4" s="75" t="s">
        <v>214</v>
      </c>
      <c r="S4" s="75" t="s">
        <v>215</v>
      </c>
      <c r="T4" s="39" t="s">
        <v>53</v>
      </c>
      <c r="U4" s="40" t="s">
        <v>54</v>
      </c>
      <c r="V4" s="41" t="s">
        <v>7</v>
      </c>
      <c r="W4" s="24" t="s">
        <v>2</v>
      </c>
      <c r="X4" s="24" t="s">
        <v>3</v>
      </c>
      <c r="Y4" s="75" t="s">
        <v>337</v>
      </c>
      <c r="Z4" s="75" t="s">
        <v>336</v>
      </c>
      <c r="AA4" s="26" t="s">
        <v>55</v>
      </c>
      <c r="AB4" s="24" t="s">
        <v>5</v>
      </c>
      <c r="AC4" s="75" t="s">
        <v>35</v>
      </c>
      <c r="AD4" s="24" t="s">
        <v>6</v>
      </c>
      <c r="AE4" s="24" t="s">
        <v>56</v>
      </c>
      <c r="AF4" s="24" t="s">
        <v>16</v>
      </c>
      <c r="AG4" s="24" t="s">
        <v>15</v>
      </c>
      <c r="AH4" s="24" t="s">
        <v>14</v>
      </c>
      <c r="AI4" s="25" t="s">
        <v>30</v>
      </c>
      <c r="AJ4" s="47" t="s">
        <v>10</v>
      </c>
      <c r="AK4" s="26" t="s">
        <v>21</v>
      </c>
      <c r="AL4" s="25" t="s">
        <v>22</v>
      </c>
      <c r="AQ4" s="102" t="s">
        <v>202</v>
      </c>
      <c r="AR4" s="102" t="s">
        <v>204</v>
      </c>
      <c r="AS4" s="102" t="s">
        <v>203</v>
      </c>
      <c r="AY4" s="102" t="s">
        <v>892</v>
      </c>
      <c r="AZ4" s="102" t="s">
        <v>893</v>
      </c>
      <c r="BA4" s="102" t="s">
        <v>211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505</v>
      </c>
      <c r="AZ5" s="103" t="s">
        <v>681</v>
      </c>
      <c r="BA5" s="103" t="s">
        <v>158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504</v>
      </c>
      <c r="AZ6" s="103" t="s">
        <v>682</v>
      </c>
      <c r="BA6" s="103" t="s">
        <v>158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548</v>
      </c>
      <c r="E7" s="38">
        <f>IF(LEFT(VLOOKUP($B7,'Indicator chart'!$D$1:$J$36,5,FALSE),1)=" "," ",VLOOKUP($B7,'Indicator chart'!$D$1:$J$36,5,FALSE))</f>
        <v>0.07511994516792324</v>
      </c>
      <c r="F7" s="38">
        <f>IF(LEFT(VLOOKUP($B7,'Indicator chart'!$D$1:$J$36,6,FALSE),1)=" "," ",VLOOKUP($B7,'Indicator chart'!$D$1:$J$36,6,FALSE))</f>
        <v>0.06929230691623159</v>
      </c>
      <c r="G7" s="38">
        <f>IF(LEFT(VLOOKUP($B7,'Indicator chart'!$D$1:$J$36,7,FALSE),1)=" "," ",VLOOKUP($B7,'Indicator chart'!$D$1:$J$36,7,FALSE))</f>
        <v>0.08139483773970944</v>
      </c>
      <c r="H7" s="50">
        <f aca="true" t="shared" si="0" ref="H7:H31">IF(LEFT(F7,1)=" ",4,IF(AND(ABS(N7-E7)&gt;SQRT((E7-G7)^2+(N7-R7)^2),E7&lt;N7),1,IF(AND(ABS(N7-E7)&gt;SQRT((E7-F7)^2+(N7-S7)^2),E7&gt;N7),3,2)))</f>
        <v>1</v>
      </c>
      <c r="I7" s="300" t="s">
        <v>594</v>
      </c>
      <c r="J7" s="300" t="s">
        <v>605</v>
      </c>
      <c r="K7" s="300" t="s">
        <v>626</v>
      </c>
      <c r="L7" s="300" t="s">
        <v>643</v>
      </c>
      <c r="M7" s="300" t="s">
        <v>664</v>
      </c>
      <c r="N7" s="80">
        <f>VLOOKUP('Hide - Control'!B$3,'All practice data'!A:CA,A7+29,FALSE)</f>
        <v>0.12829365011988914</v>
      </c>
      <c r="O7" s="80">
        <f>VLOOKUP('Hide - Control'!C$3,'All practice data'!A:CA,A7+29,FALSE)</f>
        <v>0.16403398204837302</v>
      </c>
      <c r="P7" s="38">
        <f>VLOOKUP('Hide - Control'!$B$4,'All practice data'!B:BC,A7+2,FALSE)</f>
        <v>68005</v>
      </c>
      <c r="Q7" s="38">
        <f>VLOOKUP('Hide - Control'!$B$4,'All practice data'!B:BC,3,FALSE)</f>
        <v>530073</v>
      </c>
      <c r="R7" s="38">
        <f>+((2*P7+1.96^2-1.96*SQRT(1.96^2+4*P7*(1-P7/Q7)))/(2*(Q7+1.96^2)))</f>
        <v>0.12739606669827966</v>
      </c>
      <c r="S7" s="38">
        <f>+((2*P7+1.96^2+1.96*SQRT(1.96^2+4*P7*(1-P7/Q7)))/(2*(Q7+1.96^2)))</f>
        <v>0.12919662124004208</v>
      </c>
      <c r="T7" s="53" t="str">
        <f>IF($C7=1,M7,I7)</f>
        <v>0.283648881</v>
      </c>
      <c r="U7" s="51" t="str">
        <f aca="true" t="shared" si="1" ref="U7:U15">IF($C7=1,I7,M7)</f>
        <v>0.003170058</v>
      </c>
      <c r="V7" s="7">
        <v>1</v>
      </c>
      <c r="W7" s="27">
        <f aca="true" t="shared" si="2" ref="W7:W31">IF((K7-I7)&gt;(M7-K7),I7,(K7-(M7-K7)))</f>
        <v>-0.046507571000000025</v>
      </c>
      <c r="X7" s="27" t="str">
        <f aca="true" t="shared" si="3" ref="X7:X31">IF(W7=I7,K7+(K7-I7),M7)</f>
        <v>0.283648881</v>
      </c>
      <c r="Y7" s="27">
        <f aca="true" t="shared" si="4" ref="Y7:Y31">IF(C7=1,W7,X7)</f>
        <v>-0.046507571000000025</v>
      </c>
      <c r="Z7" s="27" t="str">
        <f aca="true" t="shared" si="5" ref="Z7:Z31">IF(C7=1,X7,W7)</f>
        <v>0.283648881</v>
      </c>
      <c r="AA7" s="32">
        <f aca="true" t="shared" si="6" ref="AA7:AA31">IF(ISERROR(IF(C7=1,(I7-$Y7)/($Z7-$Y7),(U7-$Y7)/($Z7-$Y7))),"",IF(C7=1,(I7-$Y7)/($Z7-$Y7),(U7-$Y7)/($Z7-$Y7)))</f>
        <v>0.15046693377962525</v>
      </c>
      <c r="AB7" s="33">
        <f aca="true" t="shared" si="7" ref="AB7:AB31">IF(ISERROR(IF(C7=1,(J7-$Y7)/($Z7-$Y7),(L7-$Y7)/($Z7-$Y7))),"",IF(C7=1,(J7-$Y7)/($Z7-$Y7),(L7-$Y7)/($Z7-$Y7)))</f>
        <v>0.399517038667474</v>
      </c>
      <c r="AC7" s="33">
        <v>0.5</v>
      </c>
      <c r="AD7" s="33">
        <f aca="true" t="shared" si="8" ref="AD7:AD31">IF(ISERROR(IF(C7=1,(L7-$Y7)/($Z7-$Y7),(J7-$Y7)/($Z7-$Y7))),"",IF(C7=1,(L7-$Y7)/($Z7-$Y7),(J7-$Y7)/($Z7-$Y7)))</f>
        <v>0.6106227601452417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0.3683935765335982</v>
      </c>
      <c r="AI7" s="34">
        <f aca="true" t="shared" si="13" ref="AI7:AI31">IF(ISERROR((O7-$Y7)/($Z7-$Y7)),-999,(O7-$Y7)/($Z7-$Y7))</f>
        <v>0.6377023734443724</v>
      </c>
      <c r="AJ7" s="4">
        <v>2.7020512924389086</v>
      </c>
      <c r="AK7" s="32">
        <f aca="true" t="shared" si="14" ref="AK7:AK31">IF(H7=1,(E7-$Y7)/($Z7-$Y7),-999)</f>
        <v>0.3683935765335982</v>
      </c>
      <c r="AL7" s="34">
        <f aca="true" t="shared" si="15" ref="AL7:AL31">IF(H7=3,(E7-$Y7)/($Z7-$Y7),-999)</f>
        <v>-999</v>
      </c>
      <c r="AQ7" s="103">
        <v>2</v>
      </c>
      <c r="AR7" s="103">
        <v>0.2422</v>
      </c>
      <c r="AS7" s="103">
        <v>7.2247</v>
      </c>
      <c r="AY7" s="103" t="s">
        <v>492</v>
      </c>
      <c r="AZ7" s="103" t="s">
        <v>683</v>
      </c>
      <c r="BA7" s="103" t="s">
        <v>158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0.4</v>
      </c>
      <c r="F8" s="38">
        <f>IF(LEFT(VLOOKUP($B8,'Indicator chart'!$D$1:$J$36,6,FALSE),1)=" "," ",VLOOKUP($B8,'Indicator chart'!$D$1:$J$36,6,FALSE))</f>
        <v>0.3888133272804567</v>
      </c>
      <c r="G8" s="38">
        <f>IF(LEFT(VLOOKUP($B8,'Indicator chart'!$D$1:$J$36,7,FALSE),1)=" "," ",VLOOKUP($B8,'Indicator chart'!$D$1:$J$36,7,FALSE))</f>
        <v>0.4112919387387428</v>
      </c>
      <c r="H8" s="50">
        <f t="shared" si="0"/>
        <v>3</v>
      </c>
      <c r="I8" s="300" t="s">
        <v>580</v>
      </c>
      <c r="J8" s="300" t="s">
        <v>579</v>
      </c>
      <c r="K8" s="300" t="s">
        <v>586</v>
      </c>
      <c r="L8" s="300" t="s">
        <v>587</v>
      </c>
      <c r="M8" s="300" t="s">
        <v>665</v>
      </c>
      <c r="N8" s="80">
        <f>VLOOKUP('Hide - Control'!B$3,'All practice data'!A:CA,A8+29,FALSE)</f>
        <v>0.2757838071359982</v>
      </c>
      <c r="O8" s="80">
        <f>VLOOKUP('Hide - Control'!C$3,'All practice data'!A:CA,A8+29,FALSE)</f>
        <v>0.1505521558981159</v>
      </c>
      <c r="P8" s="38">
        <f>VLOOKUP('Hide - Control'!$B$4,'All practice data'!B:BC,A8+2,FALSE)</f>
        <v>146185.55</v>
      </c>
      <c r="Q8" s="38">
        <f>VLOOKUP('Hide - Control'!$B$4,'All practice data'!B:BC,3,FALSE)</f>
        <v>530073</v>
      </c>
      <c r="R8" s="38">
        <f>+((2*P8+1.96^2-1.96*SQRT(1.96^2+4*P8*(1-P8/Q8)))/(2*(Q8+1.96^2)))</f>
        <v>0.274582321498878</v>
      </c>
      <c r="S8" s="38">
        <f>+((2*P8+1.96^2+1.96*SQRT(1.96^2+4*P8*(1-P8/Q8)))/(2*(Q8+1.96^2)))</f>
        <v>0.27698854267524164</v>
      </c>
      <c r="T8" s="53" t="str">
        <f aca="true" t="shared" si="16" ref="T8:T15">IF($C8=1,M8,I8)</f>
        <v>0.47</v>
      </c>
      <c r="U8" s="51" t="str">
        <f t="shared" si="1"/>
        <v>0.11</v>
      </c>
      <c r="V8" s="7"/>
      <c r="W8" s="27">
        <f t="shared" si="2"/>
        <v>0.09000000000000008</v>
      </c>
      <c r="X8" s="27" t="str">
        <f t="shared" si="3"/>
        <v>0.47</v>
      </c>
      <c r="Y8" s="27">
        <f t="shared" si="4"/>
        <v>0.09000000000000008</v>
      </c>
      <c r="Z8" s="27" t="str">
        <f t="shared" si="5"/>
        <v>0.47</v>
      </c>
      <c r="AA8" s="32">
        <f t="shared" si="6"/>
        <v>0.052631578947368224</v>
      </c>
      <c r="AB8" s="33">
        <f t="shared" si="7"/>
        <v>0.4210526315789473</v>
      </c>
      <c r="AC8" s="33">
        <v>0.5</v>
      </c>
      <c r="AD8" s="33">
        <f t="shared" si="8"/>
        <v>0.631578947368421</v>
      </c>
      <c r="AE8" s="33">
        <f t="shared" si="9"/>
        <v>1</v>
      </c>
      <c r="AF8" s="33">
        <f t="shared" si="10"/>
        <v>-999</v>
      </c>
      <c r="AG8" s="33">
        <f t="shared" si="11"/>
        <v>-999</v>
      </c>
      <c r="AH8" s="33">
        <f t="shared" si="12"/>
        <v>0.8157894736842106</v>
      </c>
      <c r="AI8" s="34">
        <f t="shared" si="13"/>
        <v>0.15934777867925223</v>
      </c>
      <c r="AJ8" s="4">
        <v>3.778046717820832</v>
      </c>
      <c r="AK8" s="32">
        <f t="shared" si="14"/>
        <v>-999</v>
      </c>
      <c r="AL8" s="34">
        <f t="shared" si="15"/>
        <v>0.8157894736842106</v>
      </c>
      <c r="AQ8" s="103">
        <v>3</v>
      </c>
      <c r="AR8" s="103">
        <v>0.6187</v>
      </c>
      <c r="AS8" s="103">
        <v>8.7673</v>
      </c>
      <c r="AY8" s="103" t="s">
        <v>507</v>
      </c>
      <c r="AZ8" s="103" t="s">
        <v>684</v>
      </c>
      <c r="BA8" s="103" t="s">
        <v>158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164.4962302947224</v>
      </c>
      <c r="F9" s="38">
        <f>IF(LEFT(VLOOKUP($B9,'Indicator chart'!$D$1:$J$36,6,FALSE),1)=" "," ",VLOOKUP($B9,'Indicator chart'!$D$1:$J$36,6,FALSE))</f>
        <v>84.89965137589648</v>
      </c>
      <c r="G9" s="38">
        <f>IF(LEFT(VLOOKUP($B9,'Indicator chart'!$D$1:$J$36,7,FALSE),1)=" "," ",VLOOKUP($B9,'Indicator chart'!$D$1:$J$36,7,FALSE))</f>
        <v>287.3617082948533</v>
      </c>
      <c r="H9" s="50">
        <f t="shared" si="0"/>
        <v>1</v>
      </c>
      <c r="I9" s="300" t="s">
        <v>595</v>
      </c>
      <c r="J9" s="300" t="s">
        <v>606</v>
      </c>
      <c r="K9" s="300" t="s">
        <v>627</v>
      </c>
      <c r="L9" s="300" t="s">
        <v>644</v>
      </c>
      <c r="M9" s="300" t="s">
        <v>666</v>
      </c>
      <c r="N9" s="80">
        <f>VLOOKUP('Hide - Control'!B$3,'All practice data'!A:CA,A9+29,FALSE)</f>
        <v>380.3249741073399</v>
      </c>
      <c r="O9" s="80">
        <f>VLOOKUP('Hide - Control'!C$3,'All practice data'!A:CA,A9+29,FALSE)</f>
        <v>470.8933116400106</v>
      </c>
      <c r="P9" s="38">
        <f>VLOOKUP('Hide - Control'!$B$4,'All practice data'!B:BC,A9+2,FALSE)</f>
        <v>2016</v>
      </c>
      <c r="Q9" s="38">
        <f>VLOOKUP('Hide - Control'!$B$4,'All practice data'!B:BC,3,FALSE)</f>
        <v>530073</v>
      </c>
      <c r="R9" s="38">
        <f>100000*(P9*(1-1/(9*P9)-1.96/(3*SQRT(P9)))^3)/Q9</f>
        <v>363.9021145045244</v>
      </c>
      <c r="S9" s="38">
        <f>100000*((P9+1)*(1-1/(9*(P9+1))+1.96/(3*SQRT(P9+1)))^3)/Q9</f>
        <v>397.29796927823514</v>
      </c>
      <c r="T9" s="53" t="str">
        <f t="shared" si="16"/>
        <v>838.2868465</v>
      </c>
      <c r="U9" s="51" t="str">
        <f t="shared" si="1"/>
        <v>123.431</v>
      </c>
      <c r="V9" s="7"/>
      <c r="W9" s="27">
        <f t="shared" si="2"/>
        <v>-175.89810710000006</v>
      </c>
      <c r="X9" s="27" t="str">
        <f t="shared" si="3"/>
        <v>838.2868465</v>
      </c>
      <c r="Y9" s="27">
        <f t="shared" si="4"/>
        <v>-175.89810710000006</v>
      </c>
      <c r="Z9" s="27" t="str">
        <f t="shared" si="5"/>
        <v>838.2868465</v>
      </c>
      <c r="AA9" s="32">
        <f t="shared" si="6"/>
        <v>0.29514252409039093</v>
      </c>
      <c r="AB9" s="33">
        <f t="shared" si="7"/>
        <v>0.36749067887177145</v>
      </c>
      <c r="AC9" s="33">
        <v>0.5</v>
      </c>
      <c r="AD9" s="33">
        <f t="shared" si="8"/>
        <v>0.6648948873737265</v>
      </c>
      <c r="AE9" s="33">
        <f t="shared" si="9"/>
        <v>1</v>
      </c>
      <c r="AF9" s="33">
        <f t="shared" si="10"/>
        <v>-999</v>
      </c>
      <c r="AG9" s="33">
        <f t="shared" si="11"/>
        <v>-999</v>
      </c>
      <c r="AH9" s="33">
        <f t="shared" si="12"/>
        <v>0.3356333932843731</v>
      </c>
      <c r="AI9" s="34">
        <f t="shared" si="13"/>
        <v>0.6377450350097666</v>
      </c>
      <c r="AJ9" s="4">
        <v>4.854042143202755</v>
      </c>
      <c r="AK9" s="32">
        <f t="shared" si="14"/>
        <v>0.3356333932843731</v>
      </c>
      <c r="AL9" s="34">
        <f t="shared" si="15"/>
        <v>-999</v>
      </c>
      <c r="AQ9" s="103">
        <v>4</v>
      </c>
      <c r="AR9" s="103">
        <v>1.0899</v>
      </c>
      <c r="AS9" s="103">
        <v>10.2416</v>
      </c>
      <c r="AY9" s="103" t="s">
        <v>436</v>
      </c>
      <c r="AZ9" s="103" t="s">
        <v>685</v>
      </c>
      <c r="BA9" s="103" t="s">
        <v>158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82.2481151473612</v>
      </c>
      <c r="F10" s="38">
        <f>IF(LEFT(VLOOKUP($B10,'Indicator chart'!$D$1:$J$36,6,FALSE),1)=" "," ",VLOOKUP($B10,'Indicator chart'!$D$1:$J$36,6,FALSE))</f>
        <v>30.033457720132688</v>
      </c>
      <c r="G10" s="38">
        <f>IF(LEFT(VLOOKUP($B10,'Indicator chart'!$D$1:$J$36,7,FALSE),1)=" "," ",VLOOKUP($B10,'Indicator chart'!$D$1:$J$36,7,FALSE))</f>
        <v>179.0252949784477</v>
      </c>
      <c r="H10" s="50">
        <f t="shared" si="0"/>
        <v>2</v>
      </c>
      <c r="I10" s="300" t="s">
        <v>575</v>
      </c>
      <c r="J10" s="300" t="s">
        <v>607</v>
      </c>
      <c r="K10" s="300" t="s">
        <v>628</v>
      </c>
      <c r="L10" s="300" t="s">
        <v>645</v>
      </c>
      <c r="M10" s="300" t="s">
        <v>667</v>
      </c>
      <c r="N10" s="80">
        <f>VLOOKUP('Hide - Control'!B$3,'All practice data'!A:CA,A10+29,FALSE)</f>
        <v>179.40925117861124</v>
      </c>
      <c r="O10" s="80">
        <f>VLOOKUP('Hide - Control'!C$3,'All practice data'!A:CA,A10+29,FALSE)</f>
        <v>233.75900261472046</v>
      </c>
      <c r="P10" s="38">
        <f>VLOOKUP('Hide - Control'!$B$4,'All practice data'!B:BC,A10+2,FALSE)</f>
        <v>951</v>
      </c>
      <c r="Q10" s="38">
        <f>VLOOKUP('Hide - Control'!$B$4,'All practice data'!B:BC,3,FALSE)</f>
        <v>530073</v>
      </c>
      <c r="R10" s="38">
        <f>100000*(P10*(1-1/(9*P10)-1.96/(3*SQRT(P10)))^3)/Q10</f>
        <v>168.18610362411263</v>
      </c>
      <c r="S10" s="38">
        <f>100000*((P10+1)*(1-1/(9*(P10+1))+1.96/(3*SQRT(P10+1)))^3)/Q10</f>
        <v>191.18438907680664</v>
      </c>
      <c r="T10" s="53" t="str">
        <f t="shared" si="16"/>
        <v>467.7754678</v>
      </c>
      <c r="U10" s="51" t="str">
        <f t="shared" si="1"/>
        <v>61.6589</v>
      </c>
      <c r="V10" s="7"/>
      <c r="W10" s="27">
        <f t="shared" si="2"/>
        <v>-182.87518280000003</v>
      </c>
      <c r="X10" s="27" t="str">
        <f t="shared" si="3"/>
        <v>467.7754678</v>
      </c>
      <c r="Y10" s="27">
        <f t="shared" si="4"/>
        <v>-182.87518280000003</v>
      </c>
      <c r="Z10" s="27" t="str">
        <f t="shared" si="5"/>
        <v>467.7754678</v>
      </c>
      <c r="AA10" s="32">
        <f t="shared" si="6"/>
        <v>0.3758300749787954</v>
      </c>
      <c r="AB10" s="33">
        <f t="shared" si="7"/>
        <v>0.4171024496475006</v>
      </c>
      <c r="AC10" s="33">
        <v>0.5</v>
      </c>
      <c r="AD10" s="33">
        <f t="shared" si="8"/>
        <v>0.6469333727889767</v>
      </c>
      <c r="AE10" s="33">
        <f t="shared" si="9"/>
        <v>1</v>
      </c>
      <c r="AF10" s="33">
        <f t="shared" si="10"/>
        <v>-999</v>
      </c>
      <c r="AG10" s="33">
        <f t="shared" si="11"/>
        <v>0.40747411487697244</v>
      </c>
      <c r="AH10" s="33">
        <f t="shared" si="12"/>
        <v>-999</v>
      </c>
      <c r="AI10" s="34">
        <f t="shared" si="13"/>
        <v>0.6403346942487795</v>
      </c>
      <c r="AJ10" s="4">
        <v>5.930037568584676</v>
      </c>
      <c r="AK10" s="32">
        <f t="shared" si="14"/>
        <v>-999</v>
      </c>
      <c r="AL10" s="34">
        <f t="shared" si="15"/>
        <v>-999</v>
      </c>
      <c r="AY10" s="103" t="s">
        <v>506</v>
      </c>
      <c r="AZ10" s="103" t="s">
        <v>686</v>
      </c>
      <c r="BA10" s="103" t="s">
        <v>158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35</v>
      </c>
      <c r="E11" s="38">
        <f>IF(LEFT(VLOOKUP($B11,'Indicator chart'!$D$1:$J$36,5,FALSE),1)=" "," ",VLOOKUP($B11,'Indicator chart'!$D$1:$J$36,5,FALSE))</f>
        <v>0.0048</v>
      </c>
      <c r="F11" s="38">
        <f>IF(LEFT(VLOOKUP($B11,'Indicator chart'!$D$1:$J$36,6,FALSE),1)=" "," ",VLOOKUP($B11,'Indicator chart'!$D$1:$J$36,6,FALSE))</f>
        <v>0.003451882618047467</v>
      </c>
      <c r="G11" s="38">
        <f>IF(LEFT(VLOOKUP($B11,'Indicator chart'!$D$1:$J$36,7,FALSE),1)=" "," ",VLOOKUP($B11,'Indicator chart'!$D$1:$J$36,7,FALSE))</f>
        <v>0.00666501045166924</v>
      </c>
      <c r="H11" s="50">
        <f t="shared" si="0"/>
        <v>1</v>
      </c>
      <c r="I11" s="300" t="s">
        <v>591</v>
      </c>
      <c r="J11" s="300" t="s">
        <v>608</v>
      </c>
      <c r="K11" s="300" t="s">
        <v>629</v>
      </c>
      <c r="L11" s="300" t="s">
        <v>588</v>
      </c>
      <c r="M11" s="300" t="s">
        <v>668</v>
      </c>
      <c r="N11" s="80">
        <f>VLOOKUP('Hide - Control'!B$3,'All practice data'!A:CA,A11+29,FALSE)</f>
        <v>0.012315284875856721</v>
      </c>
      <c r="O11" s="80">
        <f>VLOOKUP('Hide - Control'!C$3,'All practice data'!A:CA,A11+29,FALSE)</f>
        <v>0.017736238185113332</v>
      </c>
      <c r="P11" s="38">
        <f>VLOOKUP('Hide - Control'!$B$4,'All practice data'!B:BC,A11+2,FALSE)</f>
        <v>6528</v>
      </c>
      <c r="Q11" s="38">
        <f>VLOOKUP('Hide - Control'!$B$4,'All practice data'!B:BC,3,FALSE)</f>
        <v>530073</v>
      </c>
      <c r="R11" s="80">
        <f aca="true" t="shared" si="17" ref="R11:R16">+((2*P11+1.96^2-1.96*SQRT(1.96^2+4*P11*(1-P11/Q11)))/(2*(Q11+1.96^2)))</f>
        <v>0.012021892842871366</v>
      </c>
      <c r="S11" s="80">
        <f aca="true" t="shared" si="18" ref="S11:S16">+((2*P11+1.96^2+1.96*SQRT(1.96^2+4*P11*(1-P11/Q11)))/(2*(Q11+1.96^2)))</f>
        <v>0.01261574565606735</v>
      </c>
      <c r="T11" s="53" t="str">
        <f t="shared" si="16"/>
        <v>0.0281</v>
      </c>
      <c r="U11" s="51" t="str">
        <f t="shared" si="1"/>
        <v>0.0007</v>
      </c>
      <c r="V11" s="7"/>
      <c r="W11" s="27">
        <f t="shared" si="2"/>
        <v>-0.007099999999999997</v>
      </c>
      <c r="X11" s="27" t="str">
        <f t="shared" si="3"/>
        <v>0.0281</v>
      </c>
      <c r="Y11" s="27">
        <f t="shared" si="4"/>
        <v>-0.007099999999999997</v>
      </c>
      <c r="Z11" s="27" t="str">
        <f t="shared" si="5"/>
        <v>0.0281</v>
      </c>
      <c r="AA11" s="32">
        <f t="shared" si="6"/>
        <v>0.22159090909090903</v>
      </c>
      <c r="AB11" s="33">
        <f t="shared" si="7"/>
        <v>0.3977272727272727</v>
      </c>
      <c r="AC11" s="33">
        <v>0.5</v>
      </c>
      <c r="AD11" s="33">
        <f t="shared" si="8"/>
        <v>0.6292613636363636</v>
      </c>
      <c r="AE11" s="33">
        <f t="shared" si="9"/>
        <v>1</v>
      </c>
      <c r="AF11" s="33">
        <f t="shared" si="10"/>
        <v>-999</v>
      </c>
      <c r="AG11" s="33">
        <f t="shared" si="11"/>
        <v>-999</v>
      </c>
      <c r="AH11" s="33">
        <f t="shared" si="12"/>
        <v>0.33806818181818177</v>
      </c>
      <c r="AI11" s="34">
        <f t="shared" si="13"/>
        <v>0.7055749484407198</v>
      </c>
      <c r="AJ11" s="4">
        <v>7.0060329939666</v>
      </c>
      <c r="AK11" s="32">
        <f t="shared" si="14"/>
        <v>0.33806818181818177</v>
      </c>
      <c r="AL11" s="34">
        <f t="shared" si="15"/>
        <v>-999</v>
      </c>
      <c r="AY11" s="103" t="s">
        <v>338</v>
      </c>
      <c r="AZ11" s="103" t="s">
        <v>687</v>
      </c>
      <c r="BA11" s="103" t="s">
        <v>158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217</v>
      </c>
      <c r="E12" s="38">
        <f>IF(LEFT(VLOOKUP($B12,'Indicator chart'!$D$1:$J$36,5,FALSE),1)=" "," ",VLOOKUP($B12,'Indicator chart'!$D$1:$J$36,5,FALSE))</f>
        <v>0.560724</v>
      </c>
      <c r="F12" s="38">
        <f>IF(LEFT(VLOOKUP($B12,'Indicator chart'!$D$1:$J$36,6,FALSE),1)=" "," ",VLOOKUP($B12,'Indicator chart'!$D$1:$J$36,6,FALSE))</f>
        <v>0.5109191950399979</v>
      </c>
      <c r="G12" s="38">
        <f>IF(LEFT(VLOOKUP($B12,'Indicator chart'!$D$1:$J$36,7,FALSE),1)=" "," ",VLOOKUP($B12,'Indicator chart'!$D$1:$J$36,7,FALSE))</f>
        <v>0.609334124975067</v>
      </c>
      <c r="H12" s="50">
        <f t="shared" si="0"/>
        <v>1</v>
      </c>
      <c r="I12" s="300" t="s">
        <v>596</v>
      </c>
      <c r="J12" s="300" t="s">
        <v>609</v>
      </c>
      <c r="K12" s="300" t="s">
        <v>630</v>
      </c>
      <c r="L12" s="300" t="s">
        <v>646</v>
      </c>
      <c r="M12" s="300" t="s">
        <v>669</v>
      </c>
      <c r="N12" s="80">
        <f>VLOOKUP('Hide - Control'!B$3,'All practice data'!A:CA,A12+29,FALSE)</f>
        <v>0.6837635029273522</v>
      </c>
      <c r="O12" s="80">
        <f>VLOOKUP('Hide - Control'!C$3,'All practice data'!A:CA,A12+29,FALSE)</f>
        <v>0.7246856648259642</v>
      </c>
      <c r="P12" s="38">
        <f>VLOOKUP('Hide - Control'!$B$4,'All practice data'!B:BC,A12+2,FALSE)</f>
        <v>33168</v>
      </c>
      <c r="Q12" s="38">
        <f>VLOOKUP('Hide - Control'!$B$4,'All practice data'!B:BJ,57,FALSE)</f>
        <v>48508</v>
      </c>
      <c r="R12" s="38">
        <f t="shared" si="17"/>
        <v>0.6796109190430217</v>
      </c>
      <c r="S12" s="38">
        <f t="shared" si="18"/>
        <v>0.6878869827476207</v>
      </c>
      <c r="T12" s="53" t="str">
        <f t="shared" si="16"/>
        <v>0.840909</v>
      </c>
      <c r="U12" s="51" t="str">
        <f t="shared" si="1"/>
        <v>0.358824</v>
      </c>
      <c r="V12" s="7"/>
      <c r="W12" s="27" t="str">
        <f t="shared" si="2"/>
        <v>0.358824</v>
      </c>
      <c r="X12" s="27">
        <f t="shared" si="3"/>
        <v>0.976404</v>
      </c>
      <c r="Y12" s="27" t="str">
        <f t="shared" si="4"/>
        <v>0.358824</v>
      </c>
      <c r="Z12" s="27">
        <f t="shared" si="5"/>
        <v>0.976404</v>
      </c>
      <c r="AA12" s="32">
        <f t="shared" si="6"/>
        <v>0</v>
      </c>
      <c r="AB12" s="33">
        <f t="shared" si="7"/>
        <v>0.36798309530749057</v>
      </c>
      <c r="AC12" s="33">
        <v>0.5</v>
      </c>
      <c r="AD12" s="33">
        <f t="shared" si="8"/>
        <v>0.5794067165387481</v>
      </c>
      <c r="AE12" s="33">
        <f t="shared" si="9"/>
        <v>0.7806033226464588</v>
      </c>
      <c r="AF12" s="33">
        <f t="shared" si="10"/>
        <v>-999</v>
      </c>
      <c r="AG12" s="33">
        <f t="shared" si="11"/>
        <v>-999</v>
      </c>
      <c r="AH12" s="33">
        <f t="shared" si="12"/>
        <v>0.32692120858836105</v>
      </c>
      <c r="AI12" s="34">
        <f t="shared" si="13"/>
        <v>0.5924117763301341</v>
      </c>
      <c r="AJ12" s="4">
        <v>8.082028419348523</v>
      </c>
      <c r="AK12" s="32">
        <f t="shared" si="14"/>
        <v>0.32692120858836105</v>
      </c>
      <c r="AL12" s="34">
        <f t="shared" si="15"/>
        <v>-999</v>
      </c>
      <c r="AY12" s="103" t="s">
        <v>433</v>
      </c>
      <c r="AZ12" s="103" t="s">
        <v>688</v>
      </c>
      <c r="BA12" s="103" t="s">
        <v>158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197</v>
      </c>
      <c r="E13" s="38">
        <f>IF(LEFT(VLOOKUP($B13,'Indicator chart'!$D$1:$J$36,5,FALSE),1)=" "," ",VLOOKUP($B13,'Indicator chart'!$D$1:$J$36,5,FALSE))</f>
        <v>0.518421</v>
      </c>
      <c r="F13" s="38">
        <f>IF(LEFT(VLOOKUP($B13,'Indicator chart'!$D$1:$J$36,6,FALSE),1)=" "," ",VLOOKUP($B13,'Indicator chart'!$D$1:$J$36,6,FALSE))</f>
        <v>0.4682495750082233</v>
      </c>
      <c r="G13" s="38">
        <f>IF(LEFT(VLOOKUP($B13,'Indicator chart'!$D$1:$J$36,7,FALSE),1)=" "," ",VLOOKUP($B13,'Indicator chart'!$D$1:$J$36,7,FALSE))</f>
        <v>0.5682238035937833</v>
      </c>
      <c r="H13" s="50">
        <f t="shared" si="0"/>
        <v>1</v>
      </c>
      <c r="I13" s="300" t="s">
        <v>333</v>
      </c>
      <c r="J13" s="300" t="s">
        <v>610</v>
      </c>
      <c r="K13" s="300" t="s">
        <v>631</v>
      </c>
      <c r="L13" s="300" t="s">
        <v>647</v>
      </c>
      <c r="M13" s="300" t="s">
        <v>334</v>
      </c>
      <c r="N13" s="80">
        <f>VLOOKUP('Hide - Control'!B$3,'All practice data'!A:CA,A13+29,FALSE)</f>
        <v>0.6856750257643421</v>
      </c>
      <c r="O13" s="80">
        <f>VLOOKUP('Hide - Control'!C$3,'All practice data'!A:CA,A13+29,FALSE)</f>
        <v>0.7425503147315781</v>
      </c>
      <c r="P13" s="38">
        <f>VLOOKUP('Hide - Control'!$B$4,'All practice data'!B:BC,A13+2,FALSE)</f>
        <v>13972</v>
      </c>
      <c r="Q13" s="38">
        <f>VLOOKUP('Hide - Control'!$B$4,'All practice data'!B:BJ,58,FALSE)</f>
        <v>20377</v>
      </c>
      <c r="R13" s="38">
        <f t="shared" si="17"/>
        <v>0.6792662022066185</v>
      </c>
      <c r="S13" s="38">
        <f t="shared" si="18"/>
        <v>0.6920138532745055</v>
      </c>
      <c r="T13" s="53" t="str">
        <f t="shared" si="16"/>
        <v>1</v>
      </c>
      <c r="U13" s="51" t="str">
        <f t="shared" si="1"/>
        <v>0</v>
      </c>
      <c r="V13" s="7"/>
      <c r="W13" s="27" t="str">
        <f t="shared" si="2"/>
        <v>0</v>
      </c>
      <c r="X13" s="27">
        <f t="shared" si="3"/>
        <v>1.115406</v>
      </c>
      <c r="Y13" s="27" t="str">
        <f t="shared" si="4"/>
        <v>0</v>
      </c>
      <c r="Z13" s="27">
        <f t="shared" si="5"/>
        <v>1.115406</v>
      </c>
      <c r="AA13" s="32">
        <f t="shared" si="6"/>
        <v>0</v>
      </c>
      <c r="AB13" s="33">
        <f t="shared" si="7"/>
        <v>0.3610286299338537</v>
      </c>
      <c r="AC13" s="33">
        <v>0.5</v>
      </c>
      <c r="AD13" s="33">
        <f t="shared" si="8"/>
        <v>0.618166837904763</v>
      </c>
      <c r="AE13" s="33">
        <f t="shared" si="9"/>
        <v>0.8965345354068385</v>
      </c>
      <c r="AF13" s="33">
        <f t="shared" si="10"/>
        <v>-999</v>
      </c>
      <c r="AG13" s="33">
        <f t="shared" si="11"/>
        <v>-999</v>
      </c>
      <c r="AH13" s="33">
        <f t="shared" si="12"/>
        <v>0.46478233038014866</v>
      </c>
      <c r="AI13" s="34">
        <f t="shared" si="13"/>
        <v>0.665722001434077</v>
      </c>
      <c r="AJ13" s="4">
        <v>9.158023844730446</v>
      </c>
      <c r="AK13" s="32">
        <f t="shared" si="14"/>
        <v>0.46478233038014866</v>
      </c>
      <c r="AL13" s="34">
        <f t="shared" si="15"/>
        <v>-999</v>
      </c>
      <c r="AY13" s="103" t="s">
        <v>339</v>
      </c>
      <c r="AZ13" s="103" t="s">
        <v>689</v>
      </c>
      <c r="BA13" s="103" t="s">
        <v>158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1084</v>
      </c>
      <c r="E14" s="38">
        <f>IF(LEFT(VLOOKUP($B14,'Indicator chart'!$D$1:$J$36,5,FALSE),1)=" "," ",VLOOKUP($B14,'Indicator chart'!$D$1:$J$36,5,FALSE))</f>
        <v>0.714097</v>
      </c>
      <c r="F14" s="38">
        <f>IF(LEFT(VLOOKUP($B14,'Indicator chart'!$D$1:$J$36,6,FALSE),1)=" "," ",VLOOKUP($B14,'Indicator chart'!$D$1:$J$36,6,FALSE))</f>
        <v>0.6908488794994847</v>
      </c>
      <c r="G14" s="38">
        <f>IF(LEFT(VLOOKUP($B14,'Indicator chart'!$D$1:$J$36,7,FALSE),1)=" "," ",VLOOKUP($B14,'Indicator chart'!$D$1:$J$36,7,FALSE))</f>
        <v>0.7362652170004402</v>
      </c>
      <c r="H14" s="50">
        <f t="shared" si="0"/>
        <v>2</v>
      </c>
      <c r="I14" s="300" t="s">
        <v>597</v>
      </c>
      <c r="J14" s="300" t="s">
        <v>611</v>
      </c>
      <c r="K14" s="300" t="s">
        <v>632</v>
      </c>
      <c r="L14" s="300" t="s">
        <v>648</v>
      </c>
      <c r="M14" s="300" t="s">
        <v>590</v>
      </c>
      <c r="N14" s="80">
        <f>VLOOKUP('Hide - Control'!B$3,'All practice data'!A:CA,A14+29,FALSE)</f>
        <v>0.7204484426418913</v>
      </c>
      <c r="O14" s="80">
        <f>VLOOKUP('Hide - Control'!C$3,'All practice data'!A:CA,A14+29,FALSE)</f>
        <v>0.7530641252748632</v>
      </c>
      <c r="P14" s="38">
        <f>VLOOKUP('Hide - Control'!$B$4,'All practice data'!B:BC,A14+2,FALSE)</f>
        <v>90417</v>
      </c>
      <c r="Q14" s="38">
        <f>VLOOKUP('Hide - Control'!$B$4,'All practice data'!B:BJ,59,FALSE)</f>
        <v>125501</v>
      </c>
      <c r="R14" s="38">
        <f t="shared" si="17"/>
        <v>0.7179587913621134</v>
      </c>
      <c r="S14" s="38">
        <f t="shared" si="18"/>
        <v>0.7229245984305559</v>
      </c>
      <c r="T14" s="53" t="str">
        <f t="shared" si="16"/>
        <v>0.909091</v>
      </c>
      <c r="U14" s="51" t="str">
        <f t="shared" si="1"/>
        <v>0.544</v>
      </c>
      <c r="V14" s="7"/>
      <c r="W14" s="27">
        <f t="shared" si="2"/>
        <v>0.519103</v>
      </c>
      <c r="X14" s="27" t="str">
        <f t="shared" si="3"/>
        <v>0.909091</v>
      </c>
      <c r="Y14" s="27">
        <f t="shared" si="4"/>
        <v>0.519103</v>
      </c>
      <c r="Z14" s="27" t="str">
        <f t="shared" si="5"/>
        <v>0.909091</v>
      </c>
      <c r="AA14" s="32">
        <f t="shared" si="6"/>
        <v>0.06384042585925735</v>
      </c>
      <c r="AB14" s="33">
        <f t="shared" si="7"/>
        <v>0.39899817430279916</v>
      </c>
      <c r="AC14" s="33">
        <v>0.5</v>
      </c>
      <c r="AD14" s="33">
        <f t="shared" si="8"/>
        <v>0.6206947393253125</v>
      </c>
      <c r="AE14" s="33">
        <f t="shared" si="9"/>
        <v>1</v>
      </c>
      <c r="AF14" s="33">
        <f t="shared" si="10"/>
        <v>-999</v>
      </c>
      <c r="AG14" s="33">
        <f t="shared" si="11"/>
        <v>0.5</v>
      </c>
      <c r="AH14" s="33">
        <f t="shared" si="12"/>
        <v>-999</v>
      </c>
      <c r="AI14" s="34">
        <f t="shared" si="13"/>
        <v>0.5999187802569905</v>
      </c>
      <c r="AJ14" s="4">
        <v>10.234019270112368</v>
      </c>
      <c r="AK14" s="32">
        <f t="shared" si="14"/>
        <v>-999</v>
      </c>
      <c r="AL14" s="34">
        <f t="shared" si="15"/>
        <v>-999</v>
      </c>
      <c r="AY14" s="103" t="s">
        <v>461</v>
      </c>
      <c r="AZ14" s="103" t="s">
        <v>690</v>
      </c>
      <c r="BA14" s="103" t="s">
        <v>158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56</v>
      </c>
      <c r="E15" s="38">
        <f>IF(LEFT(VLOOKUP($B15,'Indicator chart'!$D$1:$J$36,5,FALSE),1)=" "," ",VLOOKUP($B15,'Indicator chart'!$D$1:$J$36,5,FALSE))</f>
        <v>0.202166</v>
      </c>
      <c r="F15" s="38">
        <f>IF(LEFT(VLOOKUP($B15,'Indicator chart'!$D$1:$J$36,6,FALSE),1)=" "," ",VLOOKUP($B15,'Indicator chart'!$D$1:$J$36,6,FALSE))</f>
        <v>0.1590921125387916</v>
      </c>
      <c r="G15" s="38">
        <f>IF(LEFT(VLOOKUP($B15,'Indicator chart'!$D$1:$J$36,7,FALSE),1)=" "," ",VLOOKUP($B15,'Indicator chart'!$D$1:$J$36,7,FALSE))</f>
        <v>0.25338808982439115</v>
      </c>
      <c r="H15" s="50">
        <f t="shared" si="0"/>
        <v>1</v>
      </c>
      <c r="I15" s="300" t="s">
        <v>598</v>
      </c>
      <c r="J15" s="300" t="s">
        <v>612</v>
      </c>
      <c r="K15" s="300" t="s">
        <v>633</v>
      </c>
      <c r="L15" s="300" t="s">
        <v>649</v>
      </c>
      <c r="M15" s="300" t="s">
        <v>670</v>
      </c>
      <c r="N15" s="80">
        <f>VLOOKUP('Hide - Control'!B$3,'All practice data'!A:CA,A15+29,FALSE)</f>
        <v>0.4624722716524876</v>
      </c>
      <c r="O15" s="80">
        <f>VLOOKUP('Hide - Control'!C$3,'All practice data'!A:CA,A15+29,FALSE)</f>
        <v>0.5744521249276766</v>
      </c>
      <c r="P15" s="38">
        <f>VLOOKUP('Hide - Control'!$B$4,'All practice data'!B:BC,A15+2,FALSE)</f>
        <v>18972</v>
      </c>
      <c r="Q15" s="38">
        <f>VLOOKUP('Hide - Control'!$B$4,'All practice data'!B:BJ,60,FALSE)</f>
        <v>41023</v>
      </c>
      <c r="R15" s="38">
        <f t="shared" si="17"/>
        <v>0.4576511398688455</v>
      </c>
      <c r="S15" s="38">
        <f t="shared" si="18"/>
        <v>0.4673004313483744</v>
      </c>
      <c r="T15" s="53" t="str">
        <f t="shared" si="16"/>
        <v>0.649335</v>
      </c>
      <c r="U15" s="51" t="str">
        <f t="shared" si="1"/>
        <v>0.118182</v>
      </c>
      <c r="V15" s="7"/>
      <c r="W15" s="27" t="str">
        <f t="shared" si="2"/>
        <v>0.118182</v>
      </c>
      <c r="X15" s="27">
        <f t="shared" si="3"/>
        <v>0.75166</v>
      </c>
      <c r="Y15" s="27" t="str">
        <f t="shared" si="4"/>
        <v>0.118182</v>
      </c>
      <c r="Z15" s="27">
        <f t="shared" si="5"/>
        <v>0.75166</v>
      </c>
      <c r="AA15" s="32">
        <f t="shared" si="6"/>
        <v>0</v>
      </c>
      <c r="AB15" s="33">
        <f t="shared" si="7"/>
        <v>0.3400228579366608</v>
      </c>
      <c r="AC15" s="33">
        <v>0.5</v>
      </c>
      <c r="AD15" s="33">
        <f t="shared" si="8"/>
        <v>0.585455217071469</v>
      </c>
      <c r="AE15" s="33">
        <f t="shared" si="9"/>
        <v>0.8384711071260564</v>
      </c>
      <c r="AF15" s="33">
        <f t="shared" si="10"/>
        <v>-999</v>
      </c>
      <c r="AG15" s="33">
        <f t="shared" si="11"/>
        <v>-999</v>
      </c>
      <c r="AH15" s="33">
        <f t="shared" si="12"/>
        <v>0.13257603263254608</v>
      </c>
      <c r="AI15" s="34">
        <f t="shared" si="13"/>
        <v>0.720261990041764</v>
      </c>
      <c r="AJ15" s="4">
        <v>11.310014695494289</v>
      </c>
      <c r="AK15" s="32">
        <f t="shared" si="14"/>
        <v>0.13257603263254608</v>
      </c>
      <c r="AL15" s="34">
        <f t="shared" si="15"/>
        <v>-999</v>
      </c>
      <c r="AY15" s="103" t="s">
        <v>508</v>
      </c>
      <c r="AZ15" s="103" t="s">
        <v>691</v>
      </c>
      <c r="BA15" s="103" t="s">
        <v>158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31</v>
      </c>
      <c r="E16" s="38">
        <f>IF(LEFT(VLOOKUP($B16,'Indicator chart'!$D$1:$J$36,5,FALSE),1)=" "," ",VLOOKUP($B16,'Indicator chart'!$D$1:$J$36,5,FALSE))</f>
        <v>0.172222</v>
      </c>
      <c r="F16" s="38">
        <f>IF(LEFT(VLOOKUP($B16,'Indicator chart'!$D$1:$J$36,6,FALSE),1)=" "," ",VLOOKUP($B16,'Indicator chart'!$D$1:$J$36,6,FALSE))</f>
        <v>0.12406319680495358</v>
      </c>
      <c r="G16" s="38">
        <f>IF(LEFT(VLOOKUP($B16,'Indicator chart'!$D$1:$J$36,7,FALSE),1)=" "," ",VLOOKUP($B16,'Indicator chart'!$D$1:$J$36,7,FALSE))</f>
        <v>0.23407990029602901</v>
      </c>
      <c r="H16" s="50">
        <f t="shared" si="0"/>
        <v>1</v>
      </c>
      <c r="I16" s="300" t="s">
        <v>583</v>
      </c>
      <c r="J16" s="300" t="s">
        <v>613</v>
      </c>
      <c r="K16" s="300" t="s">
        <v>582</v>
      </c>
      <c r="L16" s="300" t="s">
        <v>650</v>
      </c>
      <c r="M16" s="300" t="s">
        <v>671</v>
      </c>
      <c r="N16" s="80">
        <f>VLOOKUP('Hide - Control'!B$3,'All practice data'!A:CA,A16+29,FALSE)</f>
        <v>0.4321438606350098</v>
      </c>
      <c r="O16" s="80">
        <f>VLOOKUP('Hide - Control'!C$3,'All practice data'!A:CA,A16+29,FALSE)</f>
        <v>0.5565049054289257</v>
      </c>
      <c r="P16" s="38">
        <f>VLOOKUP('Hide - Control'!$B$4,'All practice data'!B:BC,A16+2,FALSE)</f>
        <v>10766</v>
      </c>
      <c r="Q16" s="38">
        <f>VLOOKUP('Hide - Control'!$B$4,'All practice data'!B:BJ,61,FALSE)</f>
        <v>24913</v>
      </c>
      <c r="R16" s="38">
        <f t="shared" si="17"/>
        <v>0.42600335345054413</v>
      </c>
      <c r="S16" s="38">
        <f t="shared" si="18"/>
        <v>0.43830529151030034</v>
      </c>
      <c r="T16" s="53" t="str">
        <f aca="true" t="shared" si="19" ref="T16:T31">IF($C16=1,M16,I16)</f>
        <v>0.606195</v>
      </c>
      <c r="U16" s="51" t="str">
        <f aca="true" t="shared" si="20" ref="U16:U31">IF($C16=1,I16,M16)</f>
        <v>0.133333</v>
      </c>
      <c r="V16" s="7"/>
      <c r="W16" s="27" t="str">
        <f t="shared" si="2"/>
        <v>0.133333</v>
      </c>
      <c r="X16" s="27">
        <f t="shared" si="3"/>
        <v>0.666667</v>
      </c>
      <c r="Y16" s="27" t="str">
        <f t="shared" si="4"/>
        <v>0.133333</v>
      </c>
      <c r="Z16" s="27">
        <f t="shared" si="5"/>
        <v>0.666667</v>
      </c>
      <c r="AA16" s="32">
        <f t="shared" si="6"/>
        <v>0</v>
      </c>
      <c r="AB16" s="33">
        <f t="shared" si="7"/>
        <v>0.3299517750602812</v>
      </c>
      <c r="AC16" s="33">
        <v>0.5</v>
      </c>
      <c r="AD16" s="33">
        <f t="shared" si="8"/>
        <v>0.6111611110486113</v>
      </c>
      <c r="AE16" s="33">
        <f t="shared" si="9"/>
        <v>0.8866151417310729</v>
      </c>
      <c r="AF16" s="33">
        <f t="shared" si="10"/>
        <v>-999</v>
      </c>
      <c r="AG16" s="33">
        <f t="shared" si="11"/>
        <v>-999</v>
      </c>
      <c r="AH16" s="33">
        <f t="shared" si="12"/>
        <v>0.07291678385402015</v>
      </c>
      <c r="AI16" s="34">
        <f t="shared" si="13"/>
        <v>0.7934463308713221</v>
      </c>
      <c r="AJ16" s="4">
        <v>12.386010120876215</v>
      </c>
      <c r="AK16" s="32">
        <f t="shared" si="14"/>
        <v>0.07291678385402015</v>
      </c>
      <c r="AL16" s="34">
        <f t="shared" si="15"/>
        <v>-999</v>
      </c>
      <c r="AY16" s="103" t="s">
        <v>402</v>
      </c>
      <c r="AZ16" s="103" t="s">
        <v>692</v>
      </c>
      <c r="BA16" s="103" t="s">
        <v>158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39</v>
      </c>
      <c r="E17" s="38">
        <f>IF(LEFT(VLOOKUP($B17,'Indicator chart'!$D$1:$J$36,5,FALSE),1)=" "," ",VLOOKUP($B17,'Indicator chart'!$D$1:$J$36,5,FALSE))</f>
        <v>534.6127484578478</v>
      </c>
      <c r="F17" s="38">
        <f>IF(LEFT(VLOOKUP($B17,'Indicator chart'!$D$1:$J$36,6,FALSE),1)=" "," ",VLOOKUP($B17,'Indicator chart'!$D$1:$J$36,6,FALSE))</f>
        <v>380.1137024025446</v>
      </c>
      <c r="G17" s="38">
        <f>IF(LEFT(VLOOKUP($B17,'Indicator chart'!$D$1:$J$36,7,FALSE),1)=" "," ",VLOOKUP($B17,'Indicator chart'!$D$1:$J$36,7,FALSE))</f>
        <v>730.8570009092283</v>
      </c>
      <c r="H17" s="50">
        <f t="shared" si="0"/>
        <v>1</v>
      </c>
      <c r="I17" s="300" t="s">
        <v>599</v>
      </c>
      <c r="J17" s="300" t="s">
        <v>614</v>
      </c>
      <c r="K17" s="300" t="s">
        <v>634</v>
      </c>
      <c r="L17" s="300" t="s">
        <v>651</v>
      </c>
      <c r="M17" s="300" t="s">
        <v>672</v>
      </c>
      <c r="N17" s="80">
        <f>VLOOKUP('Hide - Control'!B$3,'All practice data'!A:CA,A17+29,FALSE)</f>
        <v>1477.532339885261</v>
      </c>
      <c r="O17" s="80">
        <f>VLOOKUP('Hide - Control'!C$3,'All practice data'!A:CA,A17+29,FALSE)</f>
        <v>1981.9429445600304</v>
      </c>
      <c r="P17" s="38">
        <f>VLOOKUP('Hide - Control'!$B$4,'All practice data'!B:BC,A17+2,FALSE)</f>
        <v>7832</v>
      </c>
      <c r="Q17" s="38">
        <f>VLOOKUP('Hide - Control'!$B$4,'All practice data'!B:BC,3,FALSE)</f>
        <v>530073</v>
      </c>
      <c r="R17" s="38">
        <f>100000*(P17*(1-1/(9*P17)-1.96/(3*SQRT(P17)))^3)/Q17</f>
        <v>1444.9880913342602</v>
      </c>
      <c r="S17" s="38">
        <f>100000*((P17+1)*(1-1/(9*(P17+1))+1.96/(3*SQRT(P17+1)))^3)/Q17</f>
        <v>1510.6247103947078</v>
      </c>
      <c r="T17" s="53" t="str">
        <f t="shared" si="19"/>
        <v>3720.663995</v>
      </c>
      <c r="U17" s="51" t="str">
        <f t="shared" si="20"/>
        <v>300.1</v>
      </c>
      <c r="V17" s="7"/>
      <c r="W17" s="27">
        <f t="shared" si="2"/>
        <v>-1592.0839129999997</v>
      </c>
      <c r="X17" s="27" t="str">
        <f t="shared" si="3"/>
        <v>3720.663995</v>
      </c>
      <c r="Y17" s="27">
        <f t="shared" si="4"/>
        <v>-1592.0839129999997</v>
      </c>
      <c r="Z17" s="27" t="str">
        <f t="shared" si="5"/>
        <v>3720.663995</v>
      </c>
      <c r="AA17" s="32">
        <f t="shared" si="6"/>
        <v>0.3561591752077539</v>
      </c>
      <c r="AB17" s="33">
        <f t="shared" si="7"/>
        <v>0.4226774550922283</v>
      </c>
      <c r="AC17" s="33">
        <v>0.5</v>
      </c>
      <c r="AD17" s="33">
        <f t="shared" si="8"/>
        <v>0.6250928840420334</v>
      </c>
      <c r="AE17" s="33">
        <f t="shared" si="9"/>
        <v>1</v>
      </c>
      <c r="AF17" s="33">
        <f t="shared" si="10"/>
        <v>-999</v>
      </c>
      <c r="AG17" s="33">
        <f t="shared" si="11"/>
        <v>-999</v>
      </c>
      <c r="AH17" s="33">
        <f t="shared" si="12"/>
        <v>0.4003006915226379</v>
      </c>
      <c r="AI17" s="34">
        <f t="shared" si="13"/>
        <v>0.6727266039064677</v>
      </c>
      <c r="AJ17" s="4">
        <v>13.462005546258133</v>
      </c>
      <c r="AK17" s="32">
        <f t="shared" si="14"/>
        <v>0.4003006915226379</v>
      </c>
      <c r="AL17" s="34">
        <f t="shared" si="15"/>
        <v>-999</v>
      </c>
      <c r="AY17" s="103" t="s">
        <v>401</v>
      </c>
      <c r="AZ17" s="103" t="s">
        <v>693</v>
      </c>
      <c r="BA17" s="103" t="s">
        <v>158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39</v>
      </c>
      <c r="E18" s="80">
        <f>IF(LEFT(VLOOKUP($B18,'Indicator chart'!$D$1:$J$36,5,FALSE),1)=" "," ",VLOOKUP($B18,'Indicator chart'!$D$1:$J$36,5,FALSE))</f>
        <v>0.43770000000000003</v>
      </c>
      <c r="F18" s="81">
        <f>IF(LEFT(VLOOKUP($B18,'Indicator chart'!$D$1:$J$36,6,FALSE),1)=" "," ",VLOOKUP($B18,'Indicator chart'!$D$1:$J$36,6,FALSE))</f>
        <v>0.31120000000000003</v>
      </c>
      <c r="G18" s="38">
        <f>IF(LEFT(VLOOKUP($B18,'Indicator chart'!$D$1:$J$36,7,FALSE),1)=" "," ",VLOOKUP($B18,'Indicator chart'!$D$1:$J$36,7,FALSE))</f>
        <v>0.5982999999999999</v>
      </c>
      <c r="H18" s="50">
        <f>IF(LEFT(F18,1)=" ",4,IF(AND(ABS(N18-E18)&gt;SQRT((E18-G18)^2+(N18-R18)^2),E18&lt;N18),1,IF(AND(ABS(N18-E18)&gt;SQRT((E18-F18)^2+(N18-S18)^2),E18&gt;N18),3,2)))</f>
        <v>1</v>
      </c>
      <c r="I18" s="300" t="s">
        <v>600</v>
      </c>
      <c r="J18" s="300"/>
      <c r="K18" s="300" t="s">
        <v>334</v>
      </c>
      <c r="L18" s="300"/>
      <c r="M18" s="300" t="s">
        <v>673</v>
      </c>
      <c r="N18" s="80">
        <v>1</v>
      </c>
      <c r="O18" s="80">
        <f>VLOOKUP('Hide - Control'!C$3,'All practice data'!A:CA,A18+29,FALSE)</f>
        <v>1</v>
      </c>
      <c r="P18" s="38">
        <f>VLOOKUP('Hide - Control'!$B$4,'All practice data'!B:BC,A18+2,FALSE)</f>
        <v>7832</v>
      </c>
      <c r="Q18" s="38">
        <f>VLOOKUP('Hide - Control'!$B$4,'All practice data'!B:BC,14,FALSE)</f>
        <v>7832</v>
      </c>
      <c r="R18" s="81">
        <v>1</v>
      </c>
      <c r="S18" s="38">
        <v>1</v>
      </c>
      <c r="T18" s="53" t="str">
        <f t="shared" si="19"/>
        <v>1.5195</v>
      </c>
      <c r="U18" s="51" t="str">
        <f t="shared" si="20"/>
        <v>0.1937</v>
      </c>
      <c r="V18" s="7"/>
      <c r="W18" s="27" t="str">
        <f>IF((K18-I18)&gt;(M18-K18),I18,(K18-(M18-K18)))</f>
        <v>0.1937</v>
      </c>
      <c r="X18" s="27">
        <f t="shared" si="3"/>
        <v>1.8063</v>
      </c>
      <c r="Y18" s="27" t="str">
        <f t="shared" si="4"/>
        <v>0.1937</v>
      </c>
      <c r="Z18" s="27">
        <f t="shared" si="5"/>
        <v>1.8063</v>
      </c>
      <c r="AA18" s="32" t="s">
        <v>158</v>
      </c>
      <c r="AB18" s="33" t="s">
        <v>158</v>
      </c>
      <c r="AC18" s="33">
        <v>0.5</v>
      </c>
      <c r="AD18" s="33" t="s">
        <v>158</v>
      </c>
      <c r="AE18" s="33" t="s">
        <v>158</v>
      </c>
      <c r="AF18" s="33">
        <f t="shared" si="10"/>
        <v>-999</v>
      </c>
      <c r="AG18" s="33">
        <f t="shared" si="11"/>
        <v>-999</v>
      </c>
      <c r="AH18" s="33">
        <f t="shared" si="12"/>
        <v>0.15130844598784574</v>
      </c>
      <c r="AI18" s="34">
        <v>0.5</v>
      </c>
      <c r="AJ18" s="4">
        <v>14.538000971640056</v>
      </c>
      <c r="AK18" s="32">
        <f t="shared" si="14"/>
        <v>0.15130844598784574</v>
      </c>
      <c r="AL18" s="34">
        <f t="shared" si="15"/>
        <v>-999</v>
      </c>
      <c r="AY18" s="103" t="s">
        <v>407</v>
      </c>
      <c r="AZ18" s="103" t="s">
        <v>694</v>
      </c>
      <c r="BA18" s="103" t="s">
        <v>158</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576</v>
      </c>
      <c r="J19" s="300" t="s">
        <v>615</v>
      </c>
      <c r="K19" s="300" t="s">
        <v>635</v>
      </c>
      <c r="L19" s="300" t="s">
        <v>652</v>
      </c>
      <c r="M19" s="300" t="s">
        <v>586</v>
      </c>
      <c r="N19" s="80">
        <f>VLOOKUP('Hide - Control'!B$3,'All practice data'!A:CA,A19+29,FALSE)</f>
        <v>0.0975485188968335</v>
      </c>
      <c r="O19" s="80">
        <f>VLOOKUP('Hide - Control'!C$3,'All practice data'!A:CA,A19+29,FALSE)</f>
        <v>0.10567469035419712</v>
      </c>
      <c r="P19" s="38">
        <f>VLOOKUP('Hide - Control'!$B$4,'All practice data'!B:BC,A19+2,FALSE)</f>
        <v>764</v>
      </c>
      <c r="Q19" s="38">
        <f>VLOOKUP('Hide - Control'!$B$4,'All practice data'!B:BC,15,FALSE)</f>
        <v>7832</v>
      </c>
      <c r="R19" s="38">
        <f>+((2*P19+1.96^2-1.96*SQRT(1.96^2+4*P19*(1-P19/Q19)))/(2*(Q19+1.96^2)))</f>
        <v>0.09117331413596548</v>
      </c>
      <c r="S19" s="38">
        <f>+((2*P19+1.96^2+1.96*SQRT(1.96^2+4*P19*(1-P19/Q19)))/(2*(Q19+1.96^2)))</f>
        <v>0.10431833541447975</v>
      </c>
      <c r="T19" s="53" t="str">
        <f t="shared" si="19"/>
        <v>0.28</v>
      </c>
      <c r="U19" s="51" t="str">
        <f t="shared" si="20"/>
        <v>0.0302492</v>
      </c>
      <c r="V19" s="7"/>
      <c r="W19" s="27">
        <f t="shared" si="2"/>
        <v>-0.09176470600000003</v>
      </c>
      <c r="X19" s="27" t="str">
        <f t="shared" si="3"/>
        <v>0.28</v>
      </c>
      <c r="Y19" s="27">
        <f t="shared" si="4"/>
        <v>-0.09176470600000003</v>
      </c>
      <c r="Z19" s="27" t="str">
        <f t="shared" si="5"/>
        <v>0.28</v>
      </c>
      <c r="AA19" s="32">
        <f t="shared" si="6"/>
        <v>0.3282019622379108</v>
      </c>
      <c r="AB19" s="33">
        <f t="shared" si="7"/>
        <v>0.39627285652016686</v>
      </c>
      <c r="AC19" s="33">
        <v>0.5</v>
      </c>
      <c r="AD19" s="33">
        <f t="shared" si="8"/>
        <v>0.6068234782889799</v>
      </c>
      <c r="AE19" s="33">
        <f t="shared" si="9"/>
        <v>1</v>
      </c>
      <c r="AF19" s="33">
        <f t="shared" si="10"/>
        <v>-999</v>
      </c>
      <c r="AG19" s="33">
        <f t="shared" si="11"/>
        <v>-999</v>
      </c>
      <c r="AH19" s="33">
        <f t="shared" si="12"/>
        <v>-999</v>
      </c>
      <c r="AI19" s="34">
        <f t="shared" si="13"/>
        <v>0.5310869836960723</v>
      </c>
      <c r="AJ19" s="4">
        <v>15.61399639702198</v>
      </c>
      <c r="AK19" s="32">
        <f t="shared" si="14"/>
        <v>-999</v>
      </c>
      <c r="AL19" s="34">
        <f t="shared" si="15"/>
        <v>-999</v>
      </c>
      <c r="AY19" s="103" t="s">
        <v>408</v>
      </c>
      <c r="AZ19" s="103" t="s">
        <v>695</v>
      </c>
      <c r="BA19" s="103" t="s">
        <v>158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577</v>
      </c>
      <c r="J20" s="300" t="s">
        <v>616</v>
      </c>
      <c r="K20" s="300" t="s">
        <v>593</v>
      </c>
      <c r="L20" s="300" t="s">
        <v>653</v>
      </c>
      <c r="M20" s="300" t="s">
        <v>334</v>
      </c>
      <c r="N20" s="80">
        <f>VLOOKUP('Hide - Control'!B$3,'All practice data'!A:CA,A20+29,FALSE)</f>
        <v>0.38391959798994973</v>
      </c>
      <c r="O20" s="80">
        <f>VLOOKUP('Hide - Control'!C$3,'All practice data'!A:CA,A20+29,FALSE)</f>
        <v>0.46478295325177904</v>
      </c>
      <c r="P20" s="38">
        <f>VLOOKUP('Hide - Control'!$B$4,'All practice data'!B:BC,A20+1,FALSE)</f>
        <v>764</v>
      </c>
      <c r="Q20" s="38">
        <f>VLOOKUP('Hide - Control'!$B$4,'All practice data'!B:BC,A20+2,FALSE)</f>
        <v>1990</v>
      </c>
      <c r="R20" s="38">
        <f>+((2*P20+1.96^2-1.96*SQRT(1.96^2+4*P20*(1-P20/Q20)))/(2*(Q20+1.96^2)))</f>
        <v>0.3627944564691155</v>
      </c>
      <c r="S20" s="38">
        <f>+((2*P20+1.96^2+1.96*SQRT(1.96^2+4*P20*(1-P20/Q20)))/(2*(Q20+1.96^2)))</f>
        <v>0.405492051345748</v>
      </c>
      <c r="T20" s="53" t="str">
        <f t="shared" si="19"/>
        <v>1</v>
      </c>
      <c r="U20" s="51" t="str">
        <f t="shared" si="20"/>
        <v>0.148231</v>
      </c>
      <c r="V20" s="7"/>
      <c r="W20" s="27">
        <f t="shared" si="2"/>
        <v>-0.26315789399999995</v>
      </c>
      <c r="X20" s="27" t="str">
        <f t="shared" si="3"/>
        <v>1</v>
      </c>
      <c r="Y20" s="27">
        <f t="shared" si="4"/>
        <v>-0.26315789399999995</v>
      </c>
      <c r="Z20" s="27" t="str">
        <f t="shared" si="5"/>
        <v>1</v>
      </c>
      <c r="AA20" s="32">
        <f t="shared" si="6"/>
        <v>0.32568287460664835</v>
      </c>
      <c r="AB20" s="33">
        <f t="shared" si="7"/>
        <v>0.35946969666802403</v>
      </c>
      <c r="AC20" s="33">
        <v>0.5</v>
      </c>
      <c r="AD20" s="33">
        <f t="shared" si="8"/>
        <v>0.5641121029957321</v>
      </c>
      <c r="AE20" s="33">
        <f t="shared" si="9"/>
        <v>1</v>
      </c>
      <c r="AF20" s="33">
        <f t="shared" si="10"/>
        <v>-999</v>
      </c>
      <c r="AG20" s="33">
        <f t="shared" si="11"/>
        <v>-999</v>
      </c>
      <c r="AH20" s="33">
        <f t="shared" si="12"/>
        <v>-999</v>
      </c>
      <c r="AI20" s="34">
        <f t="shared" si="13"/>
        <v>0.5762865044104922</v>
      </c>
      <c r="AJ20" s="4">
        <v>16.689991822403904</v>
      </c>
      <c r="AK20" s="32">
        <f t="shared" si="14"/>
        <v>-999</v>
      </c>
      <c r="AL20" s="34">
        <f t="shared" si="15"/>
        <v>-999</v>
      </c>
      <c r="AY20" s="103" t="s">
        <v>410</v>
      </c>
      <c r="AZ20" s="103" t="s">
        <v>696</v>
      </c>
      <c r="BA20" s="103" t="s">
        <v>158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219.32830705962988</v>
      </c>
      <c r="F21" s="38">
        <f>IF(LEFT(VLOOKUP($B21,'Indicator chart'!$D$1:$J$36,6,FALSE),1)=" "," ",VLOOKUP($B21,'Indicator chart'!$D$1:$J$36,6,FALSE))</f>
        <v>125.28320411785892</v>
      </c>
      <c r="G21" s="38">
        <f>IF(LEFT(VLOOKUP($B21,'Indicator chart'!$D$1:$J$36,7,FALSE),1)=" "," ",VLOOKUP($B21,'Indicator chart'!$D$1:$J$36,7,FALSE))</f>
        <v>356.1978784846044</v>
      </c>
      <c r="H21" s="50">
        <f t="shared" si="0"/>
        <v>1</v>
      </c>
      <c r="I21" s="300" t="s">
        <v>578</v>
      </c>
      <c r="J21" s="300" t="s">
        <v>617</v>
      </c>
      <c r="K21" s="300" t="s">
        <v>636</v>
      </c>
      <c r="L21" s="300" t="s">
        <v>654</v>
      </c>
      <c r="M21" s="300" t="s">
        <v>674</v>
      </c>
      <c r="N21" s="80">
        <f>VLOOKUP('Hide - Control'!B$3,'All practice data'!A:CA,A21+29,FALSE)</f>
        <v>403.3406719451849</v>
      </c>
      <c r="O21" s="80">
        <f>VLOOKUP('Hide - Control'!C$3,'All practice data'!A:CA,A21+29,FALSE)</f>
        <v>371.7205735004512</v>
      </c>
      <c r="P21" s="38">
        <f>VLOOKUP('Hide - Control'!$B$4,'All practice data'!B:BC,A21+2,FALSE)</f>
        <v>2138</v>
      </c>
      <c r="Q21" s="38">
        <f>VLOOKUP('Hide - Control'!$B$4,'All practice data'!B:BC,3,FALSE)</f>
        <v>530073</v>
      </c>
      <c r="R21" s="38">
        <f aca="true" t="shared" si="21" ref="R21:R27">100000*(P21*(1-1/(9*P21)-1.96/(3*SQRT(P21)))^3)/Q21</f>
        <v>386.4228239204445</v>
      </c>
      <c r="S21" s="38">
        <f aca="true" t="shared" si="22" ref="S21:S27">100000*((P21+1)*(1-1/(9*(P21+1))+1.96/(3*SQRT(P21+1)))^3)/Q21</f>
        <v>420.8085374843106</v>
      </c>
      <c r="T21" s="53" t="str">
        <f t="shared" si="19"/>
        <v>841.0845043</v>
      </c>
      <c r="U21" s="51" t="str">
        <f t="shared" si="20"/>
        <v>91.7192</v>
      </c>
      <c r="V21" s="7"/>
      <c r="W21" s="27">
        <f t="shared" si="2"/>
        <v>-127.81774250000001</v>
      </c>
      <c r="X21" s="27" t="str">
        <f t="shared" si="3"/>
        <v>841.0845043</v>
      </c>
      <c r="Y21" s="27">
        <f t="shared" si="4"/>
        <v>-127.81774250000001</v>
      </c>
      <c r="Z21" s="27" t="str">
        <f t="shared" si="5"/>
        <v>841.0845043</v>
      </c>
      <c r="AA21" s="32">
        <f t="shared" si="6"/>
        <v>0.2265831699999315</v>
      </c>
      <c r="AB21" s="33">
        <f t="shared" si="7"/>
        <v>0.3717840663386931</v>
      </c>
      <c r="AC21" s="33">
        <v>0.5</v>
      </c>
      <c r="AD21" s="33">
        <f t="shared" si="8"/>
        <v>0.6266549047701103</v>
      </c>
      <c r="AE21" s="33">
        <f t="shared" si="9"/>
        <v>1</v>
      </c>
      <c r="AF21" s="33">
        <f t="shared" si="10"/>
        <v>-999</v>
      </c>
      <c r="AG21" s="33">
        <f t="shared" si="11"/>
        <v>-999</v>
      </c>
      <c r="AH21" s="33">
        <f t="shared" si="12"/>
        <v>0.3582880014017425</v>
      </c>
      <c r="AI21" s="34">
        <f t="shared" si="13"/>
        <v>0.5155714290582768</v>
      </c>
      <c r="AJ21" s="4">
        <v>17.765987247785823</v>
      </c>
      <c r="AK21" s="32">
        <f t="shared" si="14"/>
        <v>0.3582880014017425</v>
      </c>
      <c r="AL21" s="34">
        <f t="shared" si="15"/>
        <v>-999</v>
      </c>
      <c r="AY21" s="103" t="s">
        <v>403</v>
      </c>
      <c r="AZ21" s="103" t="s">
        <v>697</v>
      </c>
      <c r="BA21" s="103" t="s">
        <v>158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95.95613433858807</v>
      </c>
      <c r="F22" s="38">
        <f>IF(LEFT(VLOOKUP($B22,'Indicator chart'!$D$1:$J$36,6,FALSE),1)=" "," ",VLOOKUP($B22,'Indicator chart'!$D$1:$J$36,6,FALSE))</f>
        <v>38.442479788600664</v>
      </c>
      <c r="G22" s="38">
        <f>IF(LEFT(VLOOKUP($B22,'Indicator chart'!$D$1:$J$36,7,FALSE),1)=" "," ",VLOOKUP($B22,'Indicator chart'!$D$1:$J$36,7,FALSE))</f>
        <v>197.716428489214</v>
      </c>
      <c r="H22" s="50">
        <f t="shared" si="0"/>
        <v>1</v>
      </c>
      <c r="I22" s="300" t="s">
        <v>569</v>
      </c>
      <c r="J22" s="300" t="s">
        <v>618</v>
      </c>
      <c r="K22" s="300" t="s">
        <v>628</v>
      </c>
      <c r="L22" s="300" t="s">
        <v>655</v>
      </c>
      <c r="M22" s="300" t="s">
        <v>675</v>
      </c>
      <c r="N22" s="80">
        <f>VLOOKUP('Hide - Control'!B$3,'All practice data'!A:CA,A22+29,FALSE)</f>
        <v>221.66758163498235</v>
      </c>
      <c r="O22" s="80">
        <f>VLOOKUP('Hide - Control'!C$3,'All practice data'!A:CA,A22+29,FALSE)</f>
        <v>335.00369307827617</v>
      </c>
      <c r="P22" s="38">
        <f>VLOOKUP('Hide - Control'!$B$4,'All practice data'!B:BC,A22+2,FALSE)</f>
        <v>1175</v>
      </c>
      <c r="Q22" s="38">
        <f>VLOOKUP('Hide - Control'!$B$4,'All practice data'!B:BC,3,FALSE)</f>
        <v>530073</v>
      </c>
      <c r="R22" s="38">
        <f t="shared" si="21"/>
        <v>209.17237166999675</v>
      </c>
      <c r="S22" s="38">
        <f t="shared" si="22"/>
        <v>234.71418854639103</v>
      </c>
      <c r="T22" s="53" t="str">
        <f t="shared" si="19"/>
        <v>801.3737836</v>
      </c>
      <c r="U22" s="51" t="str">
        <f t="shared" si="20"/>
        <v>46.7199</v>
      </c>
      <c r="V22" s="7"/>
      <c r="W22" s="27">
        <f t="shared" si="2"/>
        <v>-516.4734986000001</v>
      </c>
      <c r="X22" s="27" t="str">
        <f t="shared" si="3"/>
        <v>801.3737836</v>
      </c>
      <c r="Y22" s="27">
        <f t="shared" si="4"/>
        <v>-516.4734986000001</v>
      </c>
      <c r="Z22" s="27" t="str">
        <f t="shared" si="5"/>
        <v>801.3737836</v>
      </c>
      <c r="AA22" s="32">
        <f t="shared" si="6"/>
        <v>0.42735862205506175</v>
      </c>
      <c r="AB22" s="33">
        <f t="shared" si="7"/>
        <v>0.4304463950807851</v>
      </c>
      <c r="AC22" s="33">
        <v>0.5</v>
      </c>
      <c r="AD22" s="33">
        <f t="shared" si="8"/>
        <v>0.6101028371495169</v>
      </c>
      <c r="AE22" s="33">
        <f t="shared" si="9"/>
        <v>1</v>
      </c>
      <c r="AF22" s="33">
        <f t="shared" si="10"/>
        <v>-999</v>
      </c>
      <c r="AG22" s="33">
        <f t="shared" si="11"/>
        <v>-999</v>
      </c>
      <c r="AH22" s="33">
        <f t="shared" si="12"/>
        <v>0.4647197298280304</v>
      </c>
      <c r="AI22" s="34">
        <f t="shared" si="13"/>
        <v>0.6461121885510356</v>
      </c>
      <c r="AJ22" s="4">
        <v>18.841982673167745</v>
      </c>
      <c r="AK22" s="32">
        <f t="shared" si="14"/>
        <v>0.4647197298280304</v>
      </c>
      <c r="AL22" s="34">
        <f t="shared" si="15"/>
        <v>-999</v>
      </c>
      <c r="AY22" s="103" t="s">
        <v>412</v>
      </c>
      <c r="AZ22" s="103" t="s">
        <v>698</v>
      </c>
      <c r="BA22" s="103" t="s">
        <v>158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570</v>
      </c>
      <c r="J23" s="300" t="s">
        <v>333</v>
      </c>
      <c r="K23" s="300" t="s">
        <v>637</v>
      </c>
      <c r="L23" s="300" t="s">
        <v>656</v>
      </c>
      <c r="M23" s="300" t="s">
        <v>676</v>
      </c>
      <c r="N23" s="80">
        <f>VLOOKUP('Hide - Control'!B$3,'All practice data'!A:CA,A23+29,FALSE)</f>
        <v>28.10933588392542</v>
      </c>
      <c r="O23" s="80">
        <f>VLOOKUP('Hide - Control'!C$3,'All practice data'!A:CA,A23+29,FALSE)</f>
        <v>77.58854188249504</v>
      </c>
      <c r="P23" s="38">
        <f>VLOOKUP('Hide - Control'!$B$4,'All practice data'!B:BC,A23+2,FALSE)</f>
        <v>149</v>
      </c>
      <c r="Q23" s="38">
        <f>VLOOKUP('Hide - Control'!$B$4,'All practice data'!B:BC,3,FALSE)</f>
        <v>530073</v>
      </c>
      <c r="R23" s="38">
        <f t="shared" si="21"/>
        <v>23.776813255875986</v>
      </c>
      <c r="S23" s="38">
        <f t="shared" si="22"/>
        <v>33.00275957787216</v>
      </c>
      <c r="T23" s="53" t="str">
        <f t="shared" si="19"/>
        <v>228.9639382</v>
      </c>
      <c r="U23" s="51" t="str">
        <f t="shared" si="20"/>
        <v>4.27442</v>
      </c>
      <c r="V23" s="7"/>
      <c r="W23" s="27">
        <f t="shared" si="2"/>
        <v>-194.96189808</v>
      </c>
      <c r="X23" s="27" t="str">
        <f t="shared" si="3"/>
        <v>228.9639382</v>
      </c>
      <c r="Y23" s="27">
        <f t="shared" si="4"/>
        <v>-194.96189808</v>
      </c>
      <c r="Z23" s="27" t="str">
        <f t="shared" si="5"/>
        <v>228.9639382</v>
      </c>
      <c r="AA23" s="32">
        <f t="shared" si="6"/>
        <v>0.4699791827464977</v>
      </c>
      <c r="AB23" s="33">
        <f t="shared" si="7"/>
        <v>0.4598962398489651</v>
      </c>
      <c r="AC23" s="33">
        <v>0.5</v>
      </c>
      <c r="AD23" s="33">
        <f t="shared" si="8"/>
        <v>0.5488516085778776</v>
      </c>
      <c r="AE23" s="33">
        <f t="shared" si="9"/>
        <v>1</v>
      </c>
      <c r="AF23" s="33">
        <f t="shared" si="10"/>
        <v>-999</v>
      </c>
      <c r="AG23" s="33">
        <f t="shared" si="11"/>
        <v>-999</v>
      </c>
      <c r="AH23" s="33">
        <f t="shared" si="12"/>
        <v>-999</v>
      </c>
      <c r="AI23" s="34">
        <f t="shared" si="13"/>
        <v>0.6429200974259031</v>
      </c>
      <c r="AJ23" s="4">
        <v>19.917978098549675</v>
      </c>
      <c r="AK23" s="32">
        <f t="shared" si="14"/>
        <v>-999</v>
      </c>
      <c r="AL23" s="34">
        <f t="shared" si="15"/>
        <v>-999</v>
      </c>
      <c r="AY23" s="103" t="s">
        <v>400</v>
      </c>
      <c r="AZ23" s="103" t="s">
        <v>699</v>
      </c>
      <c r="BA23" s="103" t="s">
        <v>158</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571</v>
      </c>
      <c r="J24" s="300" t="s">
        <v>619</v>
      </c>
      <c r="K24" s="300" t="s">
        <v>638</v>
      </c>
      <c r="L24" s="300" t="s">
        <v>657</v>
      </c>
      <c r="M24" s="300" t="s">
        <v>677</v>
      </c>
      <c r="N24" s="80">
        <f>VLOOKUP('Hide - Control'!B$3,'All practice data'!A:CA,A24+29,FALSE)</f>
        <v>179.40925117861124</v>
      </c>
      <c r="O24" s="80">
        <f>VLOOKUP('Hide - Control'!C$3,'All practice data'!A:CA,A24+29,FALSE)</f>
        <v>348.7732030109763</v>
      </c>
      <c r="P24" s="38">
        <f>VLOOKUP('Hide - Control'!$B$4,'All practice data'!B:BC,A24+2,FALSE)</f>
        <v>951</v>
      </c>
      <c r="Q24" s="38">
        <f>VLOOKUP('Hide - Control'!$B$4,'All practice data'!B:BC,3,FALSE)</f>
        <v>530073</v>
      </c>
      <c r="R24" s="38">
        <f t="shared" si="21"/>
        <v>168.18610362411263</v>
      </c>
      <c r="S24" s="38">
        <f t="shared" si="22"/>
        <v>191.18438907680664</v>
      </c>
      <c r="T24" s="53" t="str">
        <f t="shared" si="19"/>
        <v>840.7969293</v>
      </c>
      <c r="U24" s="51" t="str">
        <f t="shared" si="20"/>
        <v>51.2058</v>
      </c>
      <c r="V24" s="7"/>
      <c r="W24" s="27">
        <f t="shared" si="2"/>
        <v>-644.28501576</v>
      </c>
      <c r="X24" s="27" t="str">
        <f t="shared" si="3"/>
        <v>840.7969293</v>
      </c>
      <c r="Y24" s="27">
        <f t="shared" si="4"/>
        <v>-644.28501576</v>
      </c>
      <c r="Z24" s="27" t="str">
        <f t="shared" si="5"/>
        <v>840.7969293</v>
      </c>
      <c r="AA24" s="32">
        <f t="shared" si="6"/>
        <v>0.4683181410113372</v>
      </c>
      <c r="AB24" s="33">
        <f t="shared" si="7"/>
        <v>0.45890502327295196</v>
      </c>
      <c r="AC24" s="33">
        <v>0.5</v>
      </c>
      <c r="AD24" s="33">
        <f t="shared" si="8"/>
        <v>0.5829750959129878</v>
      </c>
      <c r="AE24" s="33">
        <f t="shared" si="9"/>
        <v>1</v>
      </c>
      <c r="AF24" s="33">
        <f t="shared" si="10"/>
        <v>-999</v>
      </c>
      <c r="AG24" s="33">
        <f t="shared" si="11"/>
        <v>-999</v>
      </c>
      <c r="AH24" s="33">
        <f t="shared" si="12"/>
        <v>-999</v>
      </c>
      <c r="AI24" s="34">
        <f t="shared" si="13"/>
        <v>0.6686891737350258</v>
      </c>
      <c r="AJ24" s="4">
        <v>20.99397352393159</v>
      </c>
      <c r="AK24" s="32">
        <f t="shared" si="14"/>
        <v>-999</v>
      </c>
      <c r="AL24" s="34">
        <f t="shared" si="15"/>
        <v>-999</v>
      </c>
      <c r="AY24" s="103" t="s">
        <v>388</v>
      </c>
      <c r="AZ24" s="103" t="s">
        <v>700</v>
      </c>
      <c r="BA24" s="103" t="s">
        <v>158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v>
      </c>
      <c r="E25" s="38">
        <f>IF(LEFT(VLOOKUP($B25,'Indicator chart'!$D$1:$J$36,5,FALSE),1)=" "," ",VLOOKUP($B25,'Indicator chart'!$D$1:$J$36,5,FALSE))</f>
        <v>82.2481151473612</v>
      </c>
      <c r="F25" s="38">
        <f>IF(LEFT(VLOOKUP($B25,'Indicator chart'!$D$1:$J$36,6,FALSE),1)=" "," ",VLOOKUP($B25,'Indicator chart'!$D$1:$J$36,6,FALSE))</f>
        <v>30.033457720132688</v>
      </c>
      <c r="G25" s="38">
        <f>IF(LEFT(VLOOKUP($B25,'Indicator chart'!$D$1:$J$36,7,FALSE),1)=" "," ",VLOOKUP($B25,'Indicator chart'!$D$1:$J$36,7,FALSE))</f>
        <v>179.0252949784477</v>
      </c>
      <c r="H25" s="50">
        <f t="shared" si="0"/>
        <v>1</v>
      </c>
      <c r="I25" s="300" t="s">
        <v>601</v>
      </c>
      <c r="J25" s="300" t="s">
        <v>620</v>
      </c>
      <c r="K25" s="300" t="s">
        <v>639</v>
      </c>
      <c r="L25" s="300" t="s">
        <v>658</v>
      </c>
      <c r="M25" s="300" t="s">
        <v>675</v>
      </c>
      <c r="N25" s="80">
        <f>VLOOKUP('Hide - Control'!B$3,'All practice data'!A:CA,A25+29,FALSE)</f>
        <v>254.11594252112445</v>
      </c>
      <c r="O25" s="80">
        <f>VLOOKUP('Hide - Control'!C$3,'All practice data'!A:CA,A25+29,FALSE)</f>
        <v>623.2878522577265</v>
      </c>
      <c r="P25" s="38">
        <f>VLOOKUP('Hide - Control'!$B$4,'All practice data'!B:BC,A25+2,FALSE)</f>
        <v>1347</v>
      </c>
      <c r="Q25" s="38">
        <f>VLOOKUP('Hide - Control'!$B$4,'All practice data'!B:BC,3,FALSE)</f>
        <v>530073</v>
      </c>
      <c r="R25" s="38">
        <f t="shared" si="21"/>
        <v>240.72466495143385</v>
      </c>
      <c r="S25" s="38">
        <f t="shared" si="22"/>
        <v>268.0582653860323</v>
      </c>
      <c r="T25" s="53" t="str">
        <f t="shared" si="19"/>
        <v>801.3737836</v>
      </c>
      <c r="U25" s="51" t="str">
        <f t="shared" si="20"/>
        <v>61.356</v>
      </c>
      <c r="V25" s="7"/>
      <c r="W25" s="27">
        <f t="shared" si="2"/>
        <v>-366.7486478000001</v>
      </c>
      <c r="X25" s="27" t="str">
        <f t="shared" si="3"/>
        <v>801.3737836</v>
      </c>
      <c r="Y25" s="27">
        <f t="shared" si="4"/>
        <v>-366.7486478000001</v>
      </c>
      <c r="Z25" s="27" t="str">
        <f t="shared" si="5"/>
        <v>801.3737836</v>
      </c>
      <c r="AA25" s="32">
        <f t="shared" si="6"/>
        <v>0.3664895359358134</v>
      </c>
      <c r="AB25" s="33">
        <f t="shared" si="7"/>
        <v>0.4021752916232887</v>
      </c>
      <c r="AC25" s="33">
        <v>0.5</v>
      </c>
      <c r="AD25" s="33">
        <f t="shared" si="8"/>
        <v>0.6030694367847237</v>
      </c>
      <c r="AE25" s="33">
        <f t="shared" si="9"/>
        <v>1</v>
      </c>
      <c r="AF25" s="33">
        <f t="shared" si="10"/>
        <v>-999</v>
      </c>
      <c r="AG25" s="33">
        <f t="shared" si="11"/>
        <v>-999</v>
      </c>
      <c r="AH25" s="33">
        <f t="shared" si="12"/>
        <v>0.3843747460694138</v>
      </c>
      <c r="AI25" s="34">
        <f t="shared" si="13"/>
        <v>0.8475451489028965</v>
      </c>
      <c r="AJ25" s="4">
        <v>22.06996894931352</v>
      </c>
      <c r="AK25" s="32">
        <f t="shared" si="14"/>
        <v>0.3843747460694138</v>
      </c>
      <c r="AL25" s="34">
        <f t="shared" si="15"/>
        <v>-999</v>
      </c>
      <c r="AY25" s="103" t="s">
        <v>413</v>
      </c>
      <c r="AZ25" s="103" t="s">
        <v>701</v>
      </c>
      <c r="BA25" s="103" t="s">
        <v>158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150.78821110349554</v>
      </c>
      <c r="F26" s="38">
        <f>IF(LEFT(VLOOKUP($B26,'Indicator chart'!$D$1:$J$36,6,FALSE),1)=" "," ",VLOOKUP($B26,'Indicator chart'!$D$1:$J$36,6,FALSE))</f>
        <v>75.1695010142671</v>
      </c>
      <c r="G26" s="38">
        <f>IF(LEFT(VLOOKUP($B26,'Indicator chart'!$D$1:$J$36,7,FALSE),1)=" "," ",VLOOKUP($B26,'Indicator chart'!$D$1:$J$36,7,FALSE))</f>
        <v>269.82057079388386</v>
      </c>
      <c r="H26" s="50">
        <f t="shared" si="0"/>
        <v>1</v>
      </c>
      <c r="I26" s="300" t="s">
        <v>602</v>
      </c>
      <c r="J26" s="300" t="s">
        <v>621</v>
      </c>
      <c r="K26" s="300" t="s">
        <v>640</v>
      </c>
      <c r="L26" s="300" t="s">
        <v>659</v>
      </c>
      <c r="M26" s="300" t="s">
        <v>678</v>
      </c>
      <c r="N26" s="80">
        <f>VLOOKUP('Hide - Control'!B$3,'All practice data'!A:CA,A26+29,FALSE)</f>
        <v>484.2729208995742</v>
      </c>
      <c r="O26" s="80">
        <f>VLOOKUP('Hide - Control'!C$3,'All practice data'!A:CA,A26+29,FALSE)</f>
        <v>432.5467854266958</v>
      </c>
      <c r="P26" s="38">
        <f>VLOOKUP('Hide - Control'!$B$4,'All practice data'!B:BC,A26+2,FALSE)</f>
        <v>2567</v>
      </c>
      <c r="Q26" s="38">
        <f>VLOOKUP('Hide - Control'!$B$4,'All practice data'!B:BC,3,FALSE)</f>
        <v>530073</v>
      </c>
      <c r="R26" s="38">
        <f t="shared" si="21"/>
        <v>465.71806785206996</v>
      </c>
      <c r="S26" s="38">
        <f t="shared" si="22"/>
        <v>503.3774452678359</v>
      </c>
      <c r="T26" s="53" t="str">
        <f t="shared" si="19"/>
        <v>1394.083645</v>
      </c>
      <c r="U26" s="51" t="str">
        <f t="shared" si="20"/>
        <v>81.808</v>
      </c>
      <c r="V26" s="7"/>
      <c r="W26" s="27">
        <f t="shared" si="2"/>
        <v>-618.1379611999998</v>
      </c>
      <c r="X26" s="27" t="str">
        <f t="shared" si="3"/>
        <v>1394.083645</v>
      </c>
      <c r="Y26" s="27">
        <f t="shared" si="4"/>
        <v>-618.1379611999998</v>
      </c>
      <c r="Z26" s="27" t="str">
        <f t="shared" si="5"/>
        <v>1394.083645</v>
      </c>
      <c r="AA26" s="32">
        <f t="shared" si="6"/>
        <v>0.34784735391139143</v>
      </c>
      <c r="AB26" s="33">
        <f t="shared" si="7"/>
        <v>0.4361698087306821</v>
      </c>
      <c r="AC26" s="33">
        <v>0.5</v>
      </c>
      <c r="AD26" s="33">
        <f t="shared" si="8"/>
        <v>0.6084947822483032</v>
      </c>
      <c r="AE26" s="33">
        <f t="shared" si="9"/>
        <v>1</v>
      </c>
      <c r="AF26" s="33">
        <f t="shared" si="10"/>
        <v>-999</v>
      </c>
      <c r="AG26" s="33">
        <f t="shared" si="11"/>
        <v>-999</v>
      </c>
      <c r="AH26" s="33">
        <f t="shared" si="12"/>
        <v>0.38212797732332365</v>
      </c>
      <c r="AI26" s="34">
        <f t="shared" si="13"/>
        <v>0.5221516076506463</v>
      </c>
      <c r="AJ26" s="4">
        <v>23.145964374695435</v>
      </c>
      <c r="AK26" s="32">
        <f t="shared" si="14"/>
        <v>0.38212797732332365</v>
      </c>
      <c r="AL26" s="34">
        <f t="shared" si="15"/>
        <v>-999</v>
      </c>
      <c r="AY26" s="103" t="s">
        <v>405</v>
      </c>
      <c r="AZ26" s="103" t="s">
        <v>702</v>
      </c>
      <c r="BA26" s="103" t="s">
        <v>158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v>
      </c>
      <c r="E27" s="38">
        <f>IF(LEFT(VLOOKUP($B27,'Indicator chart'!$D$1:$J$36,5,FALSE),1)=" "," ",VLOOKUP($B27,'Indicator chart'!$D$1:$J$36,5,FALSE))</f>
        <v>246.7443454420836</v>
      </c>
      <c r="F27" s="38">
        <f>IF(LEFT(VLOOKUP($B27,'Indicator chart'!$D$1:$J$36,6,FALSE),1)=" "," ",VLOOKUP($B27,'Indicator chart'!$D$1:$J$36,6,FALSE))</f>
        <v>146.1602054514146</v>
      </c>
      <c r="G27" s="38">
        <f>IF(LEFT(VLOOKUP($B27,'Indicator chart'!$D$1:$J$36,7,FALSE),1)=" "," ",VLOOKUP($B27,'Indicator chart'!$D$1:$J$36,7,FALSE))</f>
        <v>389.9855432589381</v>
      </c>
      <c r="H27" s="50">
        <f t="shared" si="0"/>
        <v>1</v>
      </c>
      <c r="I27" s="300" t="s">
        <v>603</v>
      </c>
      <c r="J27" s="300" t="s">
        <v>622</v>
      </c>
      <c r="K27" s="300" t="s">
        <v>641</v>
      </c>
      <c r="L27" s="300" t="s">
        <v>660</v>
      </c>
      <c r="M27" s="300" t="s">
        <v>679</v>
      </c>
      <c r="N27" s="80">
        <f>VLOOKUP('Hide - Control'!B$3,'All practice data'!A:CA,A27+29,FALSE)</f>
        <v>611.0479122686875</v>
      </c>
      <c r="O27" s="80">
        <f>VLOOKUP('Hide - Control'!C$3,'All practice data'!A:CA,A27+29,FALSE)</f>
        <v>1003.4847591501348</v>
      </c>
      <c r="P27" s="38">
        <f>VLOOKUP('Hide - Control'!$B$4,'All practice data'!B:BC,A27+2,FALSE)</f>
        <v>3239</v>
      </c>
      <c r="Q27" s="38">
        <f>VLOOKUP('Hide - Control'!$B$4,'All practice data'!B:BC,3,FALSE)</f>
        <v>530073</v>
      </c>
      <c r="R27" s="38">
        <f t="shared" si="21"/>
        <v>590.18323566344</v>
      </c>
      <c r="S27" s="38">
        <f t="shared" si="22"/>
        <v>632.461862959304</v>
      </c>
      <c r="T27" s="53" t="str">
        <f t="shared" si="19"/>
        <v>1615.096906</v>
      </c>
      <c r="U27" s="51" t="str">
        <f t="shared" si="20"/>
        <v>112.486</v>
      </c>
      <c r="V27" s="7"/>
      <c r="W27" s="27">
        <f t="shared" si="2"/>
        <v>-587.6996458000001</v>
      </c>
      <c r="X27" s="27" t="str">
        <f t="shared" si="3"/>
        <v>1615.096906</v>
      </c>
      <c r="Y27" s="27">
        <f t="shared" si="4"/>
        <v>-587.6996458000001</v>
      </c>
      <c r="Z27" s="27" t="str">
        <f t="shared" si="5"/>
        <v>1615.096906</v>
      </c>
      <c r="AA27" s="32">
        <f t="shared" si="6"/>
        <v>0.31786214901591714</v>
      </c>
      <c r="AB27" s="33">
        <f t="shared" si="7"/>
        <v>0.39930762456534913</v>
      </c>
      <c r="AC27" s="33">
        <v>0.5</v>
      </c>
      <c r="AD27" s="33">
        <f t="shared" si="8"/>
        <v>0.6209884305848494</v>
      </c>
      <c r="AE27" s="33">
        <f t="shared" si="9"/>
        <v>1</v>
      </c>
      <c r="AF27" s="33">
        <f t="shared" si="10"/>
        <v>-999</v>
      </c>
      <c r="AG27" s="33">
        <f t="shared" si="11"/>
        <v>-999</v>
      </c>
      <c r="AH27" s="33">
        <f t="shared" si="12"/>
        <v>0.3788111936893235</v>
      </c>
      <c r="AI27" s="34">
        <f t="shared" si="13"/>
        <v>0.7223474195335513</v>
      </c>
      <c r="AJ27" s="4">
        <v>24.221959800077364</v>
      </c>
      <c r="AK27" s="32">
        <f t="shared" si="14"/>
        <v>0.3788111936893235</v>
      </c>
      <c r="AL27" s="34">
        <f t="shared" si="15"/>
        <v>-999</v>
      </c>
      <c r="AY27" s="103" t="s">
        <v>391</v>
      </c>
      <c r="AZ27" s="103" t="s">
        <v>703</v>
      </c>
      <c r="BA27" s="103" t="s">
        <v>158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22</v>
      </c>
      <c r="E28" s="38">
        <f>IF(LEFT(VLOOKUP($B28,'Indicator chart'!$D$1:$J$36,5,FALSE),1)=" "," ",VLOOKUP($B28,'Indicator chart'!$D$1:$J$36,5,FALSE))</f>
        <v>301.5764222069911</v>
      </c>
      <c r="F28" s="38">
        <f>IF(LEFT(VLOOKUP($B28,'Indicator chart'!$D$1:$J$36,6,FALSE),1)=" "," ",VLOOKUP($B28,'Indicator chart'!$D$1:$J$36,6,FALSE))</f>
        <v>188.92897944867377</v>
      </c>
      <c r="G28" s="38">
        <f>IF(LEFT(VLOOKUP($B28,'Indicator chart'!$D$1:$J$36,7,FALSE),1)=" "," ",VLOOKUP($B28,'Indicator chart'!$D$1:$J$36,7,FALSE))</f>
        <v>456.6141175692679</v>
      </c>
      <c r="H28" s="50">
        <f t="shared" si="0"/>
        <v>1</v>
      </c>
      <c r="I28" s="300" t="s">
        <v>604</v>
      </c>
      <c r="J28" s="300" t="s">
        <v>623</v>
      </c>
      <c r="K28" s="300" t="s">
        <v>642</v>
      </c>
      <c r="L28" s="300" t="s">
        <v>661</v>
      </c>
      <c r="M28" s="300" t="s">
        <v>680</v>
      </c>
      <c r="N28" s="80">
        <f>VLOOKUP('Hide - Control'!B$3,'All practice data'!A:CA,A28+29,FALSE)</f>
        <v>510.1184176519083</v>
      </c>
      <c r="O28" s="80">
        <f>VLOOKUP('Hide - Control'!C$3,'All practice data'!A:CA,A28+29,FALSE)</f>
        <v>586.9262672471904</v>
      </c>
      <c r="P28" s="38">
        <f>VLOOKUP('Hide - Control'!$B$4,'All practice data'!B:BC,A28+2,FALSE)</f>
        <v>2704</v>
      </c>
      <c r="Q28" s="38">
        <f>VLOOKUP('Hide - Control'!$B$4,'All practice data'!B:BC,3,FALSE)</f>
        <v>530073</v>
      </c>
      <c r="R28" s="38">
        <f>100000*(P28*(1-1/(9*P28)-1.96/(3*SQRT(P28)))^3)/Q28</f>
        <v>491.0701307285892</v>
      </c>
      <c r="S28" s="38">
        <f>100000*((P28+1)*(1-1/(9*(P28+1))+1.96/(3*SQRT(P28+1)))^3)/Q28</f>
        <v>529.7162830557652</v>
      </c>
      <c r="T28" s="53" t="str">
        <f t="shared" si="19"/>
        <v>1316.542645</v>
      </c>
      <c r="U28" s="51" t="str">
        <f t="shared" si="20"/>
        <v>117.348</v>
      </c>
      <c r="V28" s="7"/>
      <c r="W28" s="27">
        <f t="shared" si="2"/>
        <v>-394.3524432</v>
      </c>
      <c r="X28" s="27" t="str">
        <f t="shared" si="3"/>
        <v>1316.542645</v>
      </c>
      <c r="Y28" s="27">
        <f t="shared" si="4"/>
        <v>-394.3524432</v>
      </c>
      <c r="Z28" s="27" t="str">
        <f t="shared" si="5"/>
        <v>1316.542645</v>
      </c>
      <c r="AA28" s="32">
        <f t="shared" si="6"/>
        <v>0.2990834719961411</v>
      </c>
      <c r="AB28" s="33">
        <f t="shared" si="7"/>
        <v>0.407134276615898</v>
      </c>
      <c r="AC28" s="33">
        <v>0.5</v>
      </c>
      <c r="AD28" s="33">
        <f t="shared" si="8"/>
        <v>0.6268762140338933</v>
      </c>
      <c r="AE28" s="33">
        <f t="shared" si="9"/>
        <v>1</v>
      </c>
      <c r="AF28" s="33">
        <f t="shared" si="10"/>
        <v>-999</v>
      </c>
      <c r="AG28" s="33">
        <f t="shared" si="11"/>
        <v>-999</v>
      </c>
      <c r="AH28" s="33">
        <f t="shared" si="12"/>
        <v>0.4067630272637959</v>
      </c>
      <c r="AI28" s="34">
        <f t="shared" si="13"/>
        <v>0.573546979715498</v>
      </c>
      <c r="AJ28" s="4">
        <v>25.297955225459287</v>
      </c>
      <c r="AK28" s="32">
        <f t="shared" si="14"/>
        <v>0.4067630272637959</v>
      </c>
      <c r="AL28" s="34">
        <f t="shared" si="15"/>
        <v>-999</v>
      </c>
      <c r="AY28" s="103" t="s">
        <v>414</v>
      </c>
      <c r="AZ28" s="103" t="s">
        <v>704</v>
      </c>
      <c r="BA28" s="103" t="s">
        <v>158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572</v>
      </c>
      <c r="J29" s="300" t="s">
        <v>584</v>
      </c>
      <c r="K29" s="300" t="s">
        <v>589</v>
      </c>
      <c r="L29" s="300" t="s">
        <v>581</v>
      </c>
      <c r="M29" s="300" t="s">
        <v>334</v>
      </c>
      <c r="N29" s="80">
        <f>VLOOKUP('Hide - Control'!B$3,'All practice data'!A:CA,A29+29,FALSE)</f>
        <v>0.24602739726027398</v>
      </c>
      <c r="O29" s="80">
        <f>VLOOKUP('Hide - Control'!C$3,'All practice data'!A:CA,A29+29,FALSE)</f>
        <v>0.2372068295675289</v>
      </c>
      <c r="P29" s="38">
        <f>VLOOKUP('Hide - Control'!$B$4,'All practice data'!B:BC,A29+2,FALSE)</f>
        <v>449</v>
      </c>
      <c r="Q29" s="38">
        <f>VLOOKUP('Hide - Control'!$B$4,'All practice data'!B:BC,26,FALSE)+VLOOKUP('Hide - Control'!$B$4,'All practice data'!B:BC,27,FALSE)+VLOOKUP('Hide - Control'!$B$4,'All practice data'!B:BC,28,FALSE)</f>
        <v>1825</v>
      </c>
      <c r="R29" s="38">
        <f>+((2*P29+1.96^2-1.96*SQRT(1.96^2+4*P29*(1-P29/Q29)))/(2*(Q29+1.96^2)))</f>
        <v>0.22681411192940587</v>
      </c>
      <c r="S29" s="38">
        <f>+((2*P29+1.96^2+1.96*SQRT(1.96^2+4*P29*(1-P29/Q29)))/(2*(Q29+1.96^2)))</f>
        <v>0.26630765432962933</v>
      </c>
      <c r="T29" s="53" t="str">
        <f t="shared" si="19"/>
        <v>1</v>
      </c>
      <c r="U29" s="51" t="str">
        <f t="shared" si="20"/>
        <v>0.0350981</v>
      </c>
      <c r="V29" s="7"/>
      <c r="W29" s="27">
        <f t="shared" si="2"/>
        <v>-0.538461538</v>
      </c>
      <c r="X29" s="27" t="str">
        <f t="shared" si="3"/>
        <v>1</v>
      </c>
      <c r="Y29" s="27">
        <f t="shared" si="4"/>
        <v>-0.538461538</v>
      </c>
      <c r="Z29" s="27" t="str">
        <f t="shared" si="5"/>
        <v>1</v>
      </c>
      <c r="AA29" s="32">
        <f t="shared" si="6"/>
        <v>0.37281376481184414</v>
      </c>
      <c r="AB29" s="33">
        <f t="shared" si="7"/>
        <v>0.4428571427828571</v>
      </c>
      <c r="AC29" s="33">
        <v>0.5</v>
      </c>
      <c r="AD29" s="33">
        <f t="shared" si="8"/>
        <v>0.56666666632</v>
      </c>
      <c r="AE29" s="33">
        <f t="shared" si="9"/>
        <v>1</v>
      </c>
      <c r="AF29" s="33">
        <f t="shared" si="10"/>
        <v>-999</v>
      </c>
      <c r="AG29" s="33">
        <f t="shared" si="11"/>
        <v>-999</v>
      </c>
      <c r="AH29" s="33">
        <f t="shared" si="12"/>
        <v>-999</v>
      </c>
      <c r="AI29" s="34">
        <f t="shared" si="13"/>
        <v>0.5041844390701491</v>
      </c>
      <c r="AJ29" s="4">
        <v>26.373950650841206</v>
      </c>
      <c r="AK29" s="32">
        <f t="shared" si="14"/>
        <v>-999</v>
      </c>
      <c r="AL29" s="34">
        <f t="shared" si="15"/>
        <v>-999</v>
      </c>
      <c r="AY29" s="103" t="s">
        <v>340</v>
      </c>
      <c r="AZ29" s="103" t="s">
        <v>705</v>
      </c>
      <c r="BA29" s="103" t="s">
        <v>158</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573</v>
      </c>
      <c r="J30" s="300" t="s">
        <v>624</v>
      </c>
      <c r="K30" s="300" t="s">
        <v>592</v>
      </c>
      <c r="L30" s="300" t="s">
        <v>662</v>
      </c>
      <c r="M30" s="300" t="s">
        <v>334</v>
      </c>
      <c r="N30" s="80">
        <f>VLOOKUP('Hide - Control'!B$3,'All practice data'!A:CA,A30+29,FALSE)</f>
        <v>0.47178082191780824</v>
      </c>
      <c r="O30" s="80">
        <f>VLOOKUP('Hide - Control'!C$3,'All practice data'!A:CA,A30+29,FALSE)</f>
        <v>0.4919047132195072</v>
      </c>
      <c r="P30" s="38">
        <f>VLOOKUP('Hide - Control'!$B$4,'All practice data'!B:BC,A30+2,FALSE)</f>
        <v>861</v>
      </c>
      <c r="Q30" s="38">
        <f>VLOOKUP('Hide - Control'!$B$4,'All practice data'!B:BC,26,FALSE)+VLOOKUP('Hide - Control'!$B$4,'All practice data'!B:BC,27,FALSE)+VLOOKUP('Hide - Control'!$B$4,'All practice data'!B:BC,28,FALSE)</f>
        <v>1825</v>
      </c>
      <c r="R30" s="38">
        <f>+((2*P30+1.96^2-1.96*SQRT(1.96^2+4*P30*(1-P30/Q30)))/(2*(Q30+1.96^2)))</f>
        <v>0.4489605887732146</v>
      </c>
      <c r="S30" s="38">
        <f>+((2*P30+1.96^2+1.96*SQRT(1.96^2+4*P30*(1-P30/Q30)))/(2*(Q30+1.96^2)))</f>
        <v>0.4947196074777893</v>
      </c>
      <c r="T30" s="53" t="str">
        <f t="shared" si="19"/>
        <v>1</v>
      </c>
      <c r="U30" s="51" t="str">
        <f t="shared" si="20"/>
        <v>0.178051</v>
      </c>
      <c r="V30" s="7"/>
      <c r="W30" s="27">
        <f t="shared" si="2"/>
        <v>-0.0666666660000001</v>
      </c>
      <c r="X30" s="27" t="str">
        <f t="shared" si="3"/>
        <v>1</v>
      </c>
      <c r="Y30" s="27">
        <f t="shared" si="4"/>
        <v>-0.0666666660000001</v>
      </c>
      <c r="Z30" s="27" t="str">
        <f t="shared" si="5"/>
        <v>1</v>
      </c>
      <c r="AA30" s="32">
        <f t="shared" si="6"/>
        <v>0.2294228120183893</v>
      </c>
      <c r="AB30" s="33">
        <f t="shared" si="7"/>
        <v>0.38763162305476984</v>
      </c>
      <c r="AC30" s="33">
        <v>0.5</v>
      </c>
      <c r="AD30" s="33">
        <f t="shared" si="8"/>
        <v>0.5853365384908354</v>
      </c>
      <c r="AE30" s="33">
        <f t="shared" si="9"/>
        <v>1</v>
      </c>
      <c r="AF30" s="33">
        <f t="shared" si="10"/>
        <v>-999</v>
      </c>
      <c r="AG30" s="33">
        <f t="shared" si="11"/>
        <v>-999</v>
      </c>
      <c r="AH30" s="33">
        <f t="shared" si="12"/>
        <v>-999</v>
      </c>
      <c r="AI30" s="34">
        <f t="shared" si="13"/>
        <v>0.5236606683455759</v>
      </c>
      <c r="AJ30" s="4">
        <v>27.44994607622313</v>
      </c>
      <c r="AK30" s="32">
        <f t="shared" si="14"/>
        <v>-999</v>
      </c>
      <c r="AL30" s="34">
        <f t="shared" si="15"/>
        <v>-999</v>
      </c>
      <c r="AY30" s="103" t="s">
        <v>395</v>
      </c>
      <c r="AZ30" s="103" t="s">
        <v>706</v>
      </c>
      <c r="BA30" s="103" t="s">
        <v>158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574</v>
      </c>
      <c r="J31" s="300" t="s">
        <v>625</v>
      </c>
      <c r="K31" s="300" t="s">
        <v>585</v>
      </c>
      <c r="L31" s="300" t="s">
        <v>663</v>
      </c>
      <c r="M31" s="300" t="s">
        <v>334</v>
      </c>
      <c r="N31" s="80">
        <f>VLOOKUP('Hide - Control'!B$3,'All practice data'!A:CA,A31+29,FALSE)</f>
        <v>0.2821917808219178</v>
      </c>
      <c r="O31" s="80">
        <f>VLOOKUP('Hide - Control'!C$3,'All practice data'!A:CA,A31+29,FALSE)</f>
        <v>0.2708884572129639</v>
      </c>
      <c r="P31" s="38">
        <f>VLOOKUP('Hide - Control'!$B$4,'All practice data'!B:BC,A31+2,FALSE)</f>
        <v>515</v>
      </c>
      <c r="Q31" s="38">
        <f>VLOOKUP('Hide - Control'!$B$4,'All practice data'!B:BC,26,FALSE)+VLOOKUP('Hide - Control'!$B$4,'All practice data'!B:BC,27,FALSE)+VLOOKUP('Hide - Control'!$B$4,'All practice data'!B:BC,28,FALSE)</f>
        <v>1825</v>
      </c>
      <c r="R31" s="38">
        <f>+((2*P31+1.96^2-1.96*SQRT(1.96^2+4*P31*(1-P31/Q31)))/(2*(Q31+1.96^2)))</f>
        <v>0.2620168311308263</v>
      </c>
      <c r="S31" s="38">
        <f>+((2*P31+1.96^2+1.96*SQRT(1.96^2+4*P31*(1-P31/Q31)))/(2*(Q31+1.96^2)))</f>
        <v>0.3032817710007088</v>
      </c>
      <c r="T31" s="53" t="str">
        <f t="shared" si="19"/>
        <v>1</v>
      </c>
      <c r="U31" s="51" t="str">
        <f t="shared" si="20"/>
        <v>0.0521808</v>
      </c>
      <c r="V31" s="7"/>
      <c r="W31" s="27">
        <f t="shared" si="2"/>
        <v>-0.454545454</v>
      </c>
      <c r="X31" s="27" t="str">
        <f t="shared" si="3"/>
        <v>1</v>
      </c>
      <c r="Y31" s="27">
        <f t="shared" si="4"/>
        <v>-0.454545454</v>
      </c>
      <c r="Z31" s="27" t="str">
        <f t="shared" si="5"/>
        <v>1</v>
      </c>
      <c r="AA31" s="32">
        <f t="shared" si="6"/>
        <v>0.3483742997556404</v>
      </c>
      <c r="AB31" s="33">
        <f t="shared" si="7"/>
        <v>0.4261592742223097</v>
      </c>
      <c r="AC31" s="33">
        <v>0.5</v>
      </c>
      <c r="AD31" s="33">
        <f t="shared" si="8"/>
        <v>0.5914277272217854</v>
      </c>
      <c r="AE31" s="33">
        <f t="shared" si="9"/>
        <v>1</v>
      </c>
      <c r="AF31" s="33">
        <f>IF(E31=" ",-999,IF(H31=4,(E31-$Y31)/($Z31-$Y31),-999))</f>
        <v>-999</v>
      </c>
      <c r="AG31" s="33">
        <f t="shared" si="11"/>
        <v>-999</v>
      </c>
      <c r="AH31" s="33">
        <f t="shared" si="12"/>
        <v>-999</v>
      </c>
      <c r="AI31" s="34">
        <f t="shared" si="13"/>
        <v>0.49873581414593865</v>
      </c>
      <c r="AJ31" s="4">
        <v>28.525941501605054</v>
      </c>
      <c r="AK31" s="32">
        <f t="shared" si="14"/>
        <v>-999</v>
      </c>
      <c r="AL31" s="34">
        <f t="shared" si="15"/>
        <v>-999</v>
      </c>
      <c r="AY31" s="103" t="s">
        <v>399</v>
      </c>
      <c r="AZ31" s="103" t="s">
        <v>707</v>
      </c>
      <c r="BA31" s="103" t="s">
        <v>158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409</v>
      </c>
      <c r="AZ32" s="103" t="s">
        <v>708</v>
      </c>
      <c r="BA32" s="103" t="s">
        <v>158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411</v>
      </c>
      <c r="AZ33" s="103" t="s">
        <v>709</v>
      </c>
      <c r="BA33" s="103" t="s">
        <v>158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387</v>
      </c>
      <c r="AZ34" s="103" t="s">
        <v>710</v>
      </c>
      <c r="BA34" s="103" t="s">
        <v>158</v>
      </c>
      <c r="BB34" s="298">
        <v>174182</v>
      </c>
      <c r="BE34" s="77"/>
      <c r="BF34" s="250"/>
    </row>
    <row r="35" spans="2:58" ht="12.75">
      <c r="B35" s="17" t="s">
        <v>41</v>
      </c>
      <c r="C35" s="18"/>
      <c r="H35" s="287" t="s">
        <v>335</v>
      </c>
      <c r="I35" s="288"/>
      <c r="Y35" s="43"/>
      <c r="Z35" s="44"/>
      <c r="AA35" s="44"/>
      <c r="AB35" s="43"/>
      <c r="AC35" s="43"/>
      <c r="AY35" s="103" t="s">
        <v>396</v>
      </c>
      <c r="AZ35" s="103" t="s">
        <v>711</v>
      </c>
      <c r="BA35" s="103" t="s">
        <v>158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397</v>
      </c>
      <c r="AZ36" s="103" t="s">
        <v>712</v>
      </c>
      <c r="BA36" s="103" t="s">
        <v>158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415</v>
      </c>
      <c r="AZ37" s="103" t="s">
        <v>713</v>
      </c>
      <c r="BA37" s="103" t="s">
        <v>158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394</v>
      </c>
      <c r="AZ38" s="103" t="s">
        <v>714</v>
      </c>
      <c r="BA38" s="103" t="s">
        <v>158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416</v>
      </c>
      <c r="AZ39" s="103" t="s">
        <v>715</v>
      </c>
      <c r="BA39" s="103" t="s">
        <v>158</v>
      </c>
      <c r="BB39" s="298">
        <v>240654</v>
      </c>
      <c r="BE39" s="70"/>
      <c r="BF39" s="238"/>
    </row>
    <row r="40" spans="1:58" ht="12.75">
      <c r="A40" s="3"/>
      <c r="B40" s="71"/>
      <c r="C40" s="3"/>
      <c r="T40" s="13"/>
      <c r="U40" s="2"/>
      <c r="W40" s="2"/>
      <c r="X40" s="10"/>
      <c r="Y40" s="44"/>
      <c r="Z40" s="44"/>
      <c r="AA40" s="44"/>
      <c r="AB40" s="44"/>
      <c r="AC40" s="44"/>
      <c r="AD40" s="2"/>
      <c r="AE40" s="2"/>
      <c r="AY40" s="103" t="s">
        <v>417</v>
      </c>
      <c r="AZ40" s="103" t="s">
        <v>716</v>
      </c>
      <c r="BA40" s="103" t="s">
        <v>158</v>
      </c>
      <c r="BB40" s="298">
        <v>231440</v>
      </c>
      <c r="BF40" s="249"/>
    </row>
    <row r="41" spans="1:58" ht="12.75">
      <c r="A41" s="3"/>
      <c r="B41" s="71"/>
      <c r="C41" s="3"/>
      <c r="T41" s="13"/>
      <c r="U41" s="2"/>
      <c r="W41" s="2"/>
      <c r="X41" s="10"/>
      <c r="Y41" s="44"/>
      <c r="Z41" s="44"/>
      <c r="AA41" s="44"/>
      <c r="AB41" s="44"/>
      <c r="AC41" s="44"/>
      <c r="AD41" s="2"/>
      <c r="AE41" s="2"/>
      <c r="AY41" s="103" t="s">
        <v>392</v>
      </c>
      <c r="AZ41" s="103" t="s">
        <v>717</v>
      </c>
      <c r="BA41" s="103" t="s">
        <v>158</v>
      </c>
      <c r="BB41" s="298">
        <v>102110</v>
      </c>
      <c r="BE41" s="70"/>
      <c r="BF41" s="238"/>
    </row>
    <row r="42" spans="1:58" ht="12.75">
      <c r="A42" s="3"/>
      <c r="B42" s="45"/>
      <c r="C42" s="3"/>
      <c r="T42" s="13"/>
      <c r="U42" s="2"/>
      <c r="W42" s="2"/>
      <c r="X42" s="10"/>
      <c r="Y42" s="44"/>
      <c r="Z42" s="44"/>
      <c r="AA42" s="44"/>
      <c r="AB42" s="44"/>
      <c r="AC42" s="44"/>
      <c r="AD42" s="2"/>
      <c r="AE42" s="2"/>
      <c r="AY42" s="103" t="s">
        <v>390</v>
      </c>
      <c r="AZ42" s="103" t="s">
        <v>718</v>
      </c>
      <c r="BA42" s="103" t="s">
        <v>158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389</v>
      </c>
      <c r="AZ43" s="103" t="s">
        <v>719</v>
      </c>
      <c r="BA43" s="103" t="s">
        <v>158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404</v>
      </c>
      <c r="AZ44" s="103" t="s">
        <v>720</v>
      </c>
      <c r="BA44" s="103" t="s">
        <v>158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418</v>
      </c>
      <c r="AZ45" s="103" t="s">
        <v>721</v>
      </c>
      <c r="BA45" s="103" t="s">
        <v>158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406</v>
      </c>
      <c r="AZ46" s="103" t="s">
        <v>722</v>
      </c>
      <c r="BA46" s="103" t="s">
        <v>158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512</v>
      </c>
      <c r="AZ47" s="103" t="s">
        <v>723</v>
      </c>
      <c r="BA47" s="103" t="s">
        <v>158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453</v>
      </c>
      <c r="AZ48" s="103" t="s">
        <v>724</v>
      </c>
      <c r="BA48" s="103" t="s">
        <v>158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525</v>
      </c>
      <c r="AZ49" s="103" t="s">
        <v>725</v>
      </c>
      <c r="BA49" s="103" t="s">
        <v>158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466</v>
      </c>
      <c r="AZ50" s="103" t="s">
        <v>726</v>
      </c>
      <c r="BA50" s="103" t="s">
        <v>158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488</v>
      </c>
      <c r="AZ51" s="103" t="s">
        <v>727</v>
      </c>
      <c r="BA51" s="103" t="s">
        <v>158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479</v>
      </c>
      <c r="AZ52" s="103" t="s">
        <v>728</v>
      </c>
      <c r="BA52" s="103" t="s">
        <v>158</v>
      </c>
      <c r="BB52" s="298">
        <v>201657</v>
      </c>
      <c r="BF52" s="249"/>
    </row>
    <row r="53" spans="1:58" ht="12.75">
      <c r="A53" s="3"/>
      <c r="B53" s="12"/>
      <c r="C53" s="3"/>
      <c r="I53" s="11"/>
      <c r="J53" s="11"/>
      <c r="K53" s="11"/>
      <c r="L53" s="11"/>
      <c r="S53" s="11"/>
      <c r="U53" s="2"/>
      <c r="X53" s="2"/>
      <c r="Y53" s="2"/>
      <c r="Z53" s="2"/>
      <c r="AA53" s="2"/>
      <c r="AB53" s="2"/>
      <c r="AY53" s="103" t="s">
        <v>514</v>
      </c>
      <c r="AZ53" s="103" t="s">
        <v>729</v>
      </c>
      <c r="BA53" s="103" t="s">
        <v>158</v>
      </c>
      <c r="BB53" s="298">
        <v>118636</v>
      </c>
      <c r="BF53" s="249"/>
    </row>
    <row r="54" spans="1:58" ht="12.75">
      <c r="A54" s="3"/>
      <c r="B54" s="12"/>
      <c r="C54" s="3"/>
      <c r="I54" s="11"/>
      <c r="J54" s="11"/>
      <c r="K54" s="11"/>
      <c r="L54" s="11"/>
      <c r="S54" s="11"/>
      <c r="U54" s="2"/>
      <c r="X54" s="2"/>
      <c r="Y54" s="2"/>
      <c r="Z54" s="2"/>
      <c r="AA54" s="2"/>
      <c r="AB54" s="2"/>
      <c r="AY54" s="103" t="s">
        <v>529</v>
      </c>
      <c r="AZ54" s="103" t="s">
        <v>730</v>
      </c>
      <c r="BA54" s="103" t="s">
        <v>158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491</v>
      </c>
      <c r="AZ55" s="103" t="s">
        <v>731</v>
      </c>
      <c r="BA55" s="103" t="s">
        <v>158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515</v>
      </c>
      <c r="AZ56" s="103" t="s">
        <v>732</v>
      </c>
      <c r="BA56" s="103" t="s">
        <v>158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516</v>
      </c>
      <c r="AZ57" s="103" t="s">
        <v>733</v>
      </c>
      <c r="BA57" s="103" t="s">
        <v>158</v>
      </c>
      <c r="BB57" s="298">
        <v>359415</v>
      </c>
      <c r="BF57" s="249"/>
    </row>
    <row r="58" spans="1:58" ht="12.75">
      <c r="A58" s="3"/>
      <c r="B58" s="12"/>
      <c r="C58" s="3"/>
      <c r="E58" s="2"/>
      <c r="F58" s="2"/>
      <c r="G58" s="2"/>
      <c r="I58" s="11"/>
      <c r="J58" s="11"/>
      <c r="K58" s="11"/>
      <c r="L58" s="11"/>
      <c r="S58" s="11"/>
      <c r="T58" s="2"/>
      <c r="U58" s="2"/>
      <c r="X58" s="2"/>
      <c r="Y58" s="2"/>
      <c r="Z58" s="2"/>
      <c r="AA58" s="2"/>
      <c r="AB58" s="2"/>
      <c r="AY58" s="103" t="s">
        <v>513</v>
      </c>
      <c r="AZ58" s="103" t="s">
        <v>734</v>
      </c>
      <c r="BA58" s="103" t="s">
        <v>158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511</v>
      </c>
      <c r="AZ59" s="103" t="s">
        <v>735</v>
      </c>
      <c r="BA59" s="103" t="s">
        <v>158</v>
      </c>
      <c r="BB59" s="298">
        <v>159597</v>
      </c>
      <c r="BE59" s="70"/>
      <c r="BF59" s="236"/>
    </row>
    <row r="60" spans="1:58" ht="12.75">
      <c r="A60" s="3"/>
      <c r="B60" s="12"/>
      <c r="C60" s="3"/>
      <c r="G60" s="2"/>
      <c r="I60" s="11"/>
      <c r="J60" s="11"/>
      <c r="K60" s="11"/>
      <c r="L60" s="11"/>
      <c r="S60" s="11"/>
      <c r="T60" s="2"/>
      <c r="U60" s="2"/>
      <c r="X60" s="2"/>
      <c r="Y60" s="2"/>
      <c r="Z60" s="2"/>
      <c r="AA60" s="2"/>
      <c r="AB60" s="2"/>
      <c r="AY60" s="103" t="s">
        <v>462</v>
      </c>
      <c r="AZ60" s="103" t="s">
        <v>736</v>
      </c>
      <c r="BA60" s="103" t="s">
        <v>158</v>
      </c>
      <c r="BB60" s="298">
        <v>290050</v>
      </c>
      <c r="BE60" s="70"/>
      <c r="BF60" s="236"/>
    </row>
    <row r="61" spans="1:58" ht="12.75">
      <c r="A61" s="3"/>
      <c r="B61" s="12"/>
      <c r="C61" s="3"/>
      <c r="G61" s="2"/>
      <c r="I61" s="11"/>
      <c r="J61" s="2"/>
      <c r="K61" s="2"/>
      <c r="L61" s="2"/>
      <c r="S61" s="2"/>
      <c r="T61" s="2"/>
      <c r="U61" s="2"/>
      <c r="X61" s="2"/>
      <c r="Y61" s="2"/>
      <c r="Z61" s="2"/>
      <c r="AA61" s="2"/>
      <c r="AB61" s="2"/>
      <c r="AY61" s="103" t="s">
        <v>420</v>
      </c>
      <c r="AZ61" s="103" t="s">
        <v>737</v>
      </c>
      <c r="BA61" s="103" t="s">
        <v>158</v>
      </c>
      <c r="BB61" s="298">
        <v>258661</v>
      </c>
      <c r="BE61" s="70"/>
      <c r="BF61" s="236"/>
    </row>
    <row r="62" spans="1:58" ht="12.75">
      <c r="A62" s="3"/>
      <c r="B62" s="12"/>
      <c r="C62" s="3"/>
      <c r="G62" s="2"/>
      <c r="I62" s="11"/>
      <c r="J62" s="2"/>
      <c r="K62" s="2"/>
      <c r="L62" s="2"/>
      <c r="S62" s="2"/>
      <c r="T62" s="2"/>
      <c r="U62" s="2"/>
      <c r="X62" s="2"/>
      <c r="Y62" s="2"/>
      <c r="Z62" s="2"/>
      <c r="AA62" s="2"/>
      <c r="AB62" s="2"/>
      <c r="AY62" s="103" t="s">
        <v>495</v>
      </c>
      <c r="AZ62" s="103" t="s">
        <v>738</v>
      </c>
      <c r="BA62" s="103" t="s">
        <v>158</v>
      </c>
      <c r="BB62" s="298">
        <v>166624</v>
      </c>
      <c r="BE62" s="70"/>
      <c r="BF62" s="236"/>
    </row>
    <row r="63" spans="1:58" ht="12.75">
      <c r="A63" s="3"/>
      <c r="B63" s="12"/>
      <c r="C63" s="3"/>
      <c r="G63" s="2"/>
      <c r="I63" s="11"/>
      <c r="J63" s="2"/>
      <c r="K63" s="2"/>
      <c r="L63" s="2"/>
      <c r="S63" s="2"/>
      <c r="T63" s="2"/>
      <c r="U63" s="2"/>
      <c r="V63" s="13"/>
      <c r="X63" s="2"/>
      <c r="Y63" s="2"/>
      <c r="Z63" s="2"/>
      <c r="AA63" s="2"/>
      <c r="AB63" s="2"/>
      <c r="AY63" s="103" t="s">
        <v>477</v>
      </c>
      <c r="AZ63" s="103" t="s">
        <v>739</v>
      </c>
      <c r="BA63" s="103" t="s">
        <v>158</v>
      </c>
      <c r="BB63" s="298">
        <v>185008</v>
      </c>
      <c r="BE63" s="70"/>
      <c r="BF63" s="236"/>
    </row>
    <row r="64" spans="1:58" ht="12.75">
      <c r="A64" s="3"/>
      <c r="B64" s="12"/>
      <c r="C64" s="3"/>
      <c r="I64" s="11"/>
      <c r="V64" s="3"/>
      <c r="AY64" s="103" t="s">
        <v>509</v>
      </c>
      <c r="AZ64" s="103" t="s">
        <v>740</v>
      </c>
      <c r="BA64" s="103" t="s">
        <v>158</v>
      </c>
      <c r="BB64" s="298">
        <v>166721</v>
      </c>
      <c r="BE64" s="70"/>
      <c r="BF64" s="238"/>
    </row>
    <row r="65" spans="1:58" ht="12.75">
      <c r="A65" s="3"/>
      <c r="B65" s="12"/>
      <c r="C65" s="3"/>
      <c r="AY65" s="103" t="s">
        <v>490</v>
      </c>
      <c r="AZ65" s="103" t="s">
        <v>741</v>
      </c>
      <c r="BA65" s="103" t="s">
        <v>158</v>
      </c>
      <c r="BB65" s="298">
        <v>254708</v>
      </c>
      <c r="BE65" s="70"/>
      <c r="BF65" s="238"/>
    </row>
    <row r="66" spans="1:58" ht="12.75">
      <c r="A66" s="3"/>
      <c r="B66" s="12"/>
      <c r="C66" s="3"/>
      <c r="E66" s="2"/>
      <c r="F66" s="2"/>
      <c r="G66" s="2"/>
      <c r="V66" s="2"/>
      <c r="AY66" s="103" t="s">
        <v>493</v>
      </c>
      <c r="AZ66" s="103" t="s">
        <v>742</v>
      </c>
      <c r="BA66" s="103" t="s">
        <v>158</v>
      </c>
      <c r="BB66" s="298">
        <v>118017</v>
      </c>
      <c r="BE66" s="70"/>
      <c r="BF66" s="236"/>
    </row>
    <row r="67" spans="1:58" ht="12.75">
      <c r="A67" s="3"/>
      <c r="B67" s="12"/>
      <c r="C67" s="3"/>
      <c r="AY67" s="103" t="s">
        <v>487</v>
      </c>
      <c r="AZ67" s="103" t="s">
        <v>743</v>
      </c>
      <c r="BA67" s="103" t="s">
        <v>158</v>
      </c>
      <c r="BB67" s="298">
        <v>565185</v>
      </c>
      <c r="BE67" s="70"/>
      <c r="BF67" s="236"/>
    </row>
    <row r="68" spans="1:58" ht="12.75">
      <c r="A68" s="3"/>
      <c r="B68" s="12"/>
      <c r="C68" s="3"/>
      <c r="AY68" s="103" t="s">
        <v>510</v>
      </c>
      <c r="AZ68" s="103" t="s">
        <v>744</v>
      </c>
      <c r="BA68" s="103" t="s">
        <v>158</v>
      </c>
      <c r="BB68" s="298">
        <v>339389</v>
      </c>
      <c r="BF68" s="249"/>
    </row>
    <row r="69" spans="1:58" ht="12.75">
      <c r="A69" s="3"/>
      <c r="B69" s="12"/>
      <c r="C69" s="3"/>
      <c r="AY69" s="103" t="s">
        <v>517</v>
      </c>
      <c r="AZ69" s="103" t="s">
        <v>745</v>
      </c>
      <c r="BA69" s="103" t="s">
        <v>158</v>
      </c>
      <c r="BB69" s="298">
        <v>352792</v>
      </c>
      <c r="BE69" s="70"/>
      <c r="BF69" s="238"/>
    </row>
    <row r="70" spans="1:58" ht="12.75">
      <c r="A70" s="3"/>
      <c r="B70" s="12"/>
      <c r="C70" s="3"/>
      <c r="AY70" s="103" t="s">
        <v>524</v>
      </c>
      <c r="AZ70" s="103" t="s">
        <v>746</v>
      </c>
      <c r="BA70" s="103" t="s">
        <v>158</v>
      </c>
      <c r="BB70" s="298">
        <v>241613</v>
      </c>
      <c r="BE70" s="70"/>
      <c r="BF70" s="236"/>
    </row>
    <row r="71" spans="1:58" ht="12.75">
      <c r="A71" s="3"/>
      <c r="B71" s="12"/>
      <c r="C71" s="3"/>
      <c r="AY71" s="103" t="s">
        <v>567</v>
      </c>
      <c r="AZ71" s="103" t="s">
        <v>747</v>
      </c>
      <c r="BA71" s="103" t="s">
        <v>158</v>
      </c>
      <c r="BB71" s="298">
        <v>67686</v>
      </c>
      <c r="BE71" s="70"/>
      <c r="BF71" s="236"/>
    </row>
    <row r="72" spans="1:58" ht="12.75">
      <c r="A72" s="3"/>
      <c r="B72" s="12"/>
      <c r="C72" s="3"/>
      <c r="AY72" s="103" t="s">
        <v>520</v>
      </c>
      <c r="AZ72" s="103" t="s">
        <v>748</v>
      </c>
      <c r="BA72" s="103" t="s">
        <v>158</v>
      </c>
      <c r="BB72" s="298">
        <v>314664</v>
      </c>
      <c r="BE72" s="247"/>
      <c r="BF72" s="236"/>
    </row>
    <row r="73" spans="1:58" ht="12.75">
      <c r="A73" s="3"/>
      <c r="B73" s="12"/>
      <c r="C73" s="3"/>
      <c r="AY73" s="103" t="s">
        <v>489</v>
      </c>
      <c r="AZ73" s="103" t="s">
        <v>749</v>
      </c>
      <c r="BA73" s="103" t="s">
        <v>158</v>
      </c>
      <c r="BB73" s="298">
        <v>97292</v>
      </c>
      <c r="BE73" s="70"/>
      <c r="BF73" s="236"/>
    </row>
    <row r="74" spans="1:58" ht="12.75">
      <c r="A74" s="3"/>
      <c r="B74" s="12"/>
      <c r="C74" s="3"/>
      <c r="AY74" s="103" t="s">
        <v>519</v>
      </c>
      <c r="AZ74" s="103" t="s">
        <v>750</v>
      </c>
      <c r="BA74" s="103" t="s">
        <v>158</v>
      </c>
      <c r="BB74" s="298">
        <v>102317</v>
      </c>
      <c r="BE74" s="70"/>
      <c r="BF74" s="238"/>
    </row>
    <row r="75" spans="1:58" ht="12.75">
      <c r="A75" s="3"/>
      <c r="B75" s="12"/>
      <c r="C75" s="3"/>
      <c r="AY75" s="103" t="s">
        <v>432</v>
      </c>
      <c r="AZ75" s="103" t="s">
        <v>751</v>
      </c>
      <c r="BA75" s="103" t="s">
        <v>158</v>
      </c>
      <c r="BB75" s="298">
        <v>371595</v>
      </c>
      <c r="BE75" s="70"/>
      <c r="BF75" s="238"/>
    </row>
    <row r="76" spans="1:58" ht="12.75">
      <c r="A76" s="3"/>
      <c r="B76" s="12"/>
      <c r="C76" s="3"/>
      <c r="AY76" s="103" t="s">
        <v>522</v>
      </c>
      <c r="AZ76" s="103" t="s">
        <v>752</v>
      </c>
      <c r="BA76" s="103" t="s">
        <v>158</v>
      </c>
      <c r="BB76" s="298">
        <v>226047</v>
      </c>
      <c r="BE76" s="70"/>
      <c r="BF76" s="238"/>
    </row>
    <row r="77" spans="1:58" ht="12.75">
      <c r="A77" s="3"/>
      <c r="B77" s="12"/>
      <c r="C77" s="3"/>
      <c r="AY77" s="103" t="s">
        <v>481</v>
      </c>
      <c r="AZ77" s="103" t="s">
        <v>753</v>
      </c>
      <c r="BA77" s="103" t="s">
        <v>158</v>
      </c>
      <c r="BB77" s="298">
        <v>183762</v>
      </c>
      <c r="BE77" s="70"/>
      <c r="BF77" s="246"/>
    </row>
    <row r="78" spans="1:58" ht="12.75">
      <c r="A78" s="3"/>
      <c r="B78" s="12"/>
      <c r="C78" s="3"/>
      <c r="AY78" s="103" t="s">
        <v>501</v>
      </c>
      <c r="AZ78" s="103" t="s">
        <v>754</v>
      </c>
      <c r="BA78" s="103" t="s">
        <v>158</v>
      </c>
      <c r="BB78" s="298">
        <v>265437</v>
      </c>
      <c r="BE78" s="70"/>
      <c r="BF78" s="236"/>
    </row>
    <row r="79" spans="1:58" ht="12.75">
      <c r="A79" s="3"/>
      <c r="B79" s="12"/>
      <c r="C79" s="3"/>
      <c r="AY79" s="103" t="s">
        <v>422</v>
      </c>
      <c r="AZ79" s="103" t="s">
        <v>755</v>
      </c>
      <c r="BA79" s="103" t="s">
        <v>158</v>
      </c>
      <c r="BB79" s="298">
        <v>628635</v>
      </c>
      <c r="BF79" s="236"/>
    </row>
    <row r="80" spans="1:58" ht="12.75">
      <c r="A80" s="3"/>
      <c r="B80" s="12"/>
      <c r="C80" s="3"/>
      <c r="AY80" s="103" t="s">
        <v>528</v>
      </c>
      <c r="AZ80" s="103" t="s">
        <v>756</v>
      </c>
      <c r="BA80" s="103" t="s">
        <v>158</v>
      </c>
      <c r="BB80" s="298">
        <v>128014</v>
      </c>
      <c r="BF80" s="249"/>
    </row>
    <row r="81" spans="1:58" ht="12.75">
      <c r="A81" s="3"/>
      <c r="B81" s="12"/>
      <c r="C81" s="3"/>
      <c r="AY81" s="103" t="s">
        <v>518</v>
      </c>
      <c r="AZ81" s="103" t="s">
        <v>757</v>
      </c>
      <c r="BA81" s="103" t="s">
        <v>158</v>
      </c>
      <c r="BB81" s="298">
        <v>262238</v>
      </c>
      <c r="BF81" s="249"/>
    </row>
    <row r="82" spans="1:58" ht="12.75">
      <c r="A82" s="3"/>
      <c r="B82" s="12"/>
      <c r="C82" s="3"/>
      <c r="AY82" s="103" t="s">
        <v>527</v>
      </c>
      <c r="AZ82" s="103" t="s">
        <v>758</v>
      </c>
      <c r="BA82" s="103" t="s">
        <v>158</v>
      </c>
      <c r="BB82" s="298">
        <v>342743</v>
      </c>
      <c r="BF82" s="249"/>
    </row>
    <row r="83" spans="1:58" ht="12.75">
      <c r="A83" s="3"/>
      <c r="B83" s="12"/>
      <c r="C83" s="3"/>
      <c r="AY83" s="103" t="s">
        <v>421</v>
      </c>
      <c r="AZ83" s="103" t="s">
        <v>759</v>
      </c>
      <c r="BA83" s="103" t="s">
        <v>158</v>
      </c>
      <c r="BB83" s="298">
        <v>144732</v>
      </c>
      <c r="BE83" s="70"/>
      <c r="BF83" s="238"/>
    </row>
    <row r="84" spans="1:58" ht="12.75">
      <c r="A84" s="3"/>
      <c r="B84" s="12"/>
      <c r="C84" s="3"/>
      <c r="AY84" s="103" t="s">
        <v>526</v>
      </c>
      <c r="AZ84" s="103" t="s">
        <v>760</v>
      </c>
      <c r="BA84" s="103" t="s">
        <v>158</v>
      </c>
      <c r="BB84" s="298">
        <v>93461</v>
      </c>
      <c r="BE84" s="70"/>
      <c r="BF84" s="238"/>
    </row>
    <row r="85" spans="1:58" ht="12.75">
      <c r="A85" s="3"/>
      <c r="B85" s="12"/>
      <c r="C85" s="3"/>
      <c r="AY85" s="103" t="s">
        <v>521</v>
      </c>
      <c r="AZ85" s="103" t="s">
        <v>761</v>
      </c>
      <c r="BA85" s="103" t="s">
        <v>158</v>
      </c>
      <c r="BB85" s="298">
        <v>121763</v>
      </c>
      <c r="BE85" s="70"/>
      <c r="BF85" s="238"/>
    </row>
    <row r="86" spans="1:58" ht="12.75">
      <c r="A86" s="3"/>
      <c r="B86" s="12"/>
      <c r="C86" s="3"/>
      <c r="AY86" s="103" t="s">
        <v>473</v>
      </c>
      <c r="AZ86" s="103" t="s">
        <v>762</v>
      </c>
      <c r="BA86" s="103" t="s">
        <v>158</v>
      </c>
      <c r="BB86" s="298">
        <v>129209</v>
      </c>
      <c r="BE86" s="70"/>
      <c r="BF86" s="246"/>
    </row>
    <row r="87" spans="1:58" ht="12.75">
      <c r="A87" s="3"/>
      <c r="B87" s="12"/>
      <c r="C87" s="3"/>
      <c r="AY87" s="103" t="s">
        <v>476</v>
      </c>
      <c r="AZ87" s="103" t="s">
        <v>763</v>
      </c>
      <c r="BA87" s="103" t="s">
        <v>158</v>
      </c>
      <c r="BB87" s="298">
        <v>522776</v>
      </c>
      <c r="BE87" s="70"/>
      <c r="BF87" s="246"/>
    </row>
    <row r="88" spans="1:58" ht="12.75">
      <c r="A88" s="3"/>
      <c r="B88" s="12"/>
      <c r="C88" s="3"/>
      <c r="AY88" s="103" t="s">
        <v>443</v>
      </c>
      <c r="AZ88" s="103" t="s">
        <v>764</v>
      </c>
      <c r="BA88" s="103" t="s">
        <v>158</v>
      </c>
      <c r="BB88" s="298">
        <v>368905</v>
      </c>
      <c r="BE88" s="70"/>
      <c r="BF88" s="238"/>
    </row>
    <row r="89" spans="1:58" ht="12.75">
      <c r="A89" s="3"/>
      <c r="B89" s="12"/>
      <c r="C89" s="3"/>
      <c r="AY89" s="103" t="s">
        <v>354</v>
      </c>
      <c r="AZ89" s="103" t="s">
        <v>765</v>
      </c>
      <c r="BA89" s="103" t="s">
        <v>158</v>
      </c>
      <c r="BB89" s="298">
        <v>239319</v>
      </c>
      <c r="BE89" s="70"/>
      <c r="BF89" s="238"/>
    </row>
    <row r="90" spans="1:58" ht="12.75">
      <c r="A90" s="3"/>
      <c r="B90" s="12"/>
      <c r="C90" s="3"/>
      <c r="AY90" s="103" t="s">
        <v>357</v>
      </c>
      <c r="AZ90" s="103" t="s">
        <v>766</v>
      </c>
      <c r="BA90" s="103" t="s">
        <v>158</v>
      </c>
      <c r="BB90" s="298">
        <v>131791</v>
      </c>
      <c r="BE90" s="70"/>
      <c r="BF90" s="238"/>
    </row>
    <row r="91" spans="1:58" ht="12.75">
      <c r="A91" s="3"/>
      <c r="B91" s="12"/>
      <c r="C91" s="3"/>
      <c r="AY91" s="103" t="s">
        <v>365</v>
      </c>
      <c r="AZ91" s="103" t="s">
        <v>767</v>
      </c>
      <c r="BA91" s="103" t="s">
        <v>158</v>
      </c>
      <c r="BB91" s="298">
        <v>461070</v>
      </c>
      <c r="BE91" s="244"/>
      <c r="BF91" s="246"/>
    </row>
    <row r="92" spans="1:58" ht="12.75">
      <c r="A92" s="3"/>
      <c r="B92" s="12"/>
      <c r="C92" s="3"/>
      <c r="AY92" s="103" t="s">
        <v>375</v>
      </c>
      <c r="AZ92" s="103" t="s">
        <v>768</v>
      </c>
      <c r="BA92" s="103" t="s">
        <v>158</v>
      </c>
      <c r="BB92" s="298">
        <v>312763</v>
      </c>
      <c r="BE92" s="244"/>
      <c r="BF92" s="246"/>
    </row>
    <row r="93" spans="1:58" ht="12.75">
      <c r="A93" s="3"/>
      <c r="B93" s="12"/>
      <c r="C93" s="3"/>
      <c r="AY93" s="103" t="s">
        <v>362</v>
      </c>
      <c r="AZ93" s="103" t="s">
        <v>769</v>
      </c>
      <c r="BA93" s="103" t="s">
        <v>158</v>
      </c>
      <c r="BB93" s="298">
        <v>133795</v>
      </c>
      <c r="BF93" s="249"/>
    </row>
    <row r="94" spans="1:58" ht="12.75">
      <c r="A94" s="3"/>
      <c r="B94" s="12"/>
      <c r="C94" s="3"/>
      <c r="AY94" s="103" t="s">
        <v>351</v>
      </c>
      <c r="AZ94" s="103" t="s">
        <v>770</v>
      </c>
      <c r="BA94" s="103" t="s">
        <v>158</v>
      </c>
      <c r="BB94" s="298">
        <v>181868</v>
      </c>
      <c r="BE94" s="70"/>
      <c r="BF94" s="238"/>
    </row>
    <row r="95" spans="1:58" ht="12.75">
      <c r="A95" s="3"/>
      <c r="B95" s="12"/>
      <c r="C95" s="3"/>
      <c r="AY95" s="103" t="s">
        <v>359</v>
      </c>
      <c r="AZ95" s="103" t="s">
        <v>771</v>
      </c>
      <c r="BA95" s="103" t="s">
        <v>158</v>
      </c>
      <c r="BB95" s="298">
        <v>204306</v>
      </c>
      <c r="BE95" s="244"/>
      <c r="BF95" s="246"/>
    </row>
    <row r="96" spans="1:58" ht="12.75">
      <c r="A96" s="3"/>
      <c r="B96" s="12"/>
      <c r="C96" s="3"/>
      <c r="AY96" s="103" t="s">
        <v>363</v>
      </c>
      <c r="AZ96" s="103" t="s">
        <v>772</v>
      </c>
      <c r="BA96" s="103" t="s">
        <v>158</v>
      </c>
      <c r="BB96" s="298">
        <v>183653</v>
      </c>
      <c r="BE96" s="240"/>
      <c r="BF96" s="235"/>
    </row>
    <row r="97" spans="1:58" ht="12.75">
      <c r="A97" s="3"/>
      <c r="B97" s="12"/>
      <c r="C97" s="3"/>
      <c r="AY97" s="103" t="s">
        <v>350</v>
      </c>
      <c r="AZ97" s="103" t="s">
        <v>773</v>
      </c>
      <c r="BA97" s="103" t="s">
        <v>158</v>
      </c>
      <c r="BB97" s="298">
        <v>171390</v>
      </c>
      <c r="BE97" s="240"/>
      <c r="BF97" s="235"/>
    </row>
    <row r="98" spans="1:58" ht="12.75">
      <c r="A98" s="3"/>
      <c r="B98" s="12"/>
      <c r="C98" s="3"/>
      <c r="AY98" s="103" t="s">
        <v>367</v>
      </c>
      <c r="AZ98" s="103" t="s">
        <v>774</v>
      </c>
      <c r="BA98" s="103" t="s">
        <v>158</v>
      </c>
      <c r="BB98" s="298">
        <v>530073</v>
      </c>
      <c r="BE98" s="245"/>
      <c r="BF98" s="238"/>
    </row>
    <row r="99" spans="1:58" ht="12.75">
      <c r="A99" s="3"/>
      <c r="B99" s="12"/>
      <c r="C99" s="3"/>
      <c r="AY99" s="103" t="s">
        <v>356</v>
      </c>
      <c r="AZ99" s="103" t="s">
        <v>775</v>
      </c>
      <c r="BA99" s="103" t="s">
        <v>158</v>
      </c>
      <c r="BB99" s="298">
        <v>296370</v>
      </c>
      <c r="BE99" s="70"/>
      <c r="BF99" s="246"/>
    </row>
    <row r="100" spans="1:58" ht="12.75">
      <c r="A100" s="3"/>
      <c r="B100" s="12"/>
      <c r="C100" s="3"/>
      <c r="AY100" s="103" t="s">
        <v>368</v>
      </c>
      <c r="AZ100" s="103" t="s">
        <v>776</v>
      </c>
      <c r="BA100" s="103" t="s">
        <v>158</v>
      </c>
      <c r="BB100" s="298">
        <v>235280</v>
      </c>
      <c r="BE100" s="70"/>
      <c r="BF100" s="246"/>
    </row>
    <row r="101" spans="51:58" ht="12.75">
      <c r="AY101" s="103" t="s">
        <v>360</v>
      </c>
      <c r="AZ101" s="103" t="s">
        <v>777</v>
      </c>
      <c r="BA101" s="103" t="s">
        <v>158</v>
      </c>
      <c r="BB101" s="298">
        <v>208299</v>
      </c>
      <c r="BE101" s="234"/>
      <c r="BF101" s="235"/>
    </row>
    <row r="102" spans="51:58" ht="12.75">
      <c r="AY102" s="103" t="s">
        <v>364</v>
      </c>
      <c r="AZ102" s="103" t="s">
        <v>778</v>
      </c>
      <c r="BA102" s="103" t="s">
        <v>158</v>
      </c>
      <c r="BB102" s="298">
        <v>271512</v>
      </c>
      <c r="BE102" s="234"/>
      <c r="BF102" s="235"/>
    </row>
    <row r="103" spans="51:58" ht="12.75">
      <c r="AY103" s="103" t="s">
        <v>352</v>
      </c>
      <c r="AZ103" s="103" t="s">
        <v>779</v>
      </c>
      <c r="BA103" s="103" t="s">
        <v>158</v>
      </c>
      <c r="BB103" s="298">
        <v>292433</v>
      </c>
      <c r="BE103" s="70"/>
      <c r="BF103" s="236"/>
    </row>
    <row r="104" spans="51:58" ht="12.75">
      <c r="AY104" s="103" t="s">
        <v>361</v>
      </c>
      <c r="AZ104" s="103" t="s">
        <v>780</v>
      </c>
      <c r="BA104" s="103" t="s">
        <v>158</v>
      </c>
      <c r="BB104" s="298">
        <v>144593</v>
      </c>
      <c r="BF104" s="249"/>
    </row>
    <row r="105" spans="51:58" ht="12.75">
      <c r="AY105" s="103" t="s">
        <v>358</v>
      </c>
      <c r="AZ105" s="103" t="s">
        <v>781</v>
      </c>
      <c r="BA105" s="103" t="s">
        <v>158</v>
      </c>
      <c r="BB105" s="298">
        <v>278090</v>
      </c>
      <c r="BE105" s="234"/>
      <c r="BF105" s="235"/>
    </row>
    <row r="106" spans="51:58" ht="12.75">
      <c r="AY106" s="103" t="s">
        <v>355</v>
      </c>
      <c r="AZ106" s="103" t="s">
        <v>782</v>
      </c>
      <c r="BA106" s="103" t="s">
        <v>158</v>
      </c>
      <c r="BB106" s="298">
        <v>172024</v>
      </c>
      <c r="BF106" s="249"/>
    </row>
    <row r="107" spans="51:58" ht="12.75">
      <c r="AY107" s="103" t="s">
        <v>385</v>
      </c>
      <c r="AZ107" s="103" t="s">
        <v>783</v>
      </c>
      <c r="BA107" s="103" t="s">
        <v>158</v>
      </c>
      <c r="BB107" s="298">
        <v>268758</v>
      </c>
      <c r="BF107" s="249"/>
    </row>
    <row r="108" spans="51:58" ht="12.75">
      <c r="AY108" s="103" t="s">
        <v>386</v>
      </c>
      <c r="AZ108" s="103" t="s">
        <v>784</v>
      </c>
      <c r="BA108" s="103" t="s">
        <v>158</v>
      </c>
      <c r="BB108" s="298">
        <v>260354</v>
      </c>
      <c r="BE108" s="70"/>
      <c r="BF108" s="236"/>
    </row>
    <row r="109" spans="51:58" ht="12.75">
      <c r="AY109" s="103" t="s">
        <v>353</v>
      </c>
      <c r="AZ109" s="103" t="s">
        <v>785</v>
      </c>
      <c r="BA109" s="103" t="s">
        <v>158</v>
      </c>
      <c r="BB109" s="298">
        <v>112154</v>
      </c>
      <c r="BE109" s="234"/>
      <c r="BF109" s="235"/>
    </row>
    <row r="110" spans="51:58" ht="12.75">
      <c r="AY110" s="103" t="s">
        <v>444</v>
      </c>
      <c r="AZ110" s="103" t="s">
        <v>786</v>
      </c>
      <c r="BA110" s="103" t="s">
        <v>158</v>
      </c>
      <c r="BB110" s="298">
        <v>430680</v>
      </c>
      <c r="BE110" s="70"/>
      <c r="BF110" s="246"/>
    </row>
    <row r="111" spans="51:58" ht="12.75">
      <c r="AY111" s="103" t="s">
        <v>437</v>
      </c>
      <c r="AZ111" s="103" t="s">
        <v>787</v>
      </c>
      <c r="BA111" s="103" t="s">
        <v>158</v>
      </c>
      <c r="BB111" s="298">
        <v>861759</v>
      </c>
      <c r="BE111" s="70"/>
      <c r="BF111" s="236"/>
    </row>
    <row r="112" spans="51:58" ht="12.75">
      <c r="AY112" s="103" t="s">
        <v>530</v>
      </c>
      <c r="AZ112" s="103" t="s">
        <v>788</v>
      </c>
      <c r="BA112" s="103" t="s">
        <v>158</v>
      </c>
      <c r="BB112" s="298">
        <v>563052</v>
      </c>
      <c r="BE112" s="247"/>
      <c r="BF112" s="246"/>
    </row>
    <row r="113" spans="51:58" ht="12.75">
      <c r="AY113" s="103" t="s">
        <v>475</v>
      </c>
      <c r="AZ113" s="103" t="s">
        <v>789</v>
      </c>
      <c r="BA113" s="103" t="s">
        <v>158</v>
      </c>
      <c r="BB113" s="298">
        <v>387143</v>
      </c>
      <c r="BE113" s="70"/>
      <c r="BF113" s="238"/>
    </row>
    <row r="114" spans="51:58" ht="12.75">
      <c r="AY114" s="103" t="s">
        <v>434</v>
      </c>
      <c r="AZ114" s="103" t="s">
        <v>790</v>
      </c>
      <c r="BA114" s="103" t="s">
        <v>158</v>
      </c>
      <c r="BB114" s="298">
        <v>230830</v>
      </c>
      <c r="BF114" s="238"/>
    </row>
    <row r="115" spans="51:58" ht="12.75">
      <c r="AY115" s="103" t="s">
        <v>468</v>
      </c>
      <c r="AZ115" s="103" t="s">
        <v>791</v>
      </c>
      <c r="BA115" s="103" t="s">
        <v>158</v>
      </c>
      <c r="BB115" s="298">
        <v>597224</v>
      </c>
      <c r="BE115" s="245"/>
      <c r="BF115" s="238"/>
    </row>
    <row r="116" spans="51:58" ht="12.75">
      <c r="AY116" s="103" t="s">
        <v>483</v>
      </c>
      <c r="AZ116" s="103" t="s">
        <v>792</v>
      </c>
      <c r="BA116" s="103" t="s">
        <v>158</v>
      </c>
      <c r="BB116" s="298">
        <v>213020</v>
      </c>
      <c r="BE116" s="70"/>
      <c r="BF116" s="236"/>
    </row>
    <row r="117" spans="51:58" ht="12.75">
      <c r="AY117" s="103" t="s">
        <v>447</v>
      </c>
      <c r="AZ117" s="103" t="s">
        <v>793</v>
      </c>
      <c r="BA117" s="103" t="s">
        <v>158</v>
      </c>
      <c r="BB117" s="298">
        <v>379032</v>
      </c>
      <c r="BE117" s="234"/>
      <c r="BF117" s="235"/>
    </row>
    <row r="118" spans="51:58" ht="12.75">
      <c r="AY118" s="103" t="s">
        <v>457</v>
      </c>
      <c r="AZ118" s="103" t="s">
        <v>794</v>
      </c>
      <c r="BA118" s="103" t="s">
        <v>158</v>
      </c>
      <c r="BB118" s="298">
        <v>327531</v>
      </c>
      <c r="BE118" s="70"/>
      <c r="BF118" s="236"/>
    </row>
    <row r="119" spans="51:58" ht="12.75">
      <c r="AY119" s="103" t="s">
        <v>531</v>
      </c>
      <c r="AZ119" s="103" t="s">
        <v>795</v>
      </c>
      <c r="BA119" s="103" t="s">
        <v>158</v>
      </c>
      <c r="BB119" s="298">
        <v>167483</v>
      </c>
      <c r="BE119" s="70"/>
      <c r="BF119" s="236"/>
    </row>
    <row r="120" spans="51:58" ht="12.75">
      <c r="AY120" s="103" t="s">
        <v>533</v>
      </c>
      <c r="AZ120" s="103" t="s">
        <v>796</v>
      </c>
      <c r="BA120" s="103" t="s">
        <v>158</v>
      </c>
      <c r="BB120" s="298">
        <v>204270</v>
      </c>
      <c r="BE120" s="70"/>
      <c r="BF120" s="236"/>
    </row>
    <row r="121" spans="51:58" ht="12.75">
      <c r="AY121" s="103" t="s">
        <v>532</v>
      </c>
      <c r="AZ121" s="103" t="s">
        <v>797</v>
      </c>
      <c r="BA121" s="103" t="s">
        <v>158</v>
      </c>
      <c r="BB121" s="298">
        <v>220178</v>
      </c>
      <c r="BE121" s="234"/>
      <c r="BF121" s="235"/>
    </row>
    <row r="122" spans="51:58" ht="12.75">
      <c r="AY122" s="103" t="s">
        <v>423</v>
      </c>
      <c r="AZ122" s="103" t="s">
        <v>798</v>
      </c>
      <c r="BA122" s="103" t="s">
        <v>158</v>
      </c>
      <c r="BB122" s="298">
        <v>151526</v>
      </c>
      <c r="BE122" s="70"/>
      <c r="BF122" s="246"/>
    </row>
    <row r="123" spans="51:58" ht="12.75">
      <c r="AY123" s="103" t="s">
        <v>446</v>
      </c>
      <c r="AZ123" s="103" t="s">
        <v>799</v>
      </c>
      <c r="BA123" s="103" t="s">
        <v>158</v>
      </c>
      <c r="BB123" s="298">
        <v>291230</v>
      </c>
      <c r="BF123" s="249"/>
    </row>
    <row r="124" spans="51:58" ht="12.75">
      <c r="AY124" s="103" t="s">
        <v>448</v>
      </c>
      <c r="AZ124" s="103" t="s">
        <v>800</v>
      </c>
      <c r="BA124" s="103" t="s">
        <v>158</v>
      </c>
      <c r="BB124" s="298">
        <v>164506</v>
      </c>
      <c r="BF124" s="249"/>
    </row>
    <row r="125" spans="51:58" ht="12.75">
      <c r="AY125" s="103" t="s">
        <v>459</v>
      </c>
      <c r="AZ125" s="103" t="s">
        <v>801</v>
      </c>
      <c r="BA125" s="103" t="s">
        <v>158</v>
      </c>
      <c r="BB125" s="298">
        <v>235721</v>
      </c>
      <c r="BE125" s="70"/>
      <c r="BF125" s="246"/>
    </row>
    <row r="126" spans="51:58" ht="12.75">
      <c r="AY126" s="103" t="s">
        <v>471</v>
      </c>
      <c r="AZ126" s="103" t="s">
        <v>802</v>
      </c>
      <c r="BA126" s="103" t="s">
        <v>158</v>
      </c>
      <c r="BB126" s="298">
        <v>201601</v>
      </c>
      <c r="BE126" s="70"/>
      <c r="BF126" s="236"/>
    </row>
    <row r="127" spans="51:58" ht="12.75">
      <c r="AY127" s="103" t="s">
        <v>431</v>
      </c>
      <c r="AZ127" s="103" t="s">
        <v>803</v>
      </c>
      <c r="BA127" s="103" t="s">
        <v>158</v>
      </c>
      <c r="BB127" s="298">
        <v>376153</v>
      </c>
      <c r="BF127" s="249"/>
    </row>
    <row r="128" spans="51:58" ht="12.75">
      <c r="AY128" s="103" t="s">
        <v>543</v>
      </c>
      <c r="AZ128" s="103" t="s">
        <v>804</v>
      </c>
      <c r="BA128" s="103" t="s">
        <v>158</v>
      </c>
      <c r="BB128" s="298">
        <v>228448</v>
      </c>
      <c r="BE128" s="247"/>
      <c r="BF128" s="246"/>
    </row>
    <row r="129" spans="51:58" ht="12.75">
      <c r="AY129" s="103" t="s">
        <v>440</v>
      </c>
      <c r="AZ129" s="103" t="s">
        <v>805</v>
      </c>
      <c r="BA129" s="103" t="s">
        <v>158</v>
      </c>
      <c r="BB129" s="298">
        <v>328780</v>
      </c>
      <c r="BE129" s="70"/>
      <c r="BF129" s="246"/>
    </row>
    <row r="130" spans="51:58" ht="12.75">
      <c r="AY130" s="103" t="s">
        <v>544</v>
      </c>
      <c r="AZ130" s="103" t="s">
        <v>806</v>
      </c>
      <c r="BA130" s="103" t="s">
        <v>158</v>
      </c>
      <c r="BB130" s="298">
        <v>314214</v>
      </c>
      <c r="BE130" s="70"/>
      <c r="BF130" s="246"/>
    </row>
    <row r="131" spans="51:58" ht="12.75">
      <c r="AY131" s="103" t="s">
        <v>535</v>
      </c>
      <c r="AZ131" s="103" t="s">
        <v>807</v>
      </c>
      <c r="BA131" s="103" t="s">
        <v>158</v>
      </c>
      <c r="BB131" s="298">
        <v>253416</v>
      </c>
      <c r="BE131" s="244"/>
      <c r="BF131" s="246"/>
    </row>
    <row r="132" spans="51:58" ht="12.75">
      <c r="AY132" s="103" t="s">
        <v>452</v>
      </c>
      <c r="AZ132" s="103" t="s">
        <v>808</v>
      </c>
      <c r="BA132" s="103" t="s">
        <v>158</v>
      </c>
      <c r="BB132" s="298">
        <v>285838</v>
      </c>
      <c r="BE132" s="244"/>
      <c r="BF132" s="246"/>
    </row>
    <row r="133" spans="51:58" ht="12.75">
      <c r="AY133" s="103" t="s">
        <v>553</v>
      </c>
      <c r="AZ133" s="103" t="s">
        <v>809</v>
      </c>
      <c r="BA133" s="103" t="s">
        <v>158</v>
      </c>
      <c r="BB133" s="298">
        <v>379319</v>
      </c>
      <c r="BE133" s="244"/>
      <c r="BF133" s="248"/>
    </row>
    <row r="134" spans="51:58" ht="12.75">
      <c r="AY134" s="103" t="s">
        <v>470</v>
      </c>
      <c r="AZ134" s="103" t="s">
        <v>810</v>
      </c>
      <c r="BA134" s="103" t="s">
        <v>158</v>
      </c>
      <c r="BB134" s="298">
        <v>386580</v>
      </c>
      <c r="BE134" s="240"/>
      <c r="BF134" s="235"/>
    </row>
    <row r="135" spans="51:58" ht="12.75">
      <c r="AY135" s="103" t="s">
        <v>424</v>
      </c>
      <c r="AZ135" s="103" t="s">
        <v>811</v>
      </c>
      <c r="BA135" t="s">
        <v>158</v>
      </c>
      <c r="BB135" s="298">
        <v>287939</v>
      </c>
      <c r="BE135" s="247"/>
      <c r="BF135" s="246"/>
    </row>
    <row r="136" spans="51:58" ht="12.75">
      <c r="AY136" s="103" t="s">
        <v>494</v>
      </c>
      <c r="AZ136" s="103" t="s">
        <v>812</v>
      </c>
      <c r="BA136" s="103" t="s">
        <v>158</v>
      </c>
      <c r="BB136" s="298">
        <v>278666</v>
      </c>
      <c r="BE136" s="234"/>
      <c r="BF136" s="235"/>
    </row>
    <row r="137" spans="51:58" ht="12.75">
      <c r="AY137" s="103" t="s">
        <v>482</v>
      </c>
      <c r="AZ137" s="103" t="s">
        <v>813</v>
      </c>
      <c r="BA137" s="103" t="s">
        <v>158</v>
      </c>
      <c r="BB137" s="298">
        <v>274754</v>
      </c>
      <c r="BF137" s="249"/>
    </row>
    <row r="138" spans="51:58" ht="12.75">
      <c r="AY138" s="103" t="s">
        <v>502</v>
      </c>
      <c r="AZ138" s="103" t="s">
        <v>814</v>
      </c>
      <c r="BA138" s="103" t="s">
        <v>158</v>
      </c>
      <c r="BB138" s="298">
        <v>194613</v>
      </c>
      <c r="BE138" s="70"/>
      <c r="BF138" s="236"/>
    </row>
    <row r="139" spans="51:58" ht="12.75">
      <c r="AY139" s="103" t="s">
        <v>474</v>
      </c>
      <c r="AZ139" s="103" t="s">
        <v>815</v>
      </c>
      <c r="BA139" s="103" t="s">
        <v>158</v>
      </c>
      <c r="BB139" s="298">
        <v>260695</v>
      </c>
      <c r="BE139" s="234"/>
      <c r="BF139" s="235"/>
    </row>
    <row r="140" spans="51:58" ht="12.75">
      <c r="AY140" s="103" t="s">
        <v>534</v>
      </c>
      <c r="AZ140" s="103" t="s">
        <v>816</v>
      </c>
      <c r="BA140" s="103" t="s">
        <v>158</v>
      </c>
      <c r="BB140" s="298">
        <v>224682</v>
      </c>
      <c r="BE140" s="70"/>
      <c r="BF140" s="236"/>
    </row>
    <row r="141" spans="51:58" ht="12.75">
      <c r="AY141" s="103" t="s">
        <v>435</v>
      </c>
      <c r="AZ141" s="103" t="s">
        <v>817</v>
      </c>
      <c r="BA141" s="103" t="s">
        <v>158</v>
      </c>
      <c r="BB141" s="298">
        <v>256079</v>
      </c>
      <c r="BE141" s="70"/>
      <c r="BF141" s="236"/>
    </row>
    <row r="142" spans="51:58" ht="12.75">
      <c r="AY142" s="103" t="s">
        <v>451</v>
      </c>
      <c r="AZ142" s="103" t="s">
        <v>818</v>
      </c>
      <c r="BA142" s="103" t="s">
        <v>158</v>
      </c>
      <c r="BB142" s="298">
        <v>280503</v>
      </c>
      <c r="BE142" s="70"/>
      <c r="BF142" s="238"/>
    </row>
    <row r="143" spans="51:58" ht="12.75">
      <c r="AY143" s="103" t="s">
        <v>465</v>
      </c>
      <c r="AZ143" s="103" t="s">
        <v>819</v>
      </c>
      <c r="BA143" s="103" t="s">
        <v>158</v>
      </c>
      <c r="BB143" s="298">
        <v>219251</v>
      </c>
      <c r="BE143" s="70"/>
      <c r="BF143" s="246"/>
    </row>
    <row r="144" spans="51:58" ht="12.75">
      <c r="AY144" s="103" t="s">
        <v>484</v>
      </c>
      <c r="AZ144" s="103" t="s">
        <v>820</v>
      </c>
      <c r="BA144" s="103" t="s">
        <v>158</v>
      </c>
      <c r="BB144" s="298">
        <v>187383</v>
      </c>
      <c r="BE144" s="70"/>
      <c r="BF144" s="238"/>
    </row>
    <row r="145" spans="51:58" ht="12.75">
      <c r="AY145" s="103" t="s">
        <v>419</v>
      </c>
      <c r="AZ145" s="103" t="s">
        <v>821</v>
      </c>
      <c r="BA145" s="103" t="s">
        <v>158</v>
      </c>
      <c r="BB145" s="298">
        <v>374678</v>
      </c>
      <c r="BE145" s="245"/>
      <c r="BF145" s="246"/>
    </row>
    <row r="146" spans="51:58" ht="12.75">
      <c r="AY146" s="103" t="s">
        <v>545</v>
      </c>
      <c r="AZ146" s="103" t="s">
        <v>822</v>
      </c>
      <c r="BA146" s="103" t="s">
        <v>158</v>
      </c>
      <c r="BB146" s="298">
        <v>299563</v>
      </c>
      <c r="BF146" s="249"/>
    </row>
    <row r="147" spans="51:58" ht="12.75">
      <c r="AY147" s="103" t="s">
        <v>442</v>
      </c>
      <c r="AZ147" s="103" t="s">
        <v>823</v>
      </c>
      <c r="BA147" s="103" t="s">
        <v>158</v>
      </c>
      <c r="BB147" s="298">
        <v>368016</v>
      </c>
      <c r="BF147" s="249"/>
    </row>
    <row r="148" spans="51:58" ht="12.75">
      <c r="AY148" s="103" t="s">
        <v>429</v>
      </c>
      <c r="AZ148" s="103" t="s">
        <v>824</v>
      </c>
      <c r="BA148" s="103" t="s">
        <v>158</v>
      </c>
      <c r="BB148" s="298">
        <v>287529</v>
      </c>
      <c r="BF148" s="249"/>
    </row>
    <row r="149" spans="51:58" ht="12.75">
      <c r="AY149" s="103" t="s">
        <v>469</v>
      </c>
      <c r="AZ149" s="103" t="s">
        <v>825</v>
      </c>
      <c r="BA149" s="103" t="s">
        <v>158</v>
      </c>
      <c r="BB149" s="298">
        <v>197994</v>
      </c>
      <c r="BE149" s="245"/>
      <c r="BF149" s="246"/>
    </row>
    <row r="150" spans="51:58" ht="12.75">
      <c r="AY150" s="103" t="s">
        <v>456</v>
      </c>
      <c r="AZ150" s="103" t="s">
        <v>826</v>
      </c>
      <c r="BA150" s="103" t="s">
        <v>158</v>
      </c>
      <c r="BB150" s="298">
        <v>327517</v>
      </c>
      <c r="BF150" s="249"/>
    </row>
    <row r="151" spans="51:58" ht="12.75">
      <c r="AY151" s="103" t="s">
        <v>554</v>
      </c>
      <c r="AZ151" s="103" t="s">
        <v>827</v>
      </c>
      <c r="BA151" s="103" t="s">
        <v>158</v>
      </c>
      <c r="BB151" s="298">
        <v>209261</v>
      </c>
      <c r="BF151" s="249"/>
    </row>
    <row r="152" spans="51:58" ht="12.75">
      <c r="AY152" s="103" t="s">
        <v>555</v>
      </c>
      <c r="AZ152" s="103" t="s">
        <v>828</v>
      </c>
      <c r="BA152" s="103" t="s">
        <v>158</v>
      </c>
      <c r="BB152" s="298">
        <v>184345</v>
      </c>
      <c r="BE152" s="247"/>
      <c r="BF152" s="236"/>
    </row>
    <row r="153" spans="51:58" ht="12.75">
      <c r="AY153" s="103" t="s">
        <v>441</v>
      </c>
      <c r="AZ153" s="103" t="s">
        <v>829</v>
      </c>
      <c r="BA153" s="103" t="s">
        <v>158</v>
      </c>
      <c r="BB153" s="298">
        <v>278239</v>
      </c>
      <c r="BF153" s="249"/>
    </row>
    <row r="154" spans="51:58" ht="12.75">
      <c r="AY154" s="103" t="s">
        <v>430</v>
      </c>
      <c r="AZ154" s="103" t="s">
        <v>830</v>
      </c>
      <c r="BA154" s="103" t="s">
        <v>158</v>
      </c>
      <c r="BB154" s="298">
        <v>293890</v>
      </c>
      <c r="BE154" s="234"/>
      <c r="BF154" s="235"/>
    </row>
    <row r="155" spans="51:58" ht="12.75">
      <c r="AY155" s="103" t="s">
        <v>467</v>
      </c>
      <c r="AZ155" s="103" t="s">
        <v>831</v>
      </c>
      <c r="BA155" s="103" t="s">
        <v>158</v>
      </c>
      <c r="BB155" s="298">
        <v>350283</v>
      </c>
      <c r="BE155" s="70"/>
      <c r="BF155" s="236"/>
    </row>
    <row r="156" spans="51:58" ht="12.75">
      <c r="AY156" s="103" t="s">
        <v>439</v>
      </c>
      <c r="AZ156" s="103" t="s">
        <v>832</v>
      </c>
      <c r="BA156" s="103" t="s">
        <v>158</v>
      </c>
      <c r="BB156" s="298">
        <v>219681</v>
      </c>
      <c r="BF156" s="249"/>
    </row>
    <row r="157" spans="51:58" ht="12.75">
      <c r="AY157" s="103" t="s">
        <v>460</v>
      </c>
      <c r="AZ157" s="103" t="s">
        <v>833</v>
      </c>
      <c r="BA157" s="103" t="s">
        <v>158</v>
      </c>
      <c r="BB157" s="298">
        <v>191568</v>
      </c>
      <c r="BF157" s="249"/>
    </row>
    <row r="158" spans="51:58" ht="12.75">
      <c r="AY158" s="103" t="s">
        <v>542</v>
      </c>
      <c r="AZ158" s="103" t="s">
        <v>834</v>
      </c>
      <c r="BA158" s="103" t="s">
        <v>158</v>
      </c>
      <c r="BB158" s="298">
        <v>123049</v>
      </c>
      <c r="BF158" s="249"/>
    </row>
    <row r="159" spans="51:58" ht="12.75">
      <c r="AY159" s="103" t="s">
        <v>427</v>
      </c>
      <c r="AZ159" s="103" t="s">
        <v>835</v>
      </c>
      <c r="BA159" s="103" t="s">
        <v>158</v>
      </c>
      <c r="BB159" s="298">
        <v>300515</v>
      </c>
      <c r="BF159" s="249"/>
    </row>
    <row r="160" spans="51:58" ht="12.75">
      <c r="AY160" s="103" t="s">
        <v>539</v>
      </c>
      <c r="AZ160" s="103" t="s">
        <v>836</v>
      </c>
      <c r="BA160" s="103" t="s">
        <v>158</v>
      </c>
      <c r="BB160" s="298">
        <v>212778</v>
      </c>
      <c r="BE160" s="70"/>
      <c r="BF160" s="236"/>
    </row>
    <row r="161" spans="51:58" ht="12.75">
      <c r="AY161" s="103" t="s">
        <v>428</v>
      </c>
      <c r="AZ161" s="103" t="s">
        <v>837</v>
      </c>
      <c r="BA161" s="103" t="s">
        <v>158</v>
      </c>
      <c r="BB161" s="298">
        <v>185366</v>
      </c>
      <c r="BE161" s="70"/>
      <c r="BF161" s="238"/>
    </row>
    <row r="162" spans="51:58" ht="12.75">
      <c r="AY162" s="103" t="s">
        <v>551</v>
      </c>
      <c r="AZ162" s="103" t="s">
        <v>838</v>
      </c>
      <c r="BA162" s="103" t="s">
        <v>158</v>
      </c>
      <c r="BB162" s="298">
        <v>486131</v>
      </c>
      <c r="BE162" s="234"/>
      <c r="BF162" s="235"/>
    </row>
    <row r="163" spans="51:58" ht="12.75">
      <c r="AY163" s="103" t="s">
        <v>450</v>
      </c>
      <c r="AZ163" s="103" t="s">
        <v>839</v>
      </c>
      <c r="BA163" s="103" t="s">
        <v>158</v>
      </c>
      <c r="BB163" s="298">
        <v>123717</v>
      </c>
      <c r="BE163" s="70"/>
      <c r="BF163" s="236"/>
    </row>
    <row r="164" spans="51:58" ht="12.75">
      <c r="AY164" s="103" t="s">
        <v>500</v>
      </c>
      <c r="AZ164" s="103" t="s">
        <v>840</v>
      </c>
      <c r="BA164" s="103" t="s">
        <v>158</v>
      </c>
      <c r="BB164" s="298">
        <v>246419</v>
      </c>
      <c r="BE164" s="245"/>
      <c r="BF164" s="238"/>
    </row>
    <row r="165" spans="51:58" ht="12.75">
      <c r="AY165" s="103" t="s">
        <v>546</v>
      </c>
      <c r="AZ165" s="103" t="s">
        <v>841</v>
      </c>
      <c r="BA165" s="103" t="s">
        <v>158</v>
      </c>
      <c r="BB165" s="298">
        <v>168051</v>
      </c>
      <c r="BF165" s="249"/>
    </row>
    <row r="166" spans="51:58" ht="12.75">
      <c r="AY166" s="103" t="s">
        <v>547</v>
      </c>
      <c r="AZ166" s="103" t="s">
        <v>842</v>
      </c>
      <c r="BA166" s="103" t="s">
        <v>158</v>
      </c>
      <c r="BB166" s="298">
        <v>212679</v>
      </c>
      <c r="BE166" s="70"/>
      <c r="BF166" s="246"/>
    </row>
    <row r="167" spans="51:58" ht="12.75">
      <c r="AY167" s="103" t="s">
        <v>537</v>
      </c>
      <c r="AZ167" s="103" t="s">
        <v>843</v>
      </c>
      <c r="BA167" s="103" t="s">
        <v>158</v>
      </c>
      <c r="BB167" s="298">
        <v>182204</v>
      </c>
      <c r="BF167" s="249"/>
    </row>
    <row r="168" spans="51:58" ht="12.75">
      <c r="AY168" s="103" t="s">
        <v>438</v>
      </c>
      <c r="AZ168" s="103" t="s">
        <v>844</v>
      </c>
      <c r="BA168" s="103" t="s">
        <v>158</v>
      </c>
      <c r="BB168" s="298">
        <v>275970</v>
      </c>
      <c r="BE168" s="234"/>
      <c r="BF168" s="235"/>
    </row>
    <row r="169" spans="51:58" ht="12.75">
      <c r="AY169" s="103" t="s">
        <v>552</v>
      </c>
      <c r="AZ169" s="103" t="s">
        <v>845</v>
      </c>
      <c r="BA169" s="103" t="s">
        <v>158</v>
      </c>
      <c r="BB169" s="298">
        <v>224363</v>
      </c>
      <c r="BE169" s="234"/>
      <c r="BF169" s="235"/>
    </row>
    <row r="170" spans="51:58" ht="12.75">
      <c r="AY170" s="103" t="s">
        <v>496</v>
      </c>
      <c r="AZ170" s="103" t="s">
        <v>846</v>
      </c>
      <c r="BA170" s="103" t="s">
        <v>158</v>
      </c>
      <c r="BB170" s="298">
        <v>349206</v>
      </c>
      <c r="BE170" s="70"/>
      <c r="BF170" s="238"/>
    </row>
    <row r="171" spans="51:58" ht="12.75">
      <c r="AY171" s="103" t="s">
        <v>538</v>
      </c>
      <c r="AZ171" s="103" t="s">
        <v>847</v>
      </c>
      <c r="BA171" s="103" t="s">
        <v>158</v>
      </c>
      <c r="BB171" s="298">
        <v>199887</v>
      </c>
      <c r="BE171" s="70"/>
      <c r="BF171" s="236"/>
    </row>
    <row r="172" spans="51:58" ht="12.75">
      <c r="AY172" s="103" t="s">
        <v>549</v>
      </c>
      <c r="AZ172" s="103" t="s">
        <v>848</v>
      </c>
      <c r="BA172" s="103" t="s">
        <v>158</v>
      </c>
      <c r="BB172" s="298">
        <v>90403</v>
      </c>
      <c r="BE172" s="70"/>
      <c r="BF172" s="238"/>
    </row>
    <row r="173" spans="51:58" ht="12.75">
      <c r="AY173" s="103" t="s">
        <v>464</v>
      </c>
      <c r="AZ173" s="103" t="s">
        <v>849</v>
      </c>
      <c r="BA173" s="103" t="s">
        <v>158</v>
      </c>
      <c r="BB173" s="298">
        <v>108078</v>
      </c>
      <c r="BE173" s="70"/>
      <c r="BF173" s="236"/>
    </row>
    <row r="174" spans="51:58" ht="12.75">
      <c r="AY174" s="103" t="s">
        <v>541</v>
      </c>
      <c r="AZ174" s="103" t="s">
        <v>850</v>
      </c>
      <c r="BA174" s="103" t="s">
        <v>158</v>
      </c>
      <c r="BB174" s="298">
        <v>136220</v>
      </c>
      <c r="BF174" s="249"/>
    </row>
    <row r="175" spans="51:58" ht="12.75">
      <c r="AY175" s="103" t="s">
        <v>564</v>
      </c>
      <c r="AZ175" s="103" t="s">
        <v>851</v>
      </c>
      <c r="BA175" s="103" t="s">
        <v>158</v>
      </c>
      <c r="BB175" s="298">
        <v>136117</v>
      </c>
      <c r="BF175" s="249"/>
    </row>
    <row r="176" spans="51:58" ht="12.75">
      <c r="AY176" s="103" t="s">
        <v>426</v>
      </c>
      <c r="AZ176" s="103" t="s">
        <v>852</v>
      </c>
      <c r="BA176" s="103" t="s">
        <v>158</v>
      </c>
      <c r="BB176" s="298">
        <v>298584</v>
      </c>
      <c r="BE176" s="234"/>
      <c r="BF176" s="235"/>
    </row>
    <row r="177" spans="51:58" ht="12.75">
      <c r="AY177" s="103" t="s">
        <v>561</v>
      </c>
      <c r="AZ177" s="103" t="s">
        <v>853</v>
      </c>
      <c r="BA177" s="103" t="s">
        <v>158</v>
      </c>
      <c r="BB177" s="298">
        <v>213947</v>
      </c>
      <c r="BE177" s="234"/>
      <c r="BF177" s="235"/>
    </row>
    <row r="178" spans="51:58" ht="12.75">
      <c r="AY178" s="103" t="s">
        <v>559</v>
      </c>
      <c r="AZ178" s="103" t="s">
        <v>854</v>
      </c>
      <c r="BA178" s="103" t="s">
        <v>158</v>
      </c>
      <c r="BB178" s="298">
        <v>199679</v>
      </c>
      <c r="BE178" s="70"/>
      <c r="BF178" s="238"/>
    </row>
    <row r="179" spans="51:58" ht="12.75">
      <c r="AY179" s="103" t="s">
        <v>563</v>
      </c>
      <c r="AZ179" s="103" t="s">
        <v>855</v>
      </c>
      <c r="BA179" s="103" t="s">
        <v>250</v>
      </c>
      <c r="BB179" s="298">
        <v>140954</v>
      </c>
      <c r="BF179" s="249"/>
    </row>
    <row r="180" spans="51:58" ht="12.75">
      <c r="AY180" s="103" t="s">
        <v>562</v>
      </c>
      <c r="AZ180" s="103" t="s">
        <v>856</v>
      </c>
      <c r="BA180" s="103" t="s">
        <v>158</v>
      </c>
      <c r="BB180" s="298">
        <v>113978</v>
      </c>
      <c r="BE180" s="244"/>
      <c r="BF180" s="246"/>
    </row>
    <row r="181" spans="51:58" ht="12.75">
      <c r="AY181" s="103" t="s">
        <v>566</v>
      </c>
      <c r="AZ181" s="103" t="s">
        <v>857</v>
      </c>
      <c r="BA181" s="103" t="s">
        <v>158</v>
      </c>
      <c r="BB181" s="298">
        <v>107019</v>
      </c>
      <c r="BF181" s="249"/>
    </row>
    <row r="182" spans="51:58" ht="12.75">
      <c r="AY182" s="103" t="s">
        <v>568</v>
      </c>
      <c r="AZ182" s="103" t="s">
        <v>858</v>
      </c>
      <c r="BA182" s="103" t="s">
        <v>250</v>
      </c>
      <c r="BB182" s="298">
        <v>681439</v>
      </c>
      <c r="BF182" s="249"/>
    </row>
    <row r="183" spans="51:58" ht="12.75">
      <c r="AY183" s="103" t="s">
        <v>486</v>
      </c>
      <c r="AZ183" s="103" t="s">
        <v>859</v>
      </c>
      <c r="BA183" s="103" t="s">
        <v>158</v>
      </c>
      <c r="BB183" s="298">
        <v>216450</v>
      </c>
      <c r="BE183" s="70"/>
      <c r="BF183" s="238"/>
    </row>
    <row r="184" spans="51:58" ht="12.75">
      <c r="AY184" s="103" t="s">
        <v>445</v>
      </c>
      <c r="AZ184" s="103" t="s">
        <v>860</v>
      </c>
      <c r="BA184" s="103" t="s">
        <v>158</v>
      </c>
      <c r="BB184" s="298">
        <v>143386</v>
      </c>
      <c r="BE184" s="70"/>
      <c r="BF184" s="238"/>
    </row>
    <row r="185" spans="51:58" ht="12.75">
      <c r="AY185" s="103" t="s">
        <v>472</v>
      </c>
      <c r="AZ185" s="103" t="s">
        <v>861</v>
      </c>
      <c r="BA185" s="103" t="s">
        <v>158</v>
      </c>
      <c r="BB185" s="298">
        <v>203460</v>
      </c>
      <c r="BF185" s="249"/>
    </row>
    <row r="186" spans="51:58" ht="12.75">
      <c r="AY186" s="103" t="s">
        <v>485</v>
      </c>
      <c r="AZ186" s="103" t="s">
        <v>862</v>
      </c>
      <c r="BA186" s="103" t="s">
        <v>158</v>
      </c>
      <c r="BB186" s="298">
        <v>121932</v>
      </c>
      <c r="BF186" s="249"/>
    </row>
    <row r="187" spans="51:58" ht="12.75">
      <c r="AY187" s="103" t="s">
        <v>558</v>
      </c>
      <c r="AZ187" s="103" t="s">
        <v>863</v>
      </c>
      <c r="BA187" s="103" t="s">
        <v>158</v>
      </c>
      <c r="BB187" s="298">
        <v>265148</v>
      </c>
      <c r="BE187" s="234"/>
      <c r="BF187" s="235"/>
    </row>
    <row r="188" spans="51:58" ht="12.75">
      <c r="AY188" s="103" t="s">
        <v>478</v>
      </c>
      <c r="AZ188" s="103" t="s">
        <v>864</v>
      </c>
      <c r="BA188" s="103" t="s">
        <v>158</v>
      </c>
      <c r="BB188" s="298">
        <v>198019</v>
      </c>
      <c r="BF188" s="238"/>
    </row>
    <row r="189" spans="51:58" ht="12.75">
      <c r="AY189" s="103" t="s">
        <v>560</v>
      </c>
      <c r="AZ189" s="103" t="s">
        <v>865</v>
      </c>
      <c r="BA189" s="103" t="s">
        <v>158</v>
      </c>
      <c r="BB189" s="298">
        <v>539951</v>
      </c>
      <c r="BF189" s="238"/>
    </row>
    <row r="190" spans="51:58" ht="12.75">
      <c r="AY190" s="103" t="s">
        <v>455</v>
      </c>
      <c r="AZ190" s="103" t="s">
        <v>866</v>
      </c>
      <c r="BA190" s="103" t="s">
        <v>158</v>
      </c>
      <c r="BB190" s="298">
        <v>150550</v>
      </c>
      <c r="BE190" s="234"/>
      <c r="BF190" s="235"/>
    </row>
    <row r="191" spans="51:58" ht="12.75">
      <c r="AY191" s="103" t="s">
        <v>565</v>
      </c>
      <c r="AZ191" s="103" t="s">
        <v>867</v>
      </c>
      <c r="BA191" s="103" t="s">
        <v>158</v>
      </c>
      <c r="BB191" s="298">
        <v>154220</v>
      </c>
      <c r="BE191" s="70"/>
      <c r="BF191" s="236"/>
    </row>
    <row r="192" spans="51:58" ht="12.75">
      <c r="AY192" s="103" t="s">
        <v>341</v>
      </c>
      <c r="AZ192" s="103" t="s">
        <v>868</v>
      </c>
      <c r="BA192" s="103" t="s">
        <v>158</v>
      </c>
      <c r="BB192" s="298">
        <v>197124</v>
      </c>
      <c r="BE192" s="70"/>
      <c r="BF192" s="236"/>
    </row>
    <row r="193" spans="51:58" ht="12.75">
      <c r="AY193" s="103" t="s">
        <v>342</v>
      </c>
      <c r="AZ193" s="103" t="s">
        <v>869</v>
      </c>
      <c r="BA193" s="103" t="s">
        <v>158</v>
      </c>
      <c r="BB193" s="298">
        <v>475661</v>
      </c>
      <c r="BE193" s="70"/>
      <c r="BF193" s="236"/>
    </row>
    <row r="194" spans="51:58" ht="12.75">
      <c r="AY194" s="103" t="s">
        <v>556</v>
      </c>
      <c r="AZ194" s="103" t="s">
        <v>870</v>
      </c>
      <c r="BA194" s="103" t="s">
        <v>158</v>
      </c>
      <c r="BB194" s="298">
        <v>760798</v>
      </c>
      <c r="BE194" s="70"/>
      <c r="BF194" s="236"/>
    </row>
    <row r="195" spans="51:58" ht="12.75">
      <c r="AY195" s="103" t="s">
        <v>348</v>
      </c>
      <c r="AZ195" s="103" t="s">
        <v>871</v>
      </c>
      <c r="BA195" s="103" t="s">
        <v>158</v>
      </c>
      <c r="BB195" s="298">
        <v>614551</v>
      </c>
      <c r="BE195" s="70"/>
      <c r="BF195" s="236"/>
    </row>
    <row r="196" spans="51:58" ht="12.75">
      <c r="AY196" s="103" t="s">
        <v>345</v>
      </c>
      <c r="AZ196" s="103" t="s">
        <v>872</v>
      </c>
      <c r="BA196" s="103" t="s">
        <v>158</v>
      </c>
      <c r="BB196" s="298">
        <v>555618</v>
      </c>
      <c r="BE196" s="70"/>
      <c r="BF196" s="236"/>
    </row>
    <row r="197" spans="51:58" ht="12.75">
      <c r="AY197" s="103" t="s">
        <v>343</v>
      </c>
      <c r="AZ197" s="103" t="s">
        <v>873</v>
      </c>
      <c r="BA197" s="103" t="s">
        <v>158</v>
      </c>
      <c r="BB197" s="298">
        <v>209917</v>
      </c>
      <c r="BE197" s="70"/>
      <c r="BF197" s="236"/>
    </row>
    <row r="198" spans="51:58" ht="12.75">
      <c r="AY198" s="103" t="s">
        <v>349</v>
      </c>
      <c r="AZ198" s="103" t="s">
        <v>874</v>
      </c>
      <c r="BA198" s="103" t="s">
        <v>158</v>
      </c>
      <c r="BB198" s="298">
        <v>543498</v>
      </c>
      <c r="BF198" s="249"/>
    </row>
    <row r="199" spans="51:58" ht="12.75">
      <c r="AY199" s="103" t="s">
        <v>344</v>
      </c>
      <c r="AZ199" s="103" t="s">
        <v>875</v>
      </c>
      <c r="BA199" s="103" t="s">
        <v>158</v>
      </c>
      <c r="BB199" s="298">
        <v>256061</v>
      </c>
      <c r="BE199" s="70"/>
      <c r="BF199" s="238"/>
    </row>
    <row r="200" spans="51:58" ht="12.75">
      <c r="AY200" s="103" t="s">
        <v>425</v>
      </c>
      <c r="AZ200" s="103" t="s">
        <v>876</v>
      </c>
      <c r="BA200" s="103" t="s">
        <v>250</v>
      </c>
      <c r="BB200" s="298">
        <v>221360</v>
      </c>
      <c r="BE200" s="70"/>
      <c r="BF200" s="236"/>
    </row>
    <row r="201" spans="51:58" ht="12.75">
      <c r="AY201" s="103" t="s">
        <v>398</v>
      </c>
      <c r="AZ201" s="103" t="s">
        <v>877</v>
      </c>
      <c r="BA201" s="103" t="s">
        <v>158</v>
      </c>
      <c r="BB201" s="298">
        <v>331160</v>
      </c>
      <c r="BF201" s="249"/>
    </row>
    <row r="202" spans="51:58" ht="12.75">
      <c r="AY202" s="103" t="s">
        <v>366</v>
      </c>
      <c r="AZ202" s="103" t="s">
        <v>878</v>
      </c>
      <c r="BA202" s="103" t="s">
        <v>158</v>
      </c>
      <c r="BB202" s="298">
        <v>723927</v>
      </c>
      <c r="BF202" s="249"/>
    </row>
    <row r="203" spans="51:58" ht="12.75">
      <c r="AY203" s="103" t="s">
        <v>393</v>
      </c>
      <c r="AZ203" s="103" t="s">
        <v>879</v>
      </c>
      <c r="BA203" s="103" t="s">
        <v>158</v>
      </c>
      <c r="BB203" s="298">
        <v>492711</v>
      </c>
      <c r="BF203" s="249"/>
    </row>
    <row r="204" spans="51:58" ht="12.75">
      <c r="AY204" s="103" t="s">
        <v>499</v>
      </c>
      <c r="AZ204" s="103" t="s">
        <v>880</v>
      </c>
      <c r="BA204" s="103" t="s">
        <v>158</v>
      </c>
      <c r="BB204" s="298">
        <v>214926</v>
      </c>
      <c r="BF204" s="249"/>
    </row>
    <row r="205" spans="51:58" ht="12.75">
      <c r="AY205" s="103" t="s">
        <v>523</v>
      </c>
      <c r="AZ205" s="103" t="s">
        <v>881</v>
      </c>
      <c r="BA205" s="103" t="s">
        <v>158</v>
      </c>
      <c r="BB205" s="298">
        <v>156440</v>
      </c>
      <c r="BE205" s="70"/>
      <c r="BF205" s="236"/>
    </row>
    <row r="206" spans="51:58" ht="12.75">
      <c r="AY206" s="103" t="s">
        <v>449</v>
      </c>
      <c r="AZ206" s="103" t="s">
        <v>882</v>
      </c>
      <c r="BA206" s="103" t="s">
        <v>158</v>
      </c>
      <c r="BB206" s="298">
        <v>262252</v>
      </c>
      <c r="BE206" s="70"/>
      <c r="BF206" s="237"/>
    </row>
    <row r="207" spans="51:58" ht="12.75">
      <c r="AY207" s="103" t="s">
        <v>463</v>
      </c>
      <c r="AZ207" s="103" t="s">
        <v>883</v>
      </c>
      <c r="BA207" s="103" t="s">
        <v>158</v>
      </c>
      <c r="BB207" s="298">
        <v>177806</v>
      </c>
      <c r="BE207" s="234"/>
      <c r="BF207" s="239"/>
    </row>
    <row r="208" spans="51:58" ht="12.75">
      <c r="AY208" s="103" t="s">
        <v>480</v>
      </c>
      <c r="AZ208" s="103" t="s">
        <v>884</v>
      </c>
      <c r="BA208" s="103" t="s">
        <v>158</v>
      </c>
      <c r="BB208" s="298">
        <v>184659</v>
      </c>
      <c r="BE208" s="234"/>
      <c r="BF208" s="239"/>
    </row>
    <row r="209" spans="51:58" ht="12.75">
      <c r="AY209" s="103" t="s">
        <v>548</v>
      </c>
      <c r="AZ209" s="103" t="s">
        <v>885</v>
      </c>
      <c r="BA209" s="103" t="s">
        <v>158</v>
      </c>
      <c r="BB209" s="298">
        <v>289448</v>
      </c>
      <c r="BE209" s="234"/>
      <c r="BF209" s="239"/>
    </row>
    <row r="210" spans="51:58" ht="12.75">
      <c r="AY210" s="103" t="s">
        <v>540</v>
      </c>
      <c r="AZ210" s="103" t="s">
        <v>886</v>
      </c>
      <c r="BA210" s="103" t="s">
        <v>158</v>
      </c>
      <c r="BB210" s="298">
        <v>466241</v>
      </c>
      <c r="BE210" s="234"/>
      <c r="BF210" s="239"/>
    </row>
    <row r="211" spans="51:58" ht="12.75">
      <c r="AY211" s="103" t="s">
        <v>536</v>
      </c>
      <c r="AZ211" s="103" t="s">
        <v>887</v>
      </c>
      <c r="BA211" s="103" t="s">
        <v>158</v>
      </c>
      <c r="BB211" s="298">
        <v>164555</v>
      </c>
      <c r="BE211" s="234"/>
      <c r="BF211" s="239"/>
    </row>
    <row r="212" spans="51:58" ht="12.75">
      <c r="AY212" s="103" t="s">
        <v>550</v>
      </c>
      <c r="AZ212" s="103" t="s">
        <v>888</v>
      </c>
      <c r="BA212" s="103" t="s">
        <v>158</v>
      </c>
      <c r="BB212" s="298">
        <v>216963</v>
      </c>
      <c r="BE212" s="234"/>
      <c r="BF212" s="239"/>
    </row>
    <row r="213" spans="51:58" ht="12.75">
      <c r="AY213" s="103" t="s">
        <v>557</v>
      </c>
      <c r="AZ213" s="103" t="s">
        <v>889</v>
      </c>
      <c r="BA213" s="103" t="s">
        <v>158</v>
      </c>
      <c r="BB213" s="298">
        <v>447767</v>
      </c>
      <c r="BE213" s="234"/>
      <c r="BF213" s="235"/>
    </row>
    <row r="214" spans="51:58" ht="12.75">
      <c r="AY214" s="103" t="s">
        <v>346</v>
      </c>
      <c r="AZ214" s="103" t="s">
        <v>890</v>
      </c>
      <c r="BA214" s="103" t="s">
        <v>158</v>
      </c>
      <c r="BB214" s="298">
        <v>901403</v>
      </c>
      <c r="BE214" s="234"/>
      <c r="BF214" s="235"/>
    </row>
    <row r="215" spans="51:58" ht="12.75">
      <c r="AY215" s="103" t="s">
        <v>347</v>
      </c>
      <c r="AZ215" s="103" t="s">
        <v>891</v>
      </c>
      <c r="BA215" s="103" t="s">
        <v>158</v>
      </c>
      <c r="BB215" s="298">
        <v>274473</v>
      </c>
      <c r="BE215" s="234"/>
      <c r="BF215" s="235"/>
    </row>
    <row r="216" spans="51:58" ht="12.75">
      <c r="AY216" s="103" t="s">
        <v>24</v>
      </c>
      <c r="AZ216" s="103" t="s">
        <v>24</v>
      </c>
      <c r="BA216" s="103" t="s">
        <v>158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INDEX(A5:A111,A4)</f>
        <v>(M85123) AL-SHAFA MEDICAL CENTRE</v>
      </c>
      <c r="B3" s="56" t="s">
        <v>774</v>
      </c>
      <c r="C3" s="56" t="s">
        <v>24</v>
      </c>
    </row>
    <row r="4" spans="1:2" ht="12.75">
      <c r="A4" s="76">
        <v>1</v>
      </c>
      <c r="B4" s="78" t="s">
        <v>367</v>
      </c>
    </row>
    <row r="5" ht="12.75">
      <c r="A5" s="277" t="s">
        <v>265</v>
      </c>
    </row>
    <row r="6" ht="12.75">
      <c r="A6" s="277" t="s">
        <v>328</v>
      </c>
    </row>
    <row r="7" ht="12.75">
      <c r="A7" s="277" t="s">
        <v>308</v>
      </c>
    </row>
    <row r="8" ht="12.75">
      <c r="A8" s="277" t="s">
        <v>298</v>
      </c>
    </row>
    <row r="9" ht="12.75">
      <c r="A9" s="277" t="s">
        <v>294</v>
      </c>
    </row>
    <row r="10" ht="12.75">
      <c r="A10" s="277" t="s">
        <v>273</v>
      </c>
    </row>
    <row r="11" ht="12.75">
      <c r="A11" s="277" t="s">
        <v>327</v>
      </c>
    </row>
    <row r="12" ht="12.75">
      <c r="A12" s="277" t="s">
        <v>293</v>
      </c>
    </row>
    <row r="13" ht="12.75">
      <c r="A13" s="277" t="s">
        <v>313</v>
      </c>
    </row>
    <row r="14" ht="12.75">
      <c r="A14" s="277" t="s">
        <v>373</v>
      </c>
    </row>
    <row r="15" ht="12.75">
      <c r="A15" s="277" t="s">
        <v>276</v>
      </c>
    </row>
    <row r="16" ht="12.75">
      <c r="A16" s="277" t="s">
        <v>302</v>
      </c>
    </row>
    <row r="17" ht="12.75">
      <c r="A17" s="277" t="s">
        <v>278</v>
      </c>
    </row>
    <row r="18" ht="12.75">
      <c r="A18" s="277" t="s">
        <v>372</v>
      </c>
    </row>
    <row r="19" ht="12.75">
      <c r="A19" s="277" t="s">
        <v>266</v>
      </c>
    </row>
    <row r="20" ht="12.75">
      <c r="A20" s="277" t="s">
        <v>305</v>
      </c>
    </row>
    <row r="21" ht="12.75">
      <c r="A21" s="277" t="s">
        <v>320</v>
      </c>
    </row>
    <row r="22" ht="12.75">
      <c r="A22" s="277" t="s">
        <v>917</v>
      </c>
    </row>
    <row r="23" ht="12.75">
      <c r="A23" s="277" t="s">
        <v>918</v>
      </c>
    </row>
    <row r="24" ht="12.75">
      <c r="A24" s="277" t="s">
        <v>300</v>
      </c>
    </row>
    <row r="25" ht="12.75">
      <c r="A25" s="277" t="s">
        <v>277</v>
      </c>
    </row>
    <row r="26" ht="12.75">
      <c r="A26" s="277" t="s">
        <v>382</v>
      </c>
    </row>
    <row r="27" ht="12.75">
      <c r="A27" s="277" t="s">
        <v>312</v>
      </c>
    </row>
    <row r="28" ht="12.75">
      <c r="A28" s="277" t="s">
        <v>926</v>
      </c>
    </row>
    <row r="29" ht="12.75">
      <c r="A29" s="277" t="s">
        <v>927</v>
      </c>
    </row>
    <row r="30" ht="12.75">
      <c r="A30" s="277" t="s">
        <v>314</v>
      </c>
    </row>
    <row r="31" ht="12.75">
      <c r="A31" s="277" t="s">
        <v>316</v>
      </c>
    </row>
    <row r="32" ht="12.75">
      <c r="A32" s="277" t="s">
        <v>326</v>
      </c>
    </row>
    <row r="33" ht="12.75">
      <c r="A33" s="277" t="s">
        <v>928</v>
      </c>
    </row>
    <row r="34" ht="12.75">
      <c r="A34" s="277" t="s">
        <v>919</v>
      </c>
    </row>
    <row r="35" ht="12.75">
      <c r="A35" s="277" t="s">
        <v>318</v>
      </c>
    </row>
    <row r="36" ht="12.75">
      <c r="A36" s="277" t="s">
        <v>378</v>
      </c>
    </row>
    <row r="37" ht="12.75">
      <c r="A37" s="277" t="s">
        <v>920</v>
      </c>
    </row>
    <row r="38" ht="12.75">
      <c r="A38" s="277" t="s">
        <v>322</v>
      </c>
    </row>
    <row r="39" ht="12.75">
      <c r="A39" s="277" t="s">
        <v>377</v>
      </c>
    </row>
    <row r="40" ht="12.75">
      <c r="A40" s="277" t="s">
        <v>317</v>
      </c>
    </row>
    <row r="41" ht="12.75">
      <c r="A41" s="277" t="s">
        <v>315</v>
      </c>
    </row>
    <row r="42" ht="12.75">
      <c r="A42" s="277" t="s">
        <v>921</v>
      </c>
    </row>
    <row r="43" ht="12.75">
      <c r="A43" s="277" t="s">
        <v>296</v>
      </c>
    </row>
    <row r="44" ht="12.75">
      <c r="A44" s="277" t="s">
        <v>268</v>
      </c>
    </row>
    <row r="45" ht="12.75">
      <c r="A45" s="277" t="s">
        <v>270</v>
      </c>
    </row>
    <row r="46" ht="12.75">
      <c r="A46" s="277" t="s">
        <v>259</v>
      </c>
    </row>
    <row r="47" ht="12.75">
      <c r="A47" s="277" t="s">
        <v>383</v>
      </c>
    </row>
    <row r="48" ht="12.75">
      <c r="A48" s="277" t="s">
        <v>380</v>
      </c>
    </row>
    <row r="49" ht="12.75">
      <c r="A49" s="277" t="s">
        <v>295</v>
      </c>
    </row>
    <row r="50" ht="12.75">
      <c r="A50" s="277" t="s">
        <v>285</v>
      </c>
    </row>
    <row r="51" ht="12.75">
      <c r="A51" s="277" t="s">
        <v>923</v>
      </c>
    </row>
    <row r="52" ht="12.75">
      <c r="A52" s="277" t="s">
        <v>257</v>
      </c>
    </row>
    <row r="53" ht="12.75">
      <c r="A53" s="277" t="s">
        <v>924</v>
      </c>
    </row>
    <row r="54" ht="12.75">
      <c r="A54" s="277" t="s">
        <v>309</v>
      </c>
    </row>
    <row r="55" ht="12.75">
      <c r="A55" s="277" t="s">
        <v>282</v>
      </c>
    </row>
    <row r="56" ht="12.75">
      <c r="A56" s="277" t="s">
        <v>256</v>
      </c>
    </row>
    <row r="57" ht="12.75">
      <c r="A57" s="277" t="s">
        <v>374</v>
      </c>
    </row>
    <row r="58" ht="12.75">
      <c r="A58" s="277" t="s">
        <v>261</v>
      </c>
    </row>
    <row r="59" ht="12.75">
      <c r="A59" s="277" t="s">
        <v>454</v>
      </c>
    </row>
    <row r="60" ht="12.75">
      <c r="A60" s="277" t="s">
        <v>255</v>
      </c>
    </row>
    <row r="61" ht="12.75">
      <c r="A61" s="277" t="s">
        <v>307</v>
      </c>
    </row>
    <row r="62" ht="12.75">
      <c r="A62" s="277" t="s">
        <v>271</v>
      </c>
    </row>
    <row r="63" ht="12.75">
      <c r="A63" s="277" t="s">
        <v>325</v>
      </c>
    </row>
    <row r="64" ht="12.75">
      <c r="A64" s="277" t="s">
        <v>283</v>
      </c>
    </row>
    <row r="65" ht="12.75">
      <c r="A65" s="277" t="s">
        <v>284</v>
      </c>
    </row>
    <row r="66" ht="12.75">
      <c r="A66" s="277" t="s">
        <v>279</v>
      </c>
    </row>
    <row r="67" ht="12.75">
      <c r="A67" s="277" t="s">
        <v>376</v>
      </c>
    </row>
    <row r="68" ht="12.75">
      <c r="A68" s="277" t="s">
        <v>299</v>
      </c>
    </row>
    <row r="69" ht="12.75">
      <c r="A69" s="277" t="s">
        <v>269</v>
      </c>
    </row>
    <row r="70" ht="12.75">
      <c r="A70" s="277" t="s">
        <v>281</v>
      </c>
    </row>
    <row r="71" ht="12.75">
      <c r="A71" s="277" t="s">
        <v>458</v>
      </c>
    </row>
    <row r="72" ht="12.75">
      <c r="A72" s="277" t="s">
        <v>260</v>
      </c>
    </row>
    <row r="73" ht="12.75">
      <c r="A73" s="277" t="s">
        <v>306</v>
      </c>
    </row>
    <row r="74" ht="12.75">
      <c r="A74" s="277" t="s">
        <v>319</v>
      </c>
    </row>
    <row r="75" ht="12.75">
      <c r="A75" s="277" t="s">
        <v>371</v>
      </c>
    </row>
    <row r="76" ht="12.75">
      <c r="A76" s="277" t="s">
        <v>330</v>
      </c>
    </row>
    <row r="77" ht="12.75">
      <c r="A77" s="277" t="s">
        <v>497</v>
      </c>
    </row>
    <row r="78" ht="12.75">
      <c r="A78" s="277" t="s">
        <v>329</v>
      </c>
    </row>
    <row r="79" ht="12.75">
      <c r="A79" s="277" t="s">
        <v>321</v>
      </c>
    </row>
    <row r="80" ht="12.75">
      <c r="A80" s="277" t="s">
        <v>384</v>
      </c>
    </row>
    <row r="81" ht="12.75">
      <c r="A81" s="277" t="s">
        <v>267</v>
      </c>
    </row>
    <row r="82" ht="12.75">
      <c r="A82" s="277" t="s">
        <v>258</v>
      </c>
    </row>
    <row r="83" ht="12.75">
      <c r="A83" s="277" t="s">
        <v>292</v>
      </c>
    </row>
    <row r="84" ht="12.75">
      <c r="A84" s="277" t="s">
        <v>290</v>
      </c>
    </row>
    <row r="85" ht="12.75">
      <c r="A85" s="277" t="s">
        <v>289</v>
      </c>
    </row>
    <row r="86" ht="12.75">
      <c r="A86" s="277" t="s">
        <v>379</v>
      </c>
    </row>
    <row r="87" ht="12.75">
      <c r="A87" s="277" t="s">
        <v>297</v>
      </c>
    </row>
    <row r="88" ht="12.75">
      <c r="A88" s="277" t="s">
        <v>288</v>
      </c>
    </row>
    <row r="89" ht="12.75">
      <c r="A89" s="277" t="s">
        <v>263</v>
      </c>
    </row>
    <row r="90" ht="12.75">
      <c r="A90" s="277" t="s">
        <v>303</v>
      </c>
    </row>
    <row r="91" ht="12.75">
      <c r="A91" s="277" t="s">
        <v>311</v>
      </c>
    </row>
    <row r="92" ht="12.75">
      <c r="A92" s="277" t="s">
        <v>264</v>
      </c>
    </row>
    <row r="93" ht="12.75">
      <c r="A93" s="277" t="s">
        <v>370</v>
      </c>
    </row>
    <row r="94" ht="12.75">
      <c r="A94" s="277" t="s">
        <v>280</v>
      </c>
    </row>
    <row r="95" ht="12.75">
      <c r="A95" s="277" t="s">
        <v>262</v>
      </c>
    </row>
    <row r="96" ht="12.75">
      <c r="A96" s="277" t="s">
        <v>929</v>
      </c>
    </row>
    <row r="97" ht="12.75">
      <c r="A97" s="277" t="s">
        <v>369</v>
      </c>
    </row>
    <row r="98" ht="12.75">
      <c r="A98" s="277" t="s">
        <v>291</v>
      </c>
    </row>
    <row r="99" ht="12.75">
      <c r="A99" s="277" t="s">
        <v>922</v>
      </c>
    </row>
    <row r="100" ht="12.75">
      <c r="A100" s="277" t="s">
        <v>272</v>
      </c>
    </row>
    <row r="101" ht="12.75">
      <c r="A101" s="277" t="s">
        <v>275</v>
      </c>
    </row>
    <row r="102" ht="12.75">
      <c r="A102" s="277" t="s">
        <v>286</v>
      </c>
    </row>
    <row r="103" ht="12.75">
      <c r="A103" s="277" t="s">
        <v>324</v>
      </c>
    </row>
    <row r="104" ht="12.75">
      <c r="A104" s="277" t="s">
        <v>310</v>
      </c>
    </row>
    <row r="105" ht="12.75">
      <c r="A105" s="277" t="s">
        <v>301</v>
      </c>
    </row>
    <row r="106" ht="12.75">
      <c r="A106" s="277" t="s">
        <v>381</v>
      </c>
    </row>
    <row r="107" ht="12.75">
      <c r="A107" s="277" t="s">
        <v>274</v>
      </c>
    </row>
    <row r="108" ht="12.75">
      <c r="A108" s="277" t="s">
        <v>925</v>
      </c>
    </row>
    <row r="109" ht="12.75">
      <c r="A109" s="277" t="s">
        <v>287</v>
      </c>
    </row>
    <row r="110" ht="12.75">
      <c r="A110" s="277" t="s">
        <v>323</v>
      </c>
    </row>
    <row r="111" ht="12.75">
      <c r="A111" s="277" t="s">
        <v>304</v>
      </c>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