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<sst xmlns="http://schemas.openxmlformats.org/spreadsheetml/2006/main" count="1775" uniqueCount="831">
  <si>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</si>
  <si>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</si>
  <si>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</si>
  <si>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</si>
  <si>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</si>
  <si>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</si>
  <si>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</si>
  <si>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</si>
  <si>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</si>
  <si>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</si>
  <si>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</si>
  <si>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</si>
  <si>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</si>
  <si>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</si>
  <si>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</si>
  <si>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</si>
  <si>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</si>
  <si>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</si>
  <si>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</si>
  <si>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</si>
  <si>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</si>
  <si>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</si>
  <si>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</si>
  <si>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</si>
  <si>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</si>
  <si>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</si>
  <si>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</si>
  <si>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</si>
  <si>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</si>
  <si>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</si>
  <si>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</si>
  <si>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</si>
  <si>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</si>
  <si>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</si>
  <si>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</si>
  <si>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</si>
  <si>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</si>
  <si>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</si>
  <si>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</si>
  <si>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</si>
  <si>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</si>
  <si>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</si>
  <si>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</si>
  <si>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</si>
  <si>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</si>
  <si>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</si>
  <si>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</si>
  <si>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</si>
  <si>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</si>
  <si>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</si>
  <si>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</si>
  <si>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</si>
  <si>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</si>
  <si>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</si>
  <si>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</si>
  <si>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</si>
  <si>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</si>
  <si>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F82002</t>
  </si>
  <si>
    <t>F82006</t>
  </si>
  <si>
    <t>F82007</t>
  </si>
  <si>
    <t>F82008</t>
  </si>
  <si>
    <t>F82009</t>
  </si>
  <si>
    <t>F82010</t>
  </si>
  <si>
    <t>F82011</t>
  </si>
  <si>
    <t>F82013</t>
  </si>
  <si>
    <t>F82014</t>
  </si>
  <si>
    <t>F82016</t>
  </si>
  <si>
    <t>F82019</t>
  </si>
  <si>
    <t>F82020</t>
  </si>
  <si>
    <t>F82021</t>
  </si>
  <si>
    <t>F82022</t>
  </si>
  <si>
    <t>F82028</t>
  </si>
  <si>
    <t>F82030</t>
  </si>
  <si>
    <t>F82033</t>
  </si>
  <si>
    <t>F82039</t>
  </si>
  <si>
    <t>F82045</t>
  </si>
  <si>
    <t>F82052</t>
  </si>
  <si>
    <t>F82053</t>
  </si>
  <si>
    <t>F82055</t>
  </si>
  <si>
    <t>F82607</t>
  </si>
  <si>
    <t>F82608</t>
  </si>
  <si>
    <t>F82609</t>
  </si>
  <si>
    <t>F82610</t>
  </si>
  <si>
    <t>F82614</t>
  </si>
  <si>
    <t>F82618</t>
  </si>
  <si>
    <t>F82619</t>
  </si>
  <si>
    <t>F82624</t>
  </si>
  <si>
    <t>F82627</t>
  </si>
  <si>
    <t>F82630</t>
  </si>
  <si>
    <t>F82638</t>
  </si>
  <si>
    <t>F82639</t>
  </si>
  <si>
    <t>F82641</t>
  </si>
  <si>
    <t>F82643</t>
  </si>
  <si>
    <t>F82646</t>
  </si>
  <si>
    <t>F82648</t>
  </si>
  <si>
    <t>F82649</t>
  </si>
  <si>
    <t>F82653</t>
  </si>
  <si>
    <t>F82657</t>
  </si>
  <si>
    <t>F82663</t>
  </si>
  <si>
    <t>F82666</t>
  </si>
  <si>
    <t>F82670</t>
  </si>
  <si>
    <t>F82671</t>
  </si>
  <si>
    <t>F82674</t>
  </si>
  <si>
    <t>F82675</t>
  </si>
  <si>
    <t>F82686</t>
  </si>
  <si>
    <t>F82744</t>
  </si>
  <si>
    <t>Y00183</t>
  </si>
  <si>
    <t>Y00312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</si>
  <si>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</si>
  <si>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</si>
  <si>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</si>
  <si>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</si>
  <si>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</si>
  <si>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</si>
  <si>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</si>
  <si>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</si>
  <si>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</si>
  <si>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</si>
  <si>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</si>
  <si>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</si>
  <si>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</si>
  <si>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</si>
  <si>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</si>
  <si>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</si>
  <si>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</si>
  <si>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</si>
  <si>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</si>
  <si>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</si>
  <si>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</si>
  <si>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</si>
  <si>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</si>
  <si>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</si>
  <si>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</si>
  <si>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</si>
  <si>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</si>
  <si>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</si>
  <si>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</si>
  <si>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</si>
  <si>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</si>
  <si>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</si>
  <si>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</si>
  <si>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</si>
  <si>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</si>
  <si>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</si>
  <si>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</si>
  <si>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</si>
  <si>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</si>
  <si>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</si>
  <si>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</si>
  <si>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</si>
  <si>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</si>
  <si>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</si>
  <si>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</si>
  <si>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</si>
  <si>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</si>
  <si>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</si>
  <si>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</si>
  <si>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</si>
  <si>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</si>
  <si>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</si>
  <si>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</si>
  <si>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</si>
  <si>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</si>
  <si>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</si>
  <si>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</si>
  <si>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</si>
  <si>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</si>
  <si>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</si>
  <si>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</si>
  <si>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</si>
  <si>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</si>
  <si>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</si>
  <si>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</si>
  <si>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</si>
  <si>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</si>
  <si>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</si>
  <si>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</si>
  <si>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</si>
  <si>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</si>
  <si>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</si>
  <si>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</si>
  <si>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</si>
  <si>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</si>
  <si>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</si>
  <si>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</si>
  <si>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</si>
  <si>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</si>
  <si>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</si>
  <si>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</si>
  <si>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</si>
  <si>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</si>
  <si>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</si>
  <si>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</si>
  <si>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</si>
  <si>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</si>
  <si>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</si>
  <si>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</si>
  <si>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</si>
  <si>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</si>
  <si>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</si>
  <si>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</si>
  <si>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</si>
  <si>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F82031</t>
  </si>
  <si>
    <t>(F82002) HAIDERIAN MEDICAL CENTRE</t>
  </si>
  <si>
    <t>(F82008) MAYLANDS HEALTH CARE</t>
  </si>
  <si>
    <t>(F82009) NORTH STREET MEDICAL CARE</t>
  </si>
  <si>
    <t>(F82010) PETERSFIELD SURGERY</t>
  </si>
  <si>
    <t>(F82011) MAWNEY MEDICAL CENTRE</t>
  </si>
  <si>
    <t>(F82013) WESTERN ROAD MEDICAL CENTRE</t>
  </si>
  <si>
    <t>(F82014) KUCCHAI</t>
  </si>
  <si>
    <t>(F82016) KAKAD</t>
  </si>
  <si>
    <t>(F82019) DR HAMILTON-SMITH</t>
  </si>
  <si>
    <t>(F82020) DR MAHMOOD</t>
  </si>
  <si>
    <t>(F82021) THE NEW MEDICAL CENTRE</t>
  </si>
  <si>
    <t>(F82022) THE ROSEWOOD MEDICAL CENTRE</t>
  </si>
  <si>
    <t>(F82028) WOOD LANE SURGERY</t>
  </si>
  <si>
    <t>(F82030) LYNWOOD MEDICAL CENTRE</t>
  </si>
  <si>
    <t>(F82033) DR VM PATEL</t>
  </si>
  <si>
    <t>(F82045) CHOWDHURY</t>
  </si>
  <si>
    <t>(F82052) DR SJ HASKELL</t>
  </si>
  <si>
    <t>(F82053) BAIG</t>
  </si>
  <si>
    <t>(F82607) DR JAWAD</t>
  </si>
  <si>
    <t>(F82608) KWAN</t>
  </si>
  <si>
    <t>(F82609) DR PM PATEL</t>
  </si>
  <si>
    <t>(F82610) DR GUPTA</t>
  </si>
  <si>
    <t>(F82614) DR S SUBRAMANIAM</t>
  </si>
  <si>
    <t>(F82618) DR JAISWAL</t>
  </si>
  <si>
    <t>(F82619) DR K SUBRAMANIAN</t>
  </si>
  <si>
    <t>(F82624) UPMINSTER BRIDGE SURGERY</t>
  </si>
  <si>
    <t>(F82627) DR ABDULLAH</t>
  </si>
  <si>
    <t>(F82639) DR JOSEPH</t>
  </si>
  <si>
    <t>(F82641) DR GILLETT-WALLER</t>
  </si>
  <si>
    <t>(F82643) CHOPRA</t>
  </si>
  <si>
    <t>(F82646) DR UBEROY</t>
  </si>
  <si>
    <t>(F82648) INGREBOURNE MEDICAL CENTRE</t>
  </si>
  <si>
    <t>(F82649) BERWICK SURGERY</t>
  </si>
  <si>
    <t>(F82653) CECIL AVENUE SURGERY</t>
  </si>
  <si>
    <t>(F82657) CHAKARAVARTY</t>
  </si>
  <si>
    <t>(F82663) DR MARKS PRACTICE</t>
  </si>
  <si>
    <t>(F82666) DR RAHMAN</t>
  </si>
  <si>
    <t>(F82670) JABBAR</t>
  </si>
  <si>
    <t>(F82671) PRASAD</t>
  </si>
  <si>
    <t>(F82674) CRANHAM HEALTH CENTRE</t>
  </si>
  <si>
    <t>(F82675) DR BLAND</t>
  </si>
  <si>
    <t>(F82686) DR A PATEL</t>
  </si>
  <si>
    <t>(F82744) DR WANI</t>
  </si>
  <si>
    <t>(Y00183) DR HUSSAIN</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</si>
  <si>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</si>
  <si>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</si>
  <si>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</si>
  <si>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</si>
  <si>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</si>
  <si>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</si>
  <si>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</si>
  <si>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</si>
  <si>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</si>
  <si>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</si>
  <si>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</si>
  <si>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</si>
  <si>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</si>
  <si>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</si>
  <si>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</si>
  <si>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</si>
  <si>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</si>
  <si>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</si>
  <si>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</si>
  <si>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</si>
  <si>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</si>
  <si>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</si>
  <si>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</si>
  <si>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</si>
  <si>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</si>
  <si>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</si>
  <si>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</si>
  <si>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</si>
  <si>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</si>
  <si>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</si>
  <si>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</si>
  <si>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</si>
  <si>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</si>
  <si>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</si>
  <si>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</si>
  <si>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</si>
  <si>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</si>
  <si>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</si>
  <si>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</si>
  <si>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</si>
  <si>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</si>
  <si>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</si>
  <si>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</si>
  <si>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</si>
  <si>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</si>
  <si>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</si>
  <si>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</si>
  <si>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</si>
  <si>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</si>
  <si>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</si>
  <si>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</si>
  <si>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</si>
  <si>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</si>
  <si>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</si>
  <si>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</si>
  <si>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</si>
  <si>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</si>
  <si>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</si>
  <si>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</si>
  <si>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</si>
  <si>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</si>
  <si>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</si>
  <si>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</si>
  <si>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</si>
  <si>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</si>
  <si>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</si>
  <si>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</si>
  <si>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</si>
  <si>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</si>
  <si>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</si>
  <si>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</si>
  <si>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</si>
  <si>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</si>
  <si>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</si>
  <si>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</si>
  <si>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</si>
  <si>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</si>
  <si>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</si>
  <si>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</si>
  <si>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</si>
  <si>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</si>
  <si>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</si>
  <si>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</si>
  <si>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</si>
  <si>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</si>
  <si>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</si>
  <si>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</si>
  <si>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</si>
  <si>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</si>
  <si>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</si>
  <si>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</si>
  <si>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</si>
  <si>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</si>
  <si>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</si>
  <si>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</si>
  <si>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</si>
  <si>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</si>
  <si>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</si>
  <si>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</si>
  <si>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</si>
  <si>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</si>
  <si>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</si>
  <si>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</si>
  <si>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</si>
  <si>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</si>
  <si>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</si>
  <si>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</si>
  <si>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</si>
  <si>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</si>
  <si>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</si>
  <si>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</si>
  <si>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</si>
  <si>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</si>
  <si>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</si>
  <si>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</si>
  <si>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</si>
  <si>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</si>
  <si>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</si>
  <si>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</si>
  <si>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</si>
  <si>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</si>
  <si>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</si>
  <si>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</si>
  <si>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</si>
  <si>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</si>
  <si>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</si>
  <si>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</si>
  <si>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</si>
  <si>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</si>
  <si>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</si>
  <si>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</si>
  <si>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</si>
  <si>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</si>
  <si>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</si>
  <si>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</si>
  <si>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</si>
  <si>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</si>
  <si>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</si>
  <si>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</si>
  <si>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</si>
  <si>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</si>
  <si>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</si>
  <si>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</si>
  <si>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</si>
  <si>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</si>
  <si>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</si>
  <si>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</si>
  <si>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</si>
  <si>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</si>
  <si>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</si>
  <si>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</si>
  <si>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</si>
  <si>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</si>
  <si>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</si>
  <si>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</si>
  <si>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</si>
  <si>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</si>
  <si>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</si>
  <si>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</si>
  <si>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</si>
  <si>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</si>
  <si>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</si>
  <si>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</si>
  <si>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</si>
  <si>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</si>
  <si>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</si>
  <si>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</si>
  <si>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</si>
  <si>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</si>
  <si>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</si>
  <si>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</si>
  <si>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</si>
  <si>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</si>
  <si>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</si>
  <si>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</si>
  <si>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</si>
  <si>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</si>
  <si>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</si>
  <si>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</si>
  <si>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</si>
  <si>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</si>
  <si>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</si>
  <si>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</si>
  <si>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(F82007) THE GREEN WOOD PRACTICE</t>
  </si>
  <si>
    <t>(F82031) DR PATHAK</t>
  </si>
  <si>
    <t>(F82039) DR POOLO</t>
  </si>
  <si>
    <t>(F82055) DR KORNFELD</t>
  </si>
  <si>
    <t>(F82630) DR KULENDRAN</t>
  </si>
  <si>
    <t>(F82638) DR KUKATHASAN</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</si>
  <si>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</si>
  <si>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</si>
  <si>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</si>
  <si>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</si>
  <si>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</si>
  <si>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</si>
  <si>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</si>
  <si>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</si>
  <si>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</si>
  <si>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</si>
  <si>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</si>
  <si>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</si>
  <si>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</si>
  <si>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</si>
  <si>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</si>
  <si>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</si>
  <si>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</si>
  <si>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</si>
  <si>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</si>
  <si>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</si>
  <si>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</si>
  <si>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</si>
  <si>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</si>
  <si>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</si>
  <si>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</si>
  <si>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</si>
  <si>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</si>
  <si>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</si>
  <si>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</si>
  <si>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</si>
  <si>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</si>
  <si>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</si>
  <si>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</si>
  <si>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</si>
  <si>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</si>
  <si>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</si>
  <si>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</si>
  <si>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</si>
  <si>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</si>
  <si>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</si>
  <si>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</si>
  <si>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</si>
  <si>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</si>
  <si>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</si>
  <si>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240.818</t>
  </si>
  <si>
    <t>0.333333</t>
  </si>
  <si>
    <t>156.098</t>
  </si>
  <si>
    <t>156.947</t>
  </si>
  <si>
    <t>0.16</t>
  </si>
  <si>
    <t>0.05</t>
  </si>
  <si>
    <t>0.24</t>
  </si>
  <si>
    <t>0.25</t>
  </si>
  <si>
    <t>193.926</t>
  </si>
  <si>
    <t>0.245</t>
  </si>
  <si>
    <t>0.09</t>
  </si>
  <si>
    <t>0.833333</t>
  </si>
  <si>
    <t>0.5</t>
  </si>
  <si>
    <t>0.214285714</t>
  </si>
  <si>
    <t>0.125</t>
  </si>
  <si>
    <t>0.0317</t>
  </si>
  <si>
    <t>0.511653117</t>
  </si>
  <si>
    <t>0.0039</t>
  </si>
  <si>
    <t>0.835294</t>
  </si>
  <si>
    <t>0.0231</t>
  </si>
  <si>
    <t>0.069761129</t>
  </si>
  <si>
    <t>0.550296</t>
  </si>
  <si>
    <t>0.655754</t>
  </si>
  <si>
    <t>0.318008</t>
  </si>
  <si>
    <t>0.298507</t>
  </si>
  <si>
    <t>752.980548</t>
  </si>
  <si>
    <t>0.4091</t>
  </si>
  <si>
    <t>422.5352113</t>
  </si>
  <si>
    <t>0.151030852</t>
  </si>
  <si>
    <t>457.7992332</t>
  </si>
  <si>
    <t>174.824793</t>
  </si>
  <si>
    <t>0.0116</t>
  </si>
  <si>
    <t>0.69578125</t>
  </si>
  <si>
    <t>0.612098</t>
  </si>
  <si>
    <t>0.72619575</t>
  </si>
  <si>
    <t>0.48498875</t>
  </si>
  <si>
    <t>0.4938365</t>
  </si>
  <si>
    <t>1131.293002</t>
  </si>
  <si>
    <t>0.080262498</t>
  </si>
  <si>
    <t>0.396153846</t>
  </si>
  <si>
    <t>323.2624312</t>
  </si>
  <si>
    <t>177.3047249</t>
  </si>
  <si>
    <t>39.83791201</t>
  </si>
  <si>
    <t>113.3817789</t>
  </si>
  <si>
    <t>620.6936552</t>
  </si>
  <si>
    <t>324.9553243</t>
  </si>
  <si>
    <t>946.5280683</t>
  </si>
  <si>
    <t>483.766455</t>
  </si>
  <si>
    <t>0.174019608</t>
  </si>
  <si>
    <t>0.4875</t>
  </si>
  <si>
    <t>0.139057751</t>
  </si>
  <si>
    <t>0.178218416</t>
  </si>
  <si>
    <t>536.8001107</t>
  </si>
  <si>
    <t>245.9441508</t>
  </si>
  <si>
    <t>0.01755</t>
  </si>
  <si>
    <t>0.729897</t>
  </si>
  <si>
    <t>0.6724225</t>
  </si>
  <si>
    <t>0.764973</t>
  </si>
  <si>
    <t>0.5218105</t>
  </si>
  <si>
    <t>0.5326975</t>
  </si>
  <si>
    <t>1987.61572</t>
  </si>
  <si>
    <t>0.128709455</t>
  </si>
  <si>
    <t>409.0590631</t>
  </si>
  <si>
    <t>343.9733748</t>
  </si>
  <si>
    <t>97.72716203</t>
  </si>
  <si>
    <t>230.2874997</t>
  </si>
  <si>
    <t>875.2311157</t>
  </si>
  <si>
    <t>441.5327138</t>
  </si>
  <si>
    <t>1115.347772</t>
  </si>
  <si>
    <t>652.2068832</t>
  </si>
  <si>
    <t>0.537087912</t>
  </si>
  <si>
    <t>0.209971781</t>
  </si>
  <si>
    <t>645.8167831</t>
  </si>
  <si>
    <t>316.9522297</t>
  </si>
  <si>
    <t>0.7549455</t>
  </si>
  <si>
    <t>0.728788</t>
  </si>
  <si>
    <t>0.7945705</t>
  </si>
  <si>
    <t>0.5850825</t>
  </si>
  <si>
    <t>0.58979</t>
  </si>
  <si>
    <t>2611.263625</t>
  </si>
  <si>
    <t>0.160625</t>
  </si>
  <si>
    <t>0.619047619</t>
  </si>
  <si>
    <t>532.4421822</t>
  </si>
  <si>
    <t>511.2063964</t>
  </si>
  <si>
    <t>130.7192698</t>
  </si>
  <si>
    <t>440.8430568</t>
  </si>
  <si>
    <t>1037.680233</t>
  </si>
  <si>
    <t>512.6196727</t>
  </si>
  <si>
    <t>1339.711715</t>
  </si>
  <si>
    <t>743.6063629</t>
  </si>
  <si>
    <t>0.320006863</t>
  </si>
  <si>
    <t>0.609203297</t>
  </si>
  <si>
    <t>0.262401642</t>
  </si>
  <si>
    <t>860.0095557</t>
  </si>
  <si>
    <t>478.7552364</t>
  </si>
  <si>
    <t>0.803478</t>
  </si>
  <si>
    <t>0.865385</t>
  </si>
  <si>
    <t>0.65281</t>
  </si>
  <si>
    <t>0.681223</t>
  </si>
  <si>
    <t>4734.667938</t>
  </si>
  <si>
    <t>2.0391</t>
  </si>
  <si>
    <t>831.3539192</t>
  </si>
  <si>
    <t>783.1862794</t>
  </si>
  <si>
    <t>268.4563758</t>
  </si>
  <si>
    <t>1525.262154</t>
  </si>
  <si>
    <t>1507.208388</t>
  </si>
  <si>
    <t>966.3703131</t>
  </si>
  <si>
    <t>1839.503334</t>
  </si>
  <si>
    <t>1481.127568</t>
  </si>
  <si>
    <t>0.422222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</si>
  <si>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</si>
  <si>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</si>
  <si>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</si>
  <si>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</si>
  <si>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</si>
  <si>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</si>
  <si>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</si>
  <si>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</si>
  <si>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</si>
  <si>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</si>
  <si>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</si>
  <si>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</si>
  <si>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</si>
  <si>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</si>
  <si>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</si>
  <si>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</si>
  <si>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</si>
  <si>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</si>
  <si>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</si>
  <si>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</si>
  <si>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</si>
  <si>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</si>
  <si>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</si>
  <si>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</si>
  <si>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</si>
  <si>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</si>
  <si>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</si>
  <si>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</si>
  <si>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</si>
  <si>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</si>
  <si>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</si>
  <si>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</si>
  <si>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</si>
  <si>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</si>
  <si>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</si>
  <si>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</si>
  <si>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</si>
  <si>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</si>
  <si>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</si>
  <si>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</si>
  <si>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</si>
  <si>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</si>
  <si>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</si>
  <si>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</si>
  <si>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</si>
  <si>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</si>
  <si>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</si>
  <si>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</si>
  <si>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</si>
  <si>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</si>
  <si>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</si>
  <si>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</si>
  <si>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</si>
  <si>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</si>
  <si>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</si>
  <si>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</si>
  <si>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</si>
  <si>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</si>
  <si>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</si>
  <si>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</si>
  <si>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</si>
  <si>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</si>
  <si>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</si>
  <si>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</si>
  <si>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</si>
  <si>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</si>
  <si>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</si>
  <si>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</si>
  <si>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</si>
  <si>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</si>
  <si>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</si>
  <si>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</si>
  <si>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</si>
  <si>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</si>
  <si>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</si>
  <si>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</si>
  <si>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</si>
  <si>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</si>
  <si>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</si>
  <si>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</si>
  <si>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</si>
  <si>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</si>
  <si>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</si>
  <si>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</si>
  <si>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</si>
  <si>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</si>
  <si>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</si>
  <si>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</si>
  <si>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</si>
  <si>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</si>
  <si>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</si>
  <si>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</si>
  <si>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</si>
  <si>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</si>
  <si>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</si>
  <si>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</si>
  <si>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</si>
  <si>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</si>
  <si>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</si>
  <si>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</si>
  <si>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</si>
  <si>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</si>
  <si>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</si>
  <si>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</si>
  <si>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</si>
  <si>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</si>
  <si>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</si>
  <si>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</si>
  <si>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</si>
  <si>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</si>
  <si>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</si>
  <si>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</si>
  <si>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</si>
  <si>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</si>
  <si>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</si>
  <si>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</si>
  <si>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</si>
  <si>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</si>
  <si>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</si>
  <si>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</si>
  <si>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</si>
  <si>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</si>
  <si>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</si>
  <si>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</si>
  <si>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</si>
  <si>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</si>
  <si>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</si>
  <si>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</si>
  <si>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</si>
  <si>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</si>
  <si>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</si>
  <si>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</si>
  <si>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</si>
  <si>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</si>
  <si>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</si>
  <si>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</si>
  <si>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</si>
  <si>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</si>
  <si>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</si>
  <si>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</si>
  <si>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</si>
  <si>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</si>
  <si>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</si>
  <si>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</si>
  <si>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</si>
  <si>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</si>
  <si>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</si>
  <si>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</si>
  <si>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</si>
  <si>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</si>
  <si>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</si>
  <si>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</si>
  <si>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</si>
  <si>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</si>
  <si>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</si>
  <si>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</si>
  <si>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</si>
  <si>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</si>
  <si>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</si>
  <si>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</si>
  <si>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</si>
  <si>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</si>
  <si>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</si>
  <si>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</si>
  <si>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</si>
  <si>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</si>
  <si>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</si>
  <si>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</si>
  <si>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</si>
  <si>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</si>
  <si>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</si>
  <si>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</si>
  <si>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</si>
  <si>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</si>
  <si>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</si>
  <si>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</si>
  <si>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</si>
  <si>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</si>
  <si>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</si>
  <si>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</si>
  <si>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</si>
  <si>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</si>
  <si>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</si>
  <si>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</si>
  <si>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</si>
  <si>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</si>
  <si>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</si>
  <si>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</si>
  <si>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</si>
  <si>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</si>
  <si>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</si>
  <si>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</si>
  <si>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</si>
  <si>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</si>
  <si>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</si>
  <si>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</si>
  <si>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</si>
  <si>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</si>
  <si>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</si>
  <si>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</si>
  <si>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</si>
  <si>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</si>
  <si>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</si>
  <si>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</si>
  <si>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</si>
  <si>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</si>
  <si>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</si>
  <si>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</si>
  <si>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</si>
  <si>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</si>
  <si>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</si>
  <si>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</si>
  <si>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</si>
  <si>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</si>
  <si>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</si>
  <si>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</si>
  <si>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</si>
  <si>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</si>
  <si>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</si>
  <si>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</si>
  <si>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</si>
  <si>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</si>
  <si>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</si>
  <si>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</si>
  <si>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</si>
  <si>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</si>
  <si>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</si>
  <si>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</si>
  <si>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</si>
  <si>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</si>
  <si>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</si>
  <si>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</si>
  <si>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</si>
  <si>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</si>
  <si>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</si>
  <si>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</si>
  <si>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(F82006) DR C DAHS + DR HUMBERSTONE SURGERY</t>
  </si>
  <si>
    <t>(Y00312) THE ROBINS SURGERY  HAROLD HILL HEALTH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</si>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</sst>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0.8880939138741318</c:v>
                </c:pt>
                <c:pt idx="3">
                  <c:v>1</c:v>
                </c:pt>
                <c:pt idx="4">
                  <c:v>0.9244912700979148</c:v>
                </c:pt>
                <c:pt idx="5">
                  <c:v>1</c:v>
                </c:pt>
                <c:pt idx="6">
                  <c:v>1</c:v>
                </c:pt>
                <c:pt idx="7">
                  <c:v>0.704845741393422</c:v>
                </c:pt>
                <c:pt idx="8">
                  <c:v>0.7401600462414788</c:v>
                </c:pt>
                <c:pt idx="9">
                  <c:v>0.9596819234748527</c:v>
                </c:pt>
                <c:pt idx="10">
                  <c:v>0.8213883539210759</c:v>
                </c:pt>
                <c:pt idx="11">
                  <c:v>0.8171040242879195</c:v>
                </c:pt>
                <c:pt idx="12">
                  <c:v>1</c:v>
                </c:pt>
                <c:pt idx="13">
                  <c:v>0</c:v>
                </c:pt>
                <c:pt idx="14">
                  <c:v>1</c:v>
                </c:pt>
                <c:pt idx="15">
                  <c:v>0.94257059209195</c:v>
                </c:pt>
                <c:pt idx="16">
                  <c:v>1</c:v>
                </c:pt>
                <c:pt idx="17">
                  <c:v>1</c:v>
                </c:pt>
                <c:pt idx="18">
                  <c:v>1</c:v>
                </c:pt>
                <c:pt idx="19">
                  <c:v>1</c:v>
                </c:pt>
                <c:pt idx="20">
                  <c:v>0.99808023877524</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0.6463864986775854</c:v>
                </c:pt>
                <c:pt idx="3">
                  <c:v>0.6521739130434783</c:v>
                </c:pt>
                <c:pt idx="4">
                  <c:v>0.6431784449520782</c:v>
                </c:pt>
                <c:pt idx="5">
                  <c:v>0.6525014986227958</c:v>
                </c:pt>
                <c:pt idx="6">
                  <c:v>0.696113074204947</c:v>
                </c:pt>
                <c:pt idx="7">
                  <c:v>0.5697337431306062</c:v>
                </c:pt>
                <c:pt idx="8">
                  <c:v>0.5831130129361126</c:v>
                </c:pt>
                <c:pt idx="9">
                  <c:v>0.6354961133136172</c:v>
                </c:pt>
                <c:pt idx="10">
                  <c:v>0.6552287140736743</c:v>
                </c:pt>
                <c:pt idx="11">
                  <c:v>0.621893287729434</c:v>
                </c:pt>
                <c:pt idx="12">
                  <c:v>0.6135122042663697</c:v>
                </c:pt>
                <c:pt idx="13">
                  <c:v>0</c:v>
                </c:pt>
                <c:pt idx="14">
                  <c:v>0.5779860035168485</c:v>
                </c:pt>
                <c:pt idx="15">
                  <c:v>0.6477544939841953</c:v>
                </c:pt>
                <c:pt idx="16">
                  <c:v>0.6460864575044489</c:v>
                </c:pt>
                <c:pt idx="17">
                  <c:v>0.6903780829849506</c:v>
                </c:pt>
                <c:pt idx="18">
                  <c:v>0.5966211553414805</c:v>
                </c:pt>
                <c:pt idx="19">
                  <c:v>0.5812971730376515</c:v>
                </c:pt>
                <c:pt idx="20">
                  <c:v>0.6280310205446782</c:v>
                </c:pt>
                <c:pt idx="21">
                  <c:v>0.567722814633338</c:v>
                </c:pt>
                <c:pt idx="22">
                  <c:v>0.6549141888659552</c:v>
                </c:pt>
                <c:pt idx="23">
                  <c:v>0.5551316195722952</c:v>
                </c:pt>
                <c:pt idx="24">
                  <c:v>0.6470722803921568</c:v>
                </c:pt>
                <c:pt idx="25">
                  <c:v>0.5778931754748216</c:v>
                </c:pt>
                <c:pt idx="26">
                  <c:v>0.5858779549424097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0.3746623451866355</c:v>
                </c:pt>
                <c:pt idx="3">
                  <c:v>0.34782608695652173</c:v>
                </c:pt>
                <c:pt idx="4">
                  <c:v>0.3962431842645415</c:v>
                </c:pt>
                <c:pt idx="5">
                  <c:v>0.3472595116836653</c:v>
                </c:pt>
                <c:pt idx="6">
                  <c:v>0.2897526501766784</c:v>
                </c:pt>
                <c:pt idx="7">
                  <c:v>0.4050234965284158</c:v>
                </c:pt>
                <c:pt idx="8">
                  <c:v>0.4110492952450606</c:v>
                </c:pt>
                <c:pt idx="9">
                  <c:v>0.32247937629899576</c:v>
                </c:pt>
                <c:pt idx="10">
                  <c:v>0.40966315427926564</c:v>
                </c:pt>
                <c:pt idx="11">
                  <c:v>0.4170312203099613</c:v>
                </c:pt>
                <c:pt idx="12">
                  <c:v>0.3441378885357613</c:v>
                </c:pt>
                <c:pt idx="13">
                  <c:v>0</c:v>
                </c:pt>
                <c:pt idx="14">
                  <c:v>0.3816192999686327</c:v>
                </c:pt>
                <c:pt idx="15">
                  <c:v>0.34109487893385415</c:v>
                </c:pt>
                <c:pt idx="16">
                  <c:v>0.39841620059932337</c:v>
                </c:pt>
                <c:pt idx="17">
                  <c:v>0.3102643977961116</c:v>
                </c:pt>
                <c:pt idx="18">
                  <c:v>0.3304647202968256</c:v>
                </c:pt>
                <c:pt idx="19">
                  <c:v>0.454861772617784</c:v>
                </c:pt>
                <c:pt idx="20">
                  <c:v>0.2993913948175961</c:v>
                </c:pt>
                <c:pt idx="21">
                  <c:v>0.388939559917692</c:v>
                </c:pt>
                <c:pt idx="22">
                  <c:v>0.3834368521359226</c:v>
                </c:pt>
                <c:pt idx="23">
                  <c:v>0.3983977410090563</c:v>
                </c:pt>
                <c:pt idx="24">
                  <c:v>0.36082276078431375</c:v>
                </c:pt>
                <c:pt idx="25">
                  <c:v>0.4464391692445932</c:v>
                </c:pt>
                <c:pt idx="26">
                  <c:v>0.3191081401732837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0.17391304347826086</c:v>
                </c:pt>
                <c:pt idx="4">
                  <c:v>0</c:v>
                </c:pt>
                <c:pt idx="5">
                  <c:v>0.10421719110784479</c:v>
                </c:pt>
                <c:pt idx="6">
                  <c:v>0.017667844522968185</c:v>
                </c:pt>
                <c:pt idx="7">
                  <c:v>0</c:v>
                </c:pt>
                <c:pt idx="8">
                  <c:v>0</c:v>
                </c:pt>
                <c:pt idx="9">
                  <c:v>0</c:v>
                </c:pt>
                <c:pt idx="10">
                  <c:v>0</c:v>
                </c:pt>
                <c:pt idx="11">
                  <c:v>0</c:v>
                </c:pt>
                <c:pt idx="12">
                  <c:v>0.27527999578783396</c:v>
                </c:pt>
                <c:pt idx="13">
                  <c:v>0</c:v>
                </c:pt>
                <c:pt idx="14">
                  <c:v>0.25941122757891816</c:v>
                </c:pt>
                <c:pt idx="15">
                  <c:v>0</c:v>
                </c:pt>
                <c:pt idx="16">
                  <c:v>0.12426743007159252</c:v>
                </c:pt>
                <c:pt idx="17">
                  <c:v>0.1616066243878755</c:v>
                </c:pt>
                <c:pt idx="18">
                  <c:v>0.22631297255343766</c:v>
                </c:pt>
                <c:pt idx="19">
                  <c:v>0.43085513330112135</c:v>
                </c:pt>
                <c:pt idx="20">
                  <c:v>0</c:v>
                </c:pt>
                <c:pt idx="21">
                  <c:v>0.22888212069832167</c:v>
                </c:pt>
                <c:pt idx="22">
                  <c:v>0.021641069229265866</c:v>
                </c:pt>
                <c:pt idx="23">
                  <c:v>0.22356771184291724</c:v>
                </c:pt>
                <c:pt idx="24">
                  <c:v>0.08842764705882354</c:v>
                </c:pt>
                <c:pt idx="25">
                  <c:v>0.11219751945643736</c:v>
                </c:pt>
                <c:pt idx="26">
                  <c:v>0.1102053251061722</c:v>
                </c:pt>
              </c:numCache>
            </c:numRef>
          </c:val>
        </c:ser>
        <c:overlap val="100"/>
        <c:gapWidth val="100"/>
        <c:axId val="3298424"/>
        <c:axId val="2968581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0.4346082022518829</c:v>
                </c:pt>
                <c:pt idx="3">
                  <c:v>0.6110963299918083</c:v>
                </c:pt>
                <c:pt idx="4">
                  <c:v>0.41344046012930413</c:v>
                </c:pt>
                <c:pt idx="5">
                  <c:v>0.4738303952454068</c:v>
                </c:pt>
                <c:pt idx="6">
                  <c:v>0.5065808545976442</c:v>
                </c:pt>
                <c:pt idx="7">
                  <c:v>0.4854919093600931</c:v>
                </c:pt>
                <c:pt idx="8">
                  <c:v>0.6034060546427683</c:v>
                </c:pt>
                <c:pt idx="9">
                  <c:v>0.44548167111428966</c:v>
                </c:pt>
                <c:pt idx="10">
                  <c:v>0.6291486241034254</c:v>
                </c:pt>
                <c:pt idx="11">
                  <c:v>0.5508291442840886</c:v>
                </c:pt>
                <c:pt idx="12">
                  <c:v>0.49896747950352033</c:v>
                </c:pt>
                <c:pt idx="13">
                  <c:v>0.5</c:v>
                </c:pt>
                <c:pt idx="14">
                  <c:v>0.443714286042198</c:v>
                </c:pt>
                <c:pt idx="15">
                  <c:v>0.43551553200018783</c:v>
                </c:pt>
                <c:pt idx="16">
                  <c:v>0.4557909727525701</c:v>
                </c:pt>
                <c:pt idx="17">
                  <c:v>0.4897889137275091</c:v>
                </c:pt>
                <c:pt idx="18">
                  <c:v>0.44102175104421504</c:v>
                </c:pt>
                <c:pt idx="19">
                  <c:v>0.5457482711794943</c:v>
                </c:pt>
                <c:pt idx="20">
                  <c:v>0.3014359593084044</c:v>
                </c:pt>
                <c:pt idx="21">
                  <c:v>0.49143932486421593</c:v>
                </c:pt>
                <c:pt idx="22">
                  <c:v>0.4227631335586805</c:v>
                </c:pt>
                <c:pt idx="23">
                  <c:v>0.4606231228452452</c:v>
                </c:pt>
                <c:pt idx="24">
                  <c:v>0.4847192736618214</c:v>
                </c:pt>
                <c:pt idx="25">
                  <c:v>0.4511967823353829</c:v>
                </c:pt>
                <c:pt idx="26">
                  <c:v>0.6361059781864237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0.5078592324623782</c:v>
                </c:pt>
                <c:pt idx="5">
                  <c:v>0.451796132663186</c:v>
                </c:pt>
                <c:pt idx="6">
                  <c:v>-999</c:v>
                </c:pt>
                <c:pt idx="7">
                  <c:v>-999</c:v>
                </c:pt>
                <c:pt idx="8">
                  <c:v>0.4681079773923992</c:v>
                </c:pt>
                <c:pt idx="9">
                  <c:v>-999</c:v>
                </c:pt>
                <c:pt idx="10">
                  <c:v>0.5115418113124226</c:v>
                </c:pt>
                <c:pt idx="11">
                  <c:v>0.4766034489016419</c:v>
                </c:pt>
                <c:pt idx="12">
                  <c:v>0.6321971771431928</c:v>
                </c:pt>
                <c:pt idx="13">
                  <c:v>-999</c:v>
                </c:pt>
                <c:pt idx="14">
                  <c:v>-999</c:v>
                </c:pt>
                <c:pt idx="15">
                  <c:v>-999</c:v>
                </c:pt>
                <c:pt idx="16">
                  <c:v>0.6205278950229159</c:v>
                </c:pt>
                <c:pt idx="17">
                  <c:v>0.5809366791274029</c:v>
                </c:pt>
                <c:pt idx="18">
                  <c:v>-999</c:v>
                </c:pt>
                <c:pt idx="19">
                  <c:v>-999</c:v>
                </c:pt>
                <c:pt idx="20">
                  <c:v>0.7915920266411263</c:v>
                </c:pt>
                <c:pt idx="21">
                  <c:v>0.41395487702034095</c:v>
                </c:pt>
                <c:pt idx="22">
                  <c:v>0.7660276450407811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0.2995513683756647</c:v>
                </c:pt>
                <c:pt idx="3">
                  <c:v>0.21739130434782605</c:v>
                </c:pt>
                <c:pt idx="4">
                  <c:v>-999</c:v>
                </c:pt>
                <c:pt idx="5">
                  <c:v>-999</c:v>
                </c:pt>
                <c:pt idx="6">
                  <c:v>0.30742049469964666</c:v>
                </c:pt>
                <c:pt idx="7">
                  <c:v>0.2882779049114427</c:v>
                </c:pt>
                <c:pt idx="8">
                  <c:v>-999</c:v>
                </c:pt>
                <c:pt idx="9">
                  <c:v>0.2800794733517061</c:v>
                </c:pt>
                <c:pt idx="10">
                  <c:v>-999</c:v>
                </c:pt>
                <c:pt idx="11">
                  <c:v>-999</c:v>
                </c:pt>
                <c:pt idx="12">
                  <c:v>-999</c:v>
                </c:pt>
                <c:pt idx="13">
                  <c:v>0.6916562409777692</c:v>
                </c:pt>
                <c:pt idx="14">
                  <c:v>-999</c:v>
                </c:pt>
                <c:pt idx="15">
                  <c:v>-999</c:v>
                </c:pt>
                <c:pt idx="16">
                  <c:v>-999</c:v>
                </c:pt>
                <c:pt idx="17">
                  <c:v>-999</c:v>
                </c:pt>
                <c:pt idx="18">
                  <c:v>-999</c:v>
                </c:pt>
                <c:pt idx="19">
                  <c:v>0.6576409634857074</c:v>
                </c:pt>
                <c:pt idx="20">
                  <c:v>-999</c:v>
                </c:pt>
                <c:pt idx="21">
                  <c:v>-999</c:v>
                </c:pt>
                <c:pt idx="22">
                  <c:v>-999</c:v>
                </c:pt>
                <c:pt idx="23">
                  <c:v>0.8576963729119796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5845762"/>
        <c:axId val="55740947"/>
      </c:scatterChart>
      <c:catAx>
        <c:axId val="3298424"/>
        <c:scaling>
          <c:orientation val="maxMin"/>
        </c:scaling>
        <c:axPos val="l"/>
        <c:delete val="0"/>
        <c:numFmt formatCode="General" sourceLinked="1"/>
        <c:majorTickMark val="out"/>
        <c:minorTickMark val="none"/>
        <c:tickLblPos val="none"/>
        <c:spPr>
          <a:ln w="3175">
            <a:noFill/>
          </a:ln>
        </c:spPr>
        <c:crossAx val="29685817"/>
        <c:crosses val="autoZero"/>
        <c:auto val="1"/>
        <c:lblOffset val="100"/>
        <c:tickLblSkip val="1"/>
        <c:noMultiLvlLbl val="0"/>
      </c:catAx>
      <c:valAx>
        <c:axId val="29685817"/>
        <c:scaling>
          <c:orientation val="minMax"/>
          <c:max val="1"/>
          <c:min val="0"/>
        </c:scaling>
        <c:axPos val="t"/>
        <c:delete val="0"/>
        <c:numFmt formatCode="General" sourceLinked="1"/>
        <c:majorTickMark val="none"/>
        <c:minorTickMark val="none"/>
        <c:tickLblPos val="none"/>
        <c:spPr>
          <a:ln w="3175">
            <a:noFill/>
          </a:ln>
        </c:spPr>
        <c:crossAx val="3298424"/>
        <c:crossesAt val="1"/>
        <c:crossBetween val="between"/>
        <c:dispUnits/>
        <c:majorUnit val="1"/>
      </c:valAx>
      <c:valAx>
        <c:axId val="65845762"/>
        <c:scaling>
          <c:orientation val="minMax"/>
          <c:max val="1"/>
          <c:min val="0"/>
        </c:scaling>
        <c:axPos val="t"/>
        <c:delete val="0"/>
        <c:numFmt formatCode="General" sourceLinked="1"/>
        <c:majorTickMark val="none"/>
        <c:minorTickMark val="none"/>
        <c:tickLblPos val="none"/>
        <c:spPr>
          <a:ln w="3175">
            <a:noFill/>
          </a:ln>
        </c:spPr>
        <c:crossAx val="55740947"/>
        <c:crosses val="max"/>
        <c:crossBetween val="midCat"/>
        <c:dispUnits/>
        <c:majorUnit val="0.1"/>
        <c:minorUnit val="0.02"/>
      </c:valAx>
      <c:valAx>
        <c:axId val="55740947"/>
        <c:scaling>
          <c:orientation val="maxMin"/>
          <c:max val="29"/>
          <c:min val="0"/>
        </c:scaling>
        <c:axPos val="l"/>
        <c:delete val="0"/>
        <c:numFmt formatCode="General" sourceLinked="1"/>
        <c:majorTickMark val="none"/>
        <c:minorTickMark val="none"/>
        <c:tickLblPos val="none"/>
        <c:spPr>
          <a:ln w="3175">
            <a:noFill/>
          </a:ln>
        </c:spPr>
        <c:crossAx val="6584576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(F82053) BAIG, NHS HAVERING CCG (08F)</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803</v>
      </c>
      <c r="Q3" s="65"/>
      <c r="R3" s="66"/>
      <c r="S3" s="66"/>
      <c r="T3" s="66"/>
      <c r="U3" s="66"/>
      <c r="V3" s="66"/>
      <c r="W3" s="66"/>
      <c r="X3" s="66"/>
      <c r="Y3" s="66"/>
      <c r="Z3" s="66"/>
      <c r="AA3" s="66"/>
      <c r="AB3" s="66"/>
      <c r="AC3" s="66"/>
    </row>
    <row r="4" spans="2:29" ht="18" customHeight="1">
      <c r="B4" s="317" t="s">
        <v>804</v>
      </c>
      <c r="C4" s="318"/>
      <c r="D4" s="318"/>
      <c r="E4" s="318"/>
      <c r="F4" s="318"/>
      <c r="G4" s="319"/>
      <c r="H4" s="111"/>
      <c r="I4" s="111"/>
      <c r="J4" s="111"/>
      <c r="K4" s="111"/>
      <c r="L4" s="112"/>
      <c r="M4" s="65"/>
      <c r="N4" s="65"/>
      <c r="O4" s="65"/>
      <c r="P4" s="133" t="s">
        <v>805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823</v>
      </c>
      <c r="C8" s="114"/>
      <c r="D8" s="114"/>
      <c r="E8" s="127">
        <f>VLOOKUP('Hide - Control'!A$3,'All practice data'!A:CA,4,FALSE)</f>
        <v>3132</v>
      </c>
      <c r="F8" s="332" t="str">
        <f>VLOOKUP('Hide - Control'!B4,'Hide - Calculation'!AY:BA,3,FALSE)</f>
        <v> </v>
      </c>
      <c r="G8" s="332"/>
      <c r="H8" s="332"/>
      <c r="I8" s="114"/>
      <c r="J8" s="114"/>
      <c r="K8" s="114"/>
      <c r="L8" s="114"/>
      <c r="M8" s="108"/>
      <c r="N8" s="308" t="s">
        <v>806</v>
      </c>
      <c r="O8" s="308"/>
      <c r="P8" s="308"/>
      <c r="Q8" s="308" t="s">
        <v>807</v>
      </c>
      <c r="R8" s="308"/>
      <c r="S8" s="308"/>
      <c r="T8" s="308" t="s">
        <v>808</v>
      </c>
      <c r="U8" s="308"/>
      <c r="V8" s="308" t="s">
        <v>809</v>
      </c>
      <c r="W8" s="308"/>
      <c r="X8" s="308"/>
      <c r="Y8" s="134"/>
      <c r="Z8" s="308" t="s">
        <v>810</v>
      </c>
      <c r="AA8" s="308"/>
      <c r="AB8" s="160"/>
      <c r="AC8" s="108"/>
    </row>
    <row r="9" spans="2:29" s="61" customFormat="1" ht="19.5" customHeight="1" thickBot="1">
      <c r="B9" s="113" t="s">
        <v>811</v>
      </c>
      <c r="C9" s="113"/>
      <c r="D9" s="113"/>
      <c r="E9" s="128">
        <f>VLOOKUP('Hide - Control'!B4,'Hide - Calculation'!AY:BB,4,FALSE)</f>
        <v>256079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812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160</v>
      </c>
      <c r="E11" s="315"/>
      <c r="F11" s="316"/>
      <c r="G11" s="260" t="s">
        <v>158</v>
      </c>
      <c r="H11" s="252" t="s">
        <v>159</v>
      </c>
      <c r="I11" s="252" t="s">
        <v>167</v>
      </c>
      <c r="J11" s="252" t="s">
        <v>168</v>
      </c>
      <c r="K11" s="297" t="s">
        <v>813</v>
      </c>
      <c r="L11" s="253" t="s">
        <v>157</v>
      </c>
      <c r="M11" s="254" t="s">
        <v>176</v>
      </c>
      <c r="N11" s="312" t="s">
        <v>175</v>
      </c>
      <c r="O11" s="312"/>
      <c r="P11" s="312"/>
      <c r="Q11" s="312"/>
      <c r="R11" s="312"/>
      <c r="S11" s="312"/>
      <c r="T11" s="312"/>
      <c r="U11" s="312"/>
      <c r="V11" s="312"/>
      <c r="W11" s="312"/>
      <c r="X11" s="312"/>
      <c r="Y11" s="312"/>
      <c r="Z11" s="312"/>
      <c r="AA11" s="255" t="s">
        <v>177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115</v>
      </c>
      <c r="C13" s="162">
        <v>1</v>
      </c>
      <c r="D13" s="334" t="s">
        <v>111</v>
      </c>
      <c r="E13" s="335"/>
      <c r="F13" s="335"/>
      <c r="G13" s="165">
        <f>IF(VLOOKUP('Hide - Control'!A$3,'All practice data'!A:CA,C13+4,FALSE)=" "," ",VLOOKUP('Hide - Control'!A$3,'All practice data'!A:CA,C13+4,FALSE))</f>
        <v>422</v>
      </c>
      <c r="H13" s="189">
        <f>IF(VLOOKUP('Hide - Control'!A$3,'All practice data'!A:CA,C13+30,FALSE)=" "," ",VLOOKUP('Hide - Control'!A$3,'All practice data'!A:CA,C13+30,FALSE))</f>
        <v>0.13473818646232438</v>
      </c>
      <c r="I13" s="190">
        <f>IF(LEFT(G13,1)=" "," n/a",+((2*G13+1.96^2-1.96*SQRT(1.96^2+4*G13*(1-G13/E$8)))/(2*(E$8+1.96^2))))</f>
        <v>0.1232264488687371</v>
      </c>
      <c r="J13" s="190">
        <f>IF(LEFT(G13,1)=" "," n/a",+((2*G13+1.96^2+1.96*SQRT(1.96^2+4*G13*(1-G13/E$8)))/(2*(E$8+1.96^2))))</f>
        <v>0.14714486070251162</v>
      </c>
      <c r="K13" s="189">
        <f>IF('Hide - Calculation'!N7="","",'Hide - Calculation'!N7)</f>
        <v>0.17918298650025968</v>
      </c>
      <c r="L13" s="191">
        <f>'Hide - Calculation'!O7</f>
        <v>0.16403398204837302</v>
      </c>
      <c r="M13" s="301" t="str">
        <f>IF(ISBLANK('Hide - Calculation'!K7),"",FIXED(100*'Hide - Calculation'!U7,1)&amp;"%")</f>
        <v>7.0%</v>
      </c>
      <c r="N13" s="172"/>
      <c r="O13" s="172"/>
      <c r="P13" s="172"/>
      <c r="Q13" s="172"/>
      <c r="R13" s="172"/>
      <c r="S13" s="172"/>
      <c r="T13" s="172"/>
      <c r="U13" s="172"/>
      <c r="V13" s="172"/>
      <c r="W13" s="172"/>
      <c r="X13" s="172"/>
      <c r="Y13" s="172"/>
      <c r="Z13" s="172"/>
      <c r="AA13" s="302" t="str">
        <f>IF(ISBLANK('Hide - Calculation'!K7),"",FIXED(100*'Hide - Calculation'!T7,1)&amp;"%")</f>
        <v>26.2%</v>
      </c>
      <c r="AB13" s="230" t="s">
        <v>247</v>
      </c>
      <c r="AC13" s="207" t="s">
        <v>814</v>
      </c>
    </row>
    <row r="14" spans="2:29" ht="33.75" customHeight="1">
      <c r="B14" s="327"/>
      <c r="C14" s="136">
        <v>2</v>
      </c>
      <c r="D14" s="131" t="s">
        <v>182</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0.06</v>
      </c>
      <c r="I14" s="119">
        <f>IF(LEFT(G14,1)=" "," n/a",+((2*H14*E8+1.96^2-1.96*SQRT(1.96^2+4*H14*E8*(1-H14*E8/E$8)))/(2*(E$8+1.96^2))))</f>
        <v>0.05220931893153975</v>
      </c>
      <c r="J14" s="119">
        <f>IF(LEFT(G14,1)=" "," n/a",+((2*H14*E8+1.96^2+1.96*SQRT(1.96^2+4*H14*E8*(1-H14*E8/E$8)))/(2*(E$8+1.96^2))))</f>
        <v>0.06886873552121066</v>
      </c>
      <c r="K14" s="118">
        <f>IF('Hide - Calculation'!N8="","",'Hide - Calculation'!N8)</f>
        <v>0.12929900538505693</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24.0%</v>
      </c>
      <c r="AB14" s="231" t="s">
        <v>39</v>
      </c>
      <c r="AC14" s="129" t="s">
        <v>814</v>
      </c>
    </row>
    <row r="15" spans="2:39" s="63" customFormat="1" ht="33.75" customHeight="1">
      <c r="B15" s="327"/>
      <c r="C15" s="136">
        <v>3</v>
      </c>
      <c r="D15" s="131" t="s">
        <v>119</v>
      </c>
      <c r="E15" s="85"/>
      <c r="F15" s="85"/>
      <c r="G15" s="120">
        <f>IF(VLOOKUP('Hide - Control'!A$3,'All practice data'!A:CA,C15+4,FALSE)=" "," ",VLOOKUP('Hide - Control'!A$3,'All practice data'!A:CA,C15+4,FALSE))</f>
        <v>17</v>
      </c>
      <c r="H15" s="121">
        <f>IF(VLOOKUP('Hide - Control'!A$3,'All practice data'!A:CA,C15+30,FALSE)=" "," ",VLOOKUP('Hide - Control'!A$3,'All practice data'!A:CA,C15+30,FALSE))</f>
        <v>542.7841634738187</v>
      </c>
      <c r="I15" s="122">
        <f>IF(LEFT(G15,1)=" "," n/a",IF(G15&lt;5,100000*VLOOKUP(G15,'Hide - Calculation'!AQ:AR,2,FALSE)/$E$8,100000*(G15*(1-1/(9*G15)-1.96/(3*SQRT(G15)))^3)/$E$8))</f>
        <v>316.00809617422425</v>
      </c>
      <c r="J15" s="122">
        <f>IF(LEFT(G15,1)=" "," n/a",IF(G15&lt;5,100000*VLOOKUP(G15,'Hide - Calculation'!AQ:AS,3,FALSE)/$E$8,100000*((G15+1)*(1-1/(9*(G15+1))+1.96/(3*SQRT(G15+1)))^3)/$E$8))</f>
        <v>869.1031519034133</v>
      </c>
      <c r="K15" s="121">
        <f>IF('Hide - Calculation'!N9="","",'Hide - Calculation'!N9)</f>
        <v>528.3525786964179</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860</v>
      </c>
      <c r="AB15" s="231" t="s">
        <v>161</v>
      </c>
      <c r="AC15" s="130">
        <v>2010</v>
      </c>
      <c r="AD15" s="64"/>
      <c r="AE15" s="64"/>
      <c r="AF15" s="64"/>
      <c r="AG15" s="64"/>
      <c r="AH15" s="64"/>
      <c r="AI15" s="64"/>
      <c r="AJ15" s="64"/>
      <c r="AK15" s="64"/>
      <c r="AL15" s="64"/>
      <c r="AM15" s="64"/>
    </row>
    <row r="16" spans="2:29" s="63" customFormat="1" ht="33.75" customHeight="1">
      <c r="B16" s="327"/>
      <c r="C16" s="136">
        <v>4</v>
      </c>
      <c r="D16" s="131" t="s">
        <v>178</v>
      </c>
      <c r="E16" s="85"/>
      <c r="F16" s="85"/>
      <c r="G16" s="120">
        <f>IF(VLOOKUP('Hide - Control'!A$3,'All practice data'!A:CA,C16+4,FALSE)=" "," ",VLOOKUP('Hide - Control'!A$3,'All practice data'!A:CA,C16+4,FALSE))</f>
        <v>7</v>
      </c>
      <c r="H16" s="121">
        <f>IF(VLOOKUP('Hide - Control'!A$3,'All practice data'!A:CA,C16+30,FALSE)=" "," ",VLOOKUP('Hide - Control'!A$3,'All practice data'!A:CA,C16+30,FALSE))</f>
        <v>223.4993614303959</v>
      </c>
      <c r="I16" s="122">
        <f>IF(LEFT(G16,1)=" "," n/a",IF(G16&lt;5,100000*VLOOKUP(G16,'Hide - Calculation'!AQ:AR,2,FALSE)/$E$8,100000*(G16*(1-1/(9*G16)-1.96/(3*SQRT(G16)))^3)/$E$8))</f>
        <v>89.53955621259318</v>
      </c>
      <c r="J16" s="122">
        <f>IF(LEFT(G16,1)=" "," n/a",IF(G16&lt;5,100000*VLOOKUP(G16,'Hide - Calculation'!AQ:AS,3,FALSE)/$E$8,100000*((G16+1)*(1-1/(9*(G16+1))+1.96/(3*SQRT(G16+1)))^3)/$E$8))</f>
        <v>460.5176710819975</v>
      </c>
      <c r="K16" s="121">
        <f>IF('Hide - Calculation'!N10="","",'Hide - Calculation'!N10)</f>
        <v>253.04691130471457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479</v>
      </c>
      <c r="AB16" s="231" t="s">
        <v>114</v>
      </c>
      <c r="AC16" s="130" t="s">
        <v>815</v>
      </c>
    </row>
    <row r="17" spans="2:29" s="63" customFormat="1" ht="33.75" customHeight="1" thickBot="1">
      <c r="B17" s="328"/>
      <c r="C17" s="179">
        <v>5</v>
      </c>
      <c r="D17" s="194" t="s">
        <v>118</v>
      </c>
      <c r="E17" s="181"/>
      <c r="F17" s="181"/>
      <c r="G17" s="139">
        <f>IF(VLOOKUP('Hide - Control'!A$3,'All practice data'!A:CA,C17+4,FALSE)=" "," ",VLOOKUP('Hide - Control'!A$3,'All practice data'!A:CA,C17+4,FALSE))</f>
        <v>38</v>
      </c>
      <c r="H17" s="140">
        <f>IF(VLOOKUP('Hide - Control'!A$3,'All practice data'!A:CA,C17+30,FALSE)=" "," ",VLOOKUP('Hide - Control'!A$3,'All practice data'!A:CA,C17+30,FALSE))</f>
        <v>0.0121</v>
      </c>
      <c r="I17" s="141">
        <f>IF(LEFT(G17,1)=" "," n/a",+((2*G17+1.96^2-1.96*SQRT(1.96^2+4*G17*(1-G17/E$8)))/(2*(E$8+1.96^2))))</f>
        <v>0.008852303654470694</v>
      </c>
      <c r="J17" s="141">
        <f>IF(LEFT(G17,1)=" "," n/a",+((2*G17+1.96^2+1.96*SQRT(1.96^2+4*G17*(1-G17/E$8)))/(2*(E$8+1.96^2))))</f>
        <v>0.016608676262372044</v>
      </c>
      <c r="K17" s="140">
        <f>IF('Hide - Calculation'!N11="","",'Hide - Calculation'!N11)</f>
        <v>0.017213438040604656</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3.2%</v>
      </c>
      <c r="AB17" s="232" t="s">
        <v>179</v>
      </c>
      <c r="AC17" s="188" t="s">
        <v>815</v>
      </c>
    </row>
    <row r="18" spans="2:29" s="63" customFormat="1" ht="33.75" customHeight="1">
      <c r="B18" s="326" t="s">
        <v>13</v>
      </c>
      <c r="C18" s="162">
        <v>6</v>
      </c>
      <c r="D18" s="163" t="s">
        <v>183</v>
      </c>
      <c r="E18" s="164"/>
      <c r="F18" s="164"/>
      <c r="G18" s="217">
        <f>IF(OR(VLOOKUP('Hide - Control'!A$3,'All practice data'!A:CA,C18+4,FALSE)=" ",VLOOKUP('Hide - Control'!A$3,'All practice data'!A:CA,C18+52,FALSE)=0)," n/a",VLOOKUP('Hide - Control'!A$3,'All practice data'!A:CA,C18+4,FALSE))</f>
        <v>255</v>
      </c>
      <c r="H18" s="218">
        <f>IF(OR(VLOOKUP('Hide - Control'!A$3,'All practice data'!A:CA,C18+30,FALSE)=" ",VLOOKUP('Hide - Control'!A$3,'All practice data'!A:CA,C18+52,FALSE)=0)," n/a",VLOOKUP('Hide - Control'!A$3,'All practice data'!A:CA,C18+30,FALSE))</f>
        <v>0.653846</v>
      </c>
      <c r="I18" s="190">
        <f>IF(OR(LEFT(H18,1)=" ",VLOOKUP('Hide - Control'!A$3,'All practice data'!A:CA,C18+52,FALSE)=0)," n/a",+((2*G18+1.96^2-1.96*SQRT(1.96^2+4*G18*(1-G18/(VLOOKUP('Hide - Control'!A$3,'All practice data'!A:CA,C18+52,FALSE)))))/(2*(((VLOOKUP('Hide - Control'!A$3,'All practice data'!A:CA,C18+52,FALSE)))+1.96^2))))</f>
        <v>0.6053356434447278</v>
      </c>
      <c r="J18" s="190">
        <f>IF(OR(LEFT(H18,1)=" ",VLOOKUP('Hide - Control'!A$3,'All practice data'!A:CA,C18+52,FALSE)=0)," n/a",+((2*G18+1.96^2+1.96*SQRT(1.96^2+4*G18*(1-G18/(VLOOKUP('Hide - Control'!A$3,'All practice data'!A:CA,C18+52,FALSE)))))/(2*((VLOOKUP('Hide - Control'!A$3,'All practice data'!A:CA,C18+52,FALSE))+1.96^2))))</f>
        <v>0.6993553795452255</v>
      </c>
      <c r="K18" s="218">
        <f>IF('Hide - Calculation'!N12="","",'Hide - Calculation'!N12)</f>
        <v>0.7302435192458759</v>
      </c>
      <c r="L18" s="191">
        <f>'Hide - Calculation'!O12</f>
        <v>0.7246856648259642</v>
      </c>
      <c r="M18" s="192" t="str">
        <f>IF(ISBLANK('Hide - Calculation'!K12),"",FIXED(100*'Hide - Calculation'!U12,1)&amp;"%")</f>
        <v>55.0%</v>
      </c>
      <c r="N18" s="193"/>
      <c r="O18" s="172"/>
      <c r="P18" s="172"/>
      <c r="Q18" s="172"/>
      <c r="R18" s="172"/>
      <c r="S18" s="172"/>
      <c r="T18" s="172"/>
      <c r="U18" s="172"/>
      <c r="V18" s="172"/>
      <c r="W18" s="172"/>
      <c r="X18" s="172"/>
      <c r="Y18" s="172"/>
      <c r="Z18" s="173"/>
      <c r="AA18" s="192" t="str">
        <f>IF(ISBLANK('Hide - Calculation'!K12),"",FIXED(100*'Hide - Calculation'!T12,1)&amp;"%")</f>
        <v>80.3%</v>
      </c>
      <c r="AB18" s="230" t="s">
        <v>48</v>
      </c>
      <c r="AC18" s="174" t="s">
        <v>816</v>
      </c>
    </row>
    <row r="19" spans="2:29" s="63" customFormat="1" ht="33.75" customHeight="1">
      <c r="B19" s="327"/>
      <c r="C19" s="136">
        <v>7</v>
      </c>
      <c r="D19" s="131" t="s">
        <v>184</v>
      </c>
      <c r="E19" s="85"/>
      <c r="F19" s="85"/>
      <c r="G19" s="219">
        <f>IF(OR(VLOOKUP('Hide - Control'!A$3,'All practice data'!A:CA,C19+4,FALSE)=" ",VLOOKUP('Hide - Control'!A$3,'All practice data'!A:CA,C19+52,FALSE)=0)," n/a",VLOOKUP('Hide - Control'!A$3,'All practice data'!A:CA,C19+4,FALSE))</f>
        <v>41</v>
      </c>
      <c r="H19" s="216">
        <f>IF(OR(VLOOKUP('Hide - Control'!A$3,'All practice data'!A:CA,C19+30,FALSE)=" ",VLOOKUP('Hide - Control'!A$3,'All practice data'!A:CA,C19+52,FALSE)=0)," n/a",VLOOKUP('Hide - Control'!A$3,'All practice data'!A:CA,C19+30,FALSE))</f>
        <v>0.650794</v>
      </c>
      <c r="I19" s="119">
        <f>IF(OR(LEFT(H19,1)=" ",VLOOKUP('Hide - Control'!A$3,'All practice data'!A:CA,C19+52,FALSE)=0)," n/a",+((2*G19+1.96^2-1.96*SQRT(1.96^2+4*G19*(1-G19/(VLOOKUP('Hide - Control'!A$3,'All practice data'!A:CA,C19+52,FALSE)))))/(2*(((VLOOKUP('Hide - Control'!A$3,'All practice data'!A:CA,C19+52,FALSE)))+1.96^2))))</f>
        <v>0.5275123111600184</v>
      </c>
      <c r="J19" s="119">
        <f>IF(OR(LEFT(H19,1)=" ",VLOOKUP('Hide - Control'!A$3,'All practice data'!A:CA,C19+52,FALSE)=0)," n/a",+((2*G19+1.96^2+1.96*SQRT(1.96^2+4*G19*(1-G19/(VLOOKUP('Hide - Control'!A$3,'All practice data'!A:CA,C19+52,FALSE)))))/(2*((VLOOKUP('Hide - Control'!A$3,'All practice data'!A:CA,C19+52,FALSE))+1.96^2))))</f>
        <v>0.7567418060364581</v>
      </c>
      <c r="K19" s="216">
        <f>IF('Hide - Calculation'!N13="","",'Hide - Calculation'!N13)</f>
        <v>0.6977325477593287</v>
      </c>
      <c r="L19" s="154">
        <f>'Hide - Calculation'!O13</f>
        <v>0.7425503147315781</v>
      </c>
      <c r="M19" s="151" t="str">
        <f>IF(ISBLANK('Hide - Calculation'!K13),"",FIXED(100*'Hide - Calculation'!U13,1)&amp;"%")</f>
        <v>33.3%</v>
      </c>
      <c r="N19" s="159"/>
      <c r="O19" s="84"/>
      <c r="P19" s="84"/>
      <c r="Q19" s="84"/>
      <c r="R19" s="84"/>
      <c r="S19" s="84"/>
      <c r="T19" s="84"/>
      <c r="U19" s="84"/>
      <c r="V19" s="84"/>
      <c r="W19" s="84"/>
      <c r="X19" s="84"/>
      <c r="Y19" s="84"/>
      <c r="Z19" s="88"/>
      <c r="AA19" s="151" t="str">
        <f>IF(ISBLANK('Hide - Calculation'!K13),"",FIXED(100*'Hide - Calculation'!T13,1)&amp;"%")</f>
        <v>83.5%</v>
      </c>
      <c r="AB19" s="231" t="s">
        <v>48</v>
      </c>
      <c r="AC19" s="130" t="s">
        <v>815</v>
      </c>
    </row>
    <row r="20" spans="2:29" s="63" customFormat="1" ht="33.75" customHeight="1">
      <c r="B20" s="327"/>
      <c r="C20" s="136">
        <v>8</v>
      </c>
      <c r="D20" s="131" t="s">
        <v>185</v>
      </c>
      <c r="E20" s="85"/>
      <c r="F20" s="85"/>
      <c r="G20" s="219">
        <f>IF(OR(VLOOKUP('Hide - Control'!A$3,'All practice data'!A:CA,C20+4,FALSE)=" ",VLOOKUP('Hide - Control'!A$3,'All practice data'!A:CA,C20+52,FALSE)=0)," n/a",VLOOKUP('Hide - Control'!A$3,'All practice data'!A:CA,C20+4,FALSE))</f>
        <v>580</v>
      </c>
      <c r="H20" s="216">
        <f>IF(OR(VLOOKUP('Hide - Control'!A$3,'All practice data'!A:CA,C20+30,FALSE)=" ",VLOOKUP('Hide - Control'!A$3,'All practice data'!A:CA,C20+52,FALSE)=0)," n/a",VLOOKUP('Hide - Control'!A$3,'All practice data'!A:CA,C20+30,FALSE))</f>
        <v>0.716934</v>
      </c>
      <c r="I20" s="119">
        <f>IF(OR(LEFT(H20,1)=" ",VLOOKUP('Hide - Control'!A$3,'All practice data'!A:CA,C20+52,FALSE)=0)," n/a",+((2*G20+1.96^2-1.96*SQRT(1.96^2+4*G20*(1-G20/(VLOOKUP('Hide - Control'!A$3,'All practice data'!A:CA,C20+52,FALSE)))))/(2*(((VLOOKUP('Hide - Control'!A$3,'All practice data'!A:CA,C20+52,FALSE)))+1.96^2))))</f>
        <v>0.684922606828584</v>
      </c>
      <c r="J20" s="119">
        <f>IF(OR(LEFT(H20,1)=" ",VLOOKUP('Hide - Control'!A$3,'All practice data'!A:CA,C20+52,FALSE)=0)," n/a",+((2*G20+1.96^2+1.96*SQRT(1.96^2+4*G20*(1-G20/(VLOOKUP('Hide - Control'!A$3,'All practice data'!A:CA,C20+52,FALSE)))))/(2*((VLOOKUP('Hide - Control'!A$3,'All practice data'!A:CA,C20+52,FALSE))+1.96^2))))</f>
        <v>0.7468958434082149</v>
      </c>
      <c r="K20" s="216">
        <f>IF('Hide - Calculation'!N14="","",'Hide - Calculation'!N14)</f>
        <v>0.7598105761641674</v>
      </c>
      <c r="L20" s="154">
        <f>'Hide - Calculation'!O14</f>
        <v>0.7530641252748632</v>
      </c>
      <c r="M20" s="151" t="str">
        <f>IF(ISBLANK('Hide - Calculation'!K14),"",FIXED(100*'Hide - Calculation'!U14,1)&amp;"%")</f>
        <v>65.6%</v>
      </c>
      <c r="N20" s="159"/>
      <c r="O20" s="84"/>
      <c r="P20" s="84"/>
      <c r="Q20" s="84"/>
      <c r="R20" s="84"/>
      <c r="S20" s="84"/>
      <c r="T20" s="84"/>
      <c r="U20" s="84"/>
      <c r="V20" s="84"/>
      <c r="W20" s="84"/>
      <c r="X20" s="84"/>
      <c r="Y20" s="84"/>
      <c r="Z20" s="88"/>
      <c r="AA20" s="151" t="str">
        <f>IF(ISBLANK('Hide - Calculation'!K14),"",FIXED(100*'Hide - Calculation'!T14,1)&amp;"%")</f>
        <v>86.5%</v>
      </c>
      <c r="AB20" s="231" t="s">
        <v>48</v>
      </c>
      <c r="AC20" s="130" t="s">
        <v>817</v>
      </c>
    </row>
    <row r="21" spans="2:29" s="63" customFormat="1" ht="33.75" customHeight="1">
      <c r="B21" s="327"/>
      <c r="C21" s="136">
        <v>9</v>
      </c>
      <c r="D21" s="131" t="s">
        <v>186</v>
      </c>
      <c r="E21" s="85"/>
      <c r="F21" s="85"/>
      <c r="G21" s="219">
        <f>IF(OR(VLOOKUP('Hide - Control'!A$3,'All practice data'!A:CA,C21+4,FALSE)=" ",VLOOKUP('Hide - Control'!A$3,'All practice data'!A:CA,C21+52,FALSE)=0)," n/a",VLOOKUP('Hide - Control'!A$3,'All practice data'!A:CA,C21+4,FALSE))</f>
        <v>139</v>
      </c>
      <c r="H21" s="216">
        <f>IF(OR(VLOOKUP('Hide - Control'!A$3,'All practice data'!A:CA,C21+30,FALSE)=" ",VLOOKUP('Hide - Control'!A$3,'All practice data'!A:CA,C21+52,FALSE)=0)," n/a",VLOOKUP('Hide - Control'!A$3,'All practice data'!A:CA,C21+30,FALSE))</f>
        <v>0.526515</v>
      </c>
      <c r="I21" s="119">
        <f>IF(OR(LEFT(H21,1)=" ",VLOOKUP('Hide - Control'!A$3,'All practice data'!A:CA,C21+52,FALSE)=0)," n/a",+((2*G21+1.96^2-1.96*SQRT(1.96^2+4*G21*(1-G21/(VLOOKUP('Hide - Control'!A$3,'All practice data'!A:CA,C21+52,FALSE)))))/(2*(((VLOOKUP('Hide - Control'!A$3,'All practice data'!A:CA,C21+52,FALSE)))+1.96^2))))</f>
        <v>0.4663371720307824</v>
      </c>
      <c r="J21" s="119">
        <f>IF(OR(LEFT(H21,1)=" ",VLOOKUP('Hide - Control'!A$3,'All practice data'!A:CA,C21+52,FALSE)=0)," n/a",+((2*G21+1.96^2+1.96*SQRT(1.96^2+4*G21*(1-G21/(VLOOKUP('Hide - Control'!A$3,'All practice data'!A:CA,C21+52,FALSE)))))/(2*((VLOOKUP('Hide - Control'!A$3,'All practice data'!A:CA,C21+52,FALSE))+1.96^2))))</f>
        <v>0.5859325276723257</v>
      </c>
      <c r="K21" s="216">
        <f>IF('Hide - Calculation'!N15="","",'Hide - Calculation'!N15)</f>
        <v>0.5444536097263566</v>
      </c>
      <c r="L21" s="154">
        <f>'Hide - Calculation'!O15</f>
        <v>0.5744521249276766</v>
      </c>
      <c r="M21" s="151" t="str">
        <f>IF(ISBLANK('Hide - Calculation'!K15),"",FIXED(100*'Hide - Calculation'!U15,1)&amp;"%")</f>
        <v>31.8%</v>
      </c>
      <c r="N21" s="159"/>
      <c r="O21" s="84"/>
      <c r="P21" s="84"/>
      <c r="Q21" s="84"/>
      <c r="R21" s="84"/>
      <c r="S21" s="84"/>
      <c r="T21" s="84"/>
      <c r="U21" s="84"/>
      <c r="V21" s="84"/>
      <c r="W21" s="84"/>
      <c r="X21" s="84"/>
      <c r="Y21" s="84"/>
      <c r="Z21" s="88"/>
      <c r="AA21" s="151" t="str">
        <f>IF(ISBLANK('Hide - Calculation'!K15),"",FIXED(100*'Hide - Calculation'!T15,1)&amp;"%")</f>
        <v>65.3%</v>
      </c>
      <c r="AB21" s="231" t="s">
        <v>48</v>
      </c>
      <c r="AC21" s="130" t="s">
        <v>818</v>
      </c>
    </row>
    <row r="22" spans="2:29" s="63" customFormat="1" ht="33.75" customHeight="1" thickBot="1">
      <c r="B22" s="328"/>
      <c r="C22" s="179">
        <v>10</v>
      </c>
      <c r="D22" s="194" t="s">
        <v>187</v>
      </c>
      <c r="E22" s="181"/>
      <c r="F22" s="181"/>
      <c r="G22" s="220">
        <f>IF(OR(VLOOKUP('Hide - Control'!A$3,'All practice data'!A:CA,C22+4,FALSE)=" ",VLOOKUP('Hide - Control'!A$3,'All practice data'!A:CA,C22+52,FALSE)=0)," n/a",VLOOKUP('Hide - Control'!A$3,'All practice data'!A:CA,C22+4,FALSE))</f>
        <v>72</v>
      </c>
      <c r="H22" s="221">
        <f>IF(OR(VLOOKUP('Hide - Control'!A$3,'All practice data'!A:CA,C22+30,FALSE)=" ",VLOOKUP('Hide - Control'!A$3,'All practice data'!A:CA,C22+52,FALSE)=0)," n/a",VLOOKUP('Hide - Control'!A$3,'All practice data'!A:CA,C22+30,FALSE))</f>
        <v>0.521739</v>
      </c>
      <c r="I22" s="195">
        <f>IF(OR(LEFT(H22,1)=" ",VLOOKUP('Hide - Control'!A$3,'All practice data'!A:CA,C22+52,FALSE)=0)," n/a",+((2*G22+1.96^2-1.96*SQRT(1.96^2+4*G22*(1-G22/(VLOOKUP('Hide - Control'!A$3,'All practice data'!A:CA,C22+52,FALSE)))))/(2*(((VLOOKUP('Hide - Control'!A$3,'All practice data'!A:CA,C22+52,FALSE)))+1.96^2))))</f>
        <v>0.4389403763047988</v>
      </c>
      <c r="J22" s="195">
        <f>IF(OR(LEFT(H22,1)=" ",VLOOKUP('Hide - Control'!A$3,'All practice data'!A:CA,C22+52,FALSE)=0)," n/a",+((2*G22+1.96^2+1.96*SQRT(1.96^2+4*G22*(1-G22/(VLOOKUP('Hide - Control'!A$3,'All practice data'!A:CA,C22+52,FALSE)))))/(2*((VLOOKUP('Hide - Control'!A$3,'All practice data'!A:CA,C22+52,FALSE))+1.96^2))))</f>
        <v>0.6033603309630268</v>
      </c>
      <c r="K22" s="221">
        <f>IF('Hide - Calculation'!N16="","",'Hide - Calculation'!N16)</f>
        <v>0.5550984022491943</v>
      </c>
      <c r="L22" s="196">
        <f>'Hide - Calculation'!O16</f>
        <v>0.5565049054289257</v>
      </c>
      <c r="M22" s="197" t="str">
        <f>IF(ISBLANK('Hide - Calculation'!K16),"",FIXED(100*'Hide - Calculation'!U16,1)&amp;"%")</f>
        <v>29.9%</v>
      </c>
      <c r="N22" s="198"/>
      <c r="O22" s="91"/>
      <c r="P22" s="91"/>
      <c r="Q22" s="91"/>
      <c r="R22" s="91"/>
      <c r="S22" s="91"/>
      <c r="T22" s="91"/>
      <c r="U22" s="91"/>
      <c r="V22" s="91"/>
      <c r="W22" s="91"/>
      <c r="X22" s="91"/>
      <c r="Y22" s="91"/>
      <c r="Z22" s="187"/>
      <c r="AA22" s="197" t="str">
        <f>IF(ISBLANK('Hide - Calculation'!K16),"",FIXED(100*'Hide - Calculation'!T16,1)&amp;"%")</f>
        <v>68.1%</v>
      </c>
      <c r="AB22" s="232" t="s">
        <v>48</v>
      </c>
      <c r="AC22" s="188" t="s">
        <v>815</v>
      </c>
    </row>
    <row r="23" spans="2:29" s="63" customFormat="1" ht="33.75" customHeight="1">
      <c r="B23" s="326" t="s">
        <v>109</v>
      </c>
      <c r="C23" s="162">
        <v>11</v>
      </c>
      <c r="D23" s="178" t="s">
        <v>120</v>
      </c>
      <c r="E23" s="164"/>
      <c r="F23" s="164"/>
      <c r="G23" s="117">
        <f>IF(VLOOKUP('Hide - Control'!A$3,'All practice data'!A:CA,C23+4,FALSE)=" "," ",VLOOKUP('Hide - Control'!A$3,'All practice data'!A:CA,C23+4,FALSE))</f>
        <v>85</v>
      </c>
      <c r="H23" s="214">
        <f>IF(VLOOKUP('Hide - Control'!A$3,'All practice data'!A:CA,C23+30,FALSE)=" "," ",VLOOKUP('Hide - Control'!A$3,'All practice data'!A:CA,C23+30,FALSE))</f>
        <v>2713.920817369093</v>
      </c>
      <c r="I23" s="213">
        <f>IF(LEFT(G23,1)=" "," n/a",IF(G23&lt;5,100000*VLOOKUP(G23,'Hide - Calculation'!AQ:AR,2,FALSE)/$E$8,100000*(G23*(1-1/(9*G23)-1.96/(3*SQRT(G23)))^3)/$E$8))</f>
        <v>2167.708121846436</v>
      </c>
      <c r="J23" s="213">
        <f>IF(LEFT(G23,1)=" "," n/a",IF(G23&lt;5,100000*VLOOKUP(G23,'Hide - Calculation'!AQ:AS,3,FALSE)/$E$8,100000*((G23+1)*(1-1/(9*(G23+1))+1.96/(3*SQRT(G23+1)))^3)/$E$8))</f>
        <v>3355.8557783963743</v>
      </c>
      <c r="K23" s="214">
        <f>IF('Hide - Calculation'!N17="","",'Hide - Calculation'!N17)</f>
        <v>2256.3349591337046</v>
      </c>
      <c r="L23" s="215">
        <f>'Hide - Calculation'!O17</f>
        <v>1981.9429445600304</v>
      </c>
      <c r="M23" s="169" t="str">
        <f>IF(ISBLANK('Hide - Calculation'!K17),"",FIXED('Hide - Calculation'!U17,0))</f>
        <v>753</v>
      </c>
      <c r="N23" s="170"/>
      <c r="O23" s="171"/>
      <c r="P23" s="171"/>
      <c r="Q23" s="171"/>
      <c r="R23" s="172"/>
      <c r="S23" s="172"/>
      <c r="T23" s="172"/>
      <c r="U23" s="172"/>
      <c r="V23" s="172"/>
      <c r="W23" s="172"/>
      <c r="X23" s="172"/>
      <c r="Y23" s="172"/>
      <c r="Z23" s="173"/>
      <c r="AA23" s="169" t="str">
        <f>IF(ISBLANK('Hide - Calculation'!K17),"",FIXED('Hide - Calculation'!T17,0))</f>
        <v>4,735</v>
      </c>
      <c r="AB23" s="230" t="s">
        <v>26</v>
      </c>
      <c r="AC23" s="174" t="s">
        <v>815</v>
      </c>
    </row>
    <row r="24" spans="2:29" s="63" customFormat="1" ht="33.75" customHeight="1">
      <c r="B24" s="327"/>
      <c r="C24" s="136">
        <v>12</v>
      </c>
      <c r="D24" s="146" t="s">
        <v>192</v>
      </c>
      <c r="E24" s="85"/>
      <c r="F24" s="85"/>
      <c r="G24" s="117">
        <f>IF(VLOOKUP('Hide - Control'!A$3,'All practice data'!A:CA,C24+4,FALSE)=" "," ",VLOOKUP('Hide - Control'!A$3,'All practice data'!A:CA,C24+4,FALSE))</f>
        <v>85</v>
      </c>
      <c r="H24" s="118">
        <f>IF(VLOOKUP('Hide - Control'!A$3,'All practice data'!A:CA,C24+30,FALSE)=" "," ",VLOOKUP('Hide - Control'!A$3,'All practice data'!A:CA,C24+30,FALSE))</f>
        <v>1.3983</v>
      </c>
      <c r="I24" s="210">
        <f>IF(LEFT(VLOOKUP('Hide - Control'!A$3,'All practice data'!A:CA,C24+44,FALSE),1)=" "," n/a",VLOOKUP('Hide - Control'!A$3,'All practice data'!A:CA,C24+44,FALSE))</f>
        <v>1.1169</v>
      </c>
      <c r="J24" s="210">
        <f>IF(LEFT(VLOOKUP('Hide - Control'!A$3,'All practice data'!A:CA,C24+45,FALSE),1)=" "," n/a",VLOOKUP('Hide - Control'!A$3,'All practice data'!A:CA,C24+45,FALSE))</f>
        <v>1.729</v>
      </c>
      <c r="K24" s="151" t="s">
        <v>248</v>
      </c>
      <c r="L24" s="211">
        <v>1</v>
      </c>
      <c r="M24" s="151" t="str">
        <f>IF(ISBLANK('Hide - Calculation'!K18),"",FIXED(100*'Hide - Calculation'!U18,1)&amp;"%")</f>
        <v>40.9%</v>
      </c>
      <c r="N24" s="86"/>
      <c r="O24" s="87"/>
      <c r="P24" s="87"/>
      <c r="Q24" s="87"/>
      <c r="R24" s="84"/>
      <c r="S24" s="84"/>
      <c r="T24" s="84"/>
      <c r="U24" s="84"/>
      <c r="V24" s="84"/>
      <c r="W24" s="84"/>
      <c r="X24" s="84"/>
      <c r="Y24" s="84"/>
      <c r="Z24" s="88"/>
      <c r="AA24" s="151" t="str">
        <f>IF(ISBLANK('Hide - Calculation'!K18),"",FIXED(100*'Hide - Calculation'!T18,1)&amp;"%")</f>
        <v>203.9%</v>
      </c>
      <c r="AB24" s="231" t="s">
        <v>26</v>
      </c>
      <c r="AC24" s="130" t="s">
        <v>815</v>
      </c>
    </row>
    <row r="25" spans="2:29" s="63" customFormat="1" ht="33.75" customHeight="1">
      <c r="B25" s="327"/>
      <c r="C25" s="136">
        <v>13</v>
      </c>
      <c r="D25" s="146" t="s">
        <v>116</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0.10747663551401869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33.3%</v>
      </c>
      <c r="AB25" s="231" t="s">
        <v>26</v>
      </c>
      <c r="AC25" s="130" t="s">
        <v>815</v>
      </c>
    </row>
    <row r="26" spans="2:29" s="63" customFormat="1" ht="33.75" customHeight="1">
      <c r="B26" s="327"/>
      <c r="C26" s="136">
        <v>14</v>
      </c>
      <c r="D26" s="146" t="s">
        <v>180</v>
      </c>
      <c r="E26" s="85"/>
      <c r="F26" s="85"/>
      <c r="G26" s="120">
        <f>IF(VLOOKUP('Hide - Control'!A$3,'All practice data'!A:CA,C26+4,FALSE)=" "," ",VLOOKUP('Hide - Control'!A$3,'All practice data'!A:CA,C26+4,FALSE))</f>
        <v>14</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0.5140728476821192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83.3%</v>
      </c>
      <c r="AB26" s="231" t="s">
        <v>26</v>
      </c>
      <c r="AC26" s="130" t="s">
        <v>815</v>
      </c>
    </row>
    <row r="27" spans="2:29" s="63" customFormat="1" ht="33.75" customHeight="1">
      <c r="B27" s="327"/>
      <c r="C27" s="136">
        <v>15</v>
      </c>
      <c r="D27" s="146" t="s">
        <v>169</v>
      </c>
      <c r="E27" s="85"/>
      <c r="F27" s="85"/>
      <c r="G27" s="120">
        <f>IF(VLOOKUP('Hide - Control'!A$3,'All practice data'!A:CA,C27+4,FALSE)=" "," ",VLOOKUP('Hide - Control'!A$3,'All practice data'!A:CA,C27+4,FALSE))</f>
        <v>16</v>
      </c>
      <c r="H27" s="121">
        <f>IF(VLOOKUP('Hide - Control'!A$3,'All practice data'!A:CA,C27+30,FALSE)=" "," ",VLOOKUP('Hide - Control'!A$3,'All practice data'!A:CA,C27+30,FALSE))</f>
        <v>510.8556832694764</v>
      </c>
      <c r="I27" s="122">
        <f>IF(LEFT(G27,1)=" "," n/a",IF(G27&lt;5,100000*VLOOKUP(G27,'Hide - Calculation'!AQ:AR,2,FALSE)/$E$8,100000*(G27*(1-1/(9*G27)-1.96/(3*SQRT(G27)))^3)/$E$8))</f>
        <v>291.80746297566435</v>
      </c>
      <c r="J27" s="122">
        <f>IF(LEFT(G27,1)=" "," n/a",IF(G27&lt;5,100000*VLOOKUP(G27,'Hide - Calculation'!AQ:AS,3,FALSE)/$E$8,100000*((G27+1)*(1-1/(9*(G27+1))+1.96/(3*SQRT(G27+1)))^3)/$E$8))</f>
        <v>829.6499117321805</v>
      </c>
      <c r="K27" s="121">
        <f>IF('Hide - Calculation'!N21="","",'Hide - Calculation'!N21)</f>
        <v>429.55494202960807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831</v>
      </c>
      <c r="AB27" s="231" t="s">
        <v>26</v>
      </c>
      <c r="AC27" s="130" t="s">
        <v>815</v>
      </c>
    </row>
    <row r="28" spans="2:29" s="63" customFormat="1" ht="33.75" customHeight="1">
      <c r="B28" s="327"/>
      <c r="C28" s="136">
        <v>16</v>
      </c>
      <c r="D28" s="146" t="s">
        <v>170</v>
      </c>
      <c r="E28" s="85"/>
      <c r="F28" s="85"/>
      <c r="G28" s="120">
        <f>IF(VLOOKUP('Hide - Control'!A$3,'All practice data'!A:CA,C28+4,FALSE)=" "," ",VLOOKUP('Hide - Control'!A$3,'All practice data'!A:CA,C28+4,FALSE))</f>
        <v>13</v>
      </c>
      <c r="H28" s="121">
        <f>IF(VLOOKUP('Hide - Control'!A$3,'All practice data'!A:CA,C28+30,FALSE)=" "," ",VLOOKUP('Hide - Control'!A$3,'All practice data'!A:CA,C28+30,FALSE))</f>
        <v>415.0702426564496</v>
      </c>
      <c r="I28" s="122">
        <f>IF(LEFT(G28,1)=" "," n/a",IF(G28&lt;5,100000*VLOOKUP(G28,'Hide - Calculation'!AQ:AR,2,FALSE)/$E$8,100000*(G28*(1-1/(9*G28)-1.96/(3*SQRT(G28)))^3)/$E$8))</f>
        <v>220.79041166234126</v>
      </c>
      <c r="J28" s="122">
        <f>IF(LEFT(G28,1)=" "," n/a",IF(G28&lt;5,100000*VLOOKUP(G28,'Hide - Calculation'!AQ:AS,3,FALSE)/$E$8,100000*((G28+1)*(1-1/(9*(G28+1))+1.96/(3*SQRT(G28+1)))^3)/$E$8))</f>
        <v>709.8311121089521</v>
      </c>
      <c r="K28" s="121">
        <f>IF('Hide - Calculation'!N22="","",'Hide - Calculation'!N22)</f>
        <v>413.5442578266863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783</v>
      </c>
      <c r="AB28" s="231" t="s">
        <v>26</v>
      </c>
      <c r="AC28" s="130" t="s">
        <v>815</v>
      </c>
    </row>
    <row r="29" spans="2:29" s="63" customFormat="1" ht="33.75" customHeight="1">
      <c r="B29" s="327"/>
      <c r="C29" s="136">
        <v>17</v>
      </c>
      <c r="D29" s="146" t="s">
        <v>171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92.15906028998863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268</v>
      </c>
      <c r="AB29" s="231" t="s">
        <v>26</v>
      </c>
      <c r="AC29" s="130" t="s">
        <v>815</v>
      </c>
    </row>
    <row r="30" spans="2:29" s="63" customFormat="1" ht="33.75" customHeight="1" thickBot="1">
      <c r="B30" s="328"/>
      <c r="C30" s="179">
        <v>18</v>
      </c>
      <c r="D30" s="180" t="s">
        <v>172</v>
      </c>
      <c r="E30" s="181"/>
      <c r="F30" s="181"/>
      <c r="G30" s="182">
        <f>IF(VLOOKUP('Hide - Control'!A$3,'All practice data'!A:CA,C30+4,FALSE)=" "," ",VLOOKUP('Hide - Control'!A$3,'All practice data'!A:CA,C30+4,FALSE))</f>
        <v>20</v>
      </c>
      <c r="H30" s="183">
        <f>IF(VLOOKUP('Hide - Control'!A$3,'All practice data'!A:CA,C30+30,FALSE)=" "," ",VLOOKUP('Hide - Control'!A$3,'All practice data'!A:CA,C30+30,FALSE))</f>
        <v>638.5696040868455</v>
      </c>
      <c r="I30" s="184">
        <f>IF(LEFT(G30,1)=" "," n/a",IF(G30&lt;5,100000*VLOOKUP(G30,'Hide - Calculation'!AQ:AR,2,FALSE)/$E$8,100000*(G30*(1-1/(9*G30)-1.96/(3*SQRT(G30)))^3)/$E$8))</f>
        <v>389.8886626556688</v>
      </c>
      <c r="J30" s="184">
        <f>IF(LEFT(G30,1)=" "," n/a",IF(G30&lt;5,100000*VLOOKUP(G30,'Hide - Calculation'!AQ:AS,3,FALSE)/$E$8,100000*((G30+1)*(1-1/(9*(G30+1))+1.96/(3*SQRT(G30+1)))^3)/$E$8))</f>
        <v>986.2737495617142</v>
      </c>
      <c r="K30" s="183">
        <f>IF('Hide - Calculation'!N24="","",'Hide - Calculation'!N24)</f>
        <v>339.73890869614456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1,525</v>
      </c>
      <c r="AB30" s="232" t="s">
        <v>26</v>
      </c>
      <c r="AC30" s="188" t="s">
        <v>815</v>
      </c>
    </row>
    <row r="31" spans="2:29" s="63" customFormat="1" ht="33.75" customHeight="1">
      <c r="B31" s="329" t="s">
        <v>117</v>
      </c>
      <c r="C31" s="162">
        <v>19</v>
      </c>
      <c r="D31" s="163" t="s">
        <v>121</v>
      </c>
      <c r="E31" s="164"/>
      <c r="F31" s="164"/>
      <c r="G31" s="165">
        <f>IF(VLOOKUP('Hide - Control'!A$3,'All practice data'!A:CA,C31+4,FALSE)=" "," ",VLOOKUP('Hide - Control'!A$3,'All practice data'!A:CA,C31+4,FALSE))</f>
        <v>39</v>
      </c>
      <c r="H31" s="166">
        <f>IF(VLOOKUP('Hide - Control'!A$3,'All practice data'!A:CA,C31+30,FALSE)=" "," ",VLOOKUP('Hide - Control'!A$3,'All practice data'!A:CA,C31+30,FALSE))</f>
        <v>1245.2107279693487</v>
      </c>
      <c r="I31" s="167">
        <f>IF(LEFT(G31,1)=" "," n/a",IF(G31&lt;5,100000*VLOOKUP(G31,'Hide - Calculation'!AQ:AR,2,FALSE)/$E$8,100000*(G31*(1-1/(9*G31)-1.96/(3*SQRT(G31)))^3)/$E$8))</f>
        <v>885.3542334056715</v>
      </c>
      <c r="J31" s="167">
        <f>IF(LEFT(G31,1)=" "," n/a",IF(G31&lt;5,100000*VLOOKUP(G31,'Hide - Calculation'!AQ:AS,3,FALSE)/$E$8,100000*((G31+1)*(1-1/(9*(G31+1))+1.96/(3*SQRT(G31+1)))^3)/$E$8))</f>
        <v>1702.299432194387</v>
      </c>
      <c r="K31" s="166">
        <f>IF('Hide - Calculation'!N25="","",'Hide - Calculation'!N25)</f>
        <v>888.007216523026</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1,507</v>
      </c>
      <c r="AB31" s="230" t="s">
        <v>47</v>
      </c>
      <c r="AC31" s="174" t="s">
        <v>815</v>
      </c>
    </row>
    <row r="32" spans="2:29" s="63" customFormat="1" ht="33.75" customHeight="1">
      <c r="B32" s="330"/>
      <c r="C32" s="136">
        <v>20</v>
      </c>
      <c r="D32" s="131" t="s">
        <v>122</v>
      </c>
      <c r="E32" s="85"/>
      <c r="F32" s="85"/>
      <c r="G32" s="120">
        <f>IF(VLOOKUP('Hide - Control'!A$3,'All practice data'!A:CA,C32+4,FALSE)=" "," ",VLOOKUP('Hide - Control'!A$3,'All practice data'!A:CA,C32+4,FALSE))</f>
        <v>11</v>
      </c>
      <c r="H32" s="121">
        <f>IF(VLOOKUP('Hide - Control'!A$3,'All practice data'!A:CA,C32+30,FALSE)=" "," ",VLOOKUP('Hide - Control'!A$3,'All practice data'!A:CA,C32+30,FALSE))</f>
        <v>351.213282247765</v>
      </c>
      <c r="I32" s="122">
        <f>IF(LEFT(G32,1)=" "," n/a",IF(G32&lt;5,100000*VLOOKUP(G32,'Hide - Calculation'!AQ:AR,2,FALSE)/$E$8,100000*(G32*(1-1/(9*G32)-1.96/(3*SQRT(G32)))^3)/$E$8))</f>
        <v>175.08349613635968</v>
      </c>
      <c r="J32" s="122">
        <f>IF(LEFT(G32,1)=" "," n/a",IF(G32&lt;5,100000*VLOOKUP(G32,'Hide - Calculation'!AQ:AS,3,FALSE)/$E$8,100000*((G32+1)*(1-1/(9*(G32+1))+1.96/(3*SQRT(G32+1)))^3)/$E$8))</f>
        <v>628.4613869544644</v>
      </c>
      <c r="K32" s="121">
        <f>IF('Hide - Calculation'!N26="","",'Hide - Calculation'!N26)</f>
        <v>441.2700768122337</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966</v>
      </c>
      <c r="AB32" s="231" t="s">
        <v>47</v>
      </c>
      <c r="AC32" s="130" t="s">
        <v>815</v>
      </c>
    </row>
    <row r="33" spans="2:29" s="63" customFormat="1" ht="33.75" customHeight="1">
      <c r="B33" s="330"/>
      <c r="C33" s="136">
        <v>21</v>
      </c>
      <c r="D33" s="131" t="s">
        <v>124</v>
      </c>
      <c r="E33" s="85"/>
      <c r="F33" s="85"/>
      <c r="G33" s="120">
        <f>IF(VLOOKUP('Hide - Control'!A$3,'All practice data'!A:CA,C33+4,FALSE)=" "," ",VLOOKUP('Hide - Control'!A$3,'All practice data'!A:CA,C33+4,FALSE))</f>
        <v>47</v>
      </c>
      <c r="H33" s="121">
        <f>IF(VLOOKUP('Hide - Control'!A$3,'All practice data'!A:CA,C33+30,FALSE)=" "," ",VLOOKUP('Hide - Control'!A$3,'All practice data'!A:CA,C33+30,FALSE))</f>
        <v>1500.6385696040868</v>
      </c>
      <c r="I33" s="122">
        <f>IF(LEFT(G33,1)=" "," n/a",IF(G33&lt;5,100000*VLOOKUP(G33,'Hide - Calculation'!AQ:AR,2,FALSE)/$E$8,100000*(G33*(1-1/(9*G33)-1.96/(3*SQRT(G33)))^3)/$E$8))</f>
        <v>1102.511389213426</v>
      </c>
      <c r="J33" s="122">
        <f>IF(LEFT(G33,1)=" "," n/a",IF(G33&lt;5,100000*VLOOKUP(G33,'Hide - Calculation'!AQ:AS,3,FALSE)/$E$8,100000*((G33+1)*(1-1/(9*(G33+1))+1.96/(3*SQRT(G33+1)))^3)/$E$8))</f>
        <v>1995.5856494293598</v>
      </c>
      <c r="K33" s="121">
        <f>IF('Hide - Calculation'!N27="","",'Hide - Calculation'!N27)</f>
        <v>1167.9989378277796</v>
      </c>
      <c r="L33" s="155">
        <f>'Hide - Calculation'!O27</f>
        <v>1003.4847591501348</v>
      </c>
      <c r="M33" s="147" t="str">
        <f>IF(ISBLANK('Hide - Calculation'!K27),"",FIXED('Hide - Calculation'!U27,0))</f>
        <v>423</v>
      </c>
      <c r="N33" s="86"/>
      <c r="O33" s="87"/>
      <c r="P33" s="87"/>
      <c r="Q33" s="87"/>
      <c r="R33" s="84"/>
      <c r="S33" s="84"/>
      <c r="T33" s="84"/>
      <c r="U33" s="84"/>
      <c r="V33" s="84"/>
      <c r="W33" s="84"/>
      <c r="X33" s="84"/>
      <c r="Y33" s="84"/>
      <c r="Z33" s="88"/>
      <c r="AA33" s="147" t="str">
        <f>IF(ISBLANK('Hide - Calculation'!K27),"",FIXED('Hide - Calculation'!T27,0))</f>
        <v>1,840</v>
      </c>
      <c r="AB33" s="231" t="s">
        <v>47</v>
      </c>
      <c r="AC33" s="130" t="s">
        <v>815</v>
      </c>
    </row>
    <row r="34" spans="2:29" s="63" customFormat="1" ht="33.75" customHeight="1">
      <c r="B34" s="330"/>
      <c r="C34" s="136">
        <v>22</v>
      </c>
      <c r="D34" s="131" t="s">
        <v>123</v>
      </c>
      <c r="E34" s="85"/>
      <c r="F34" s="85"/>
      <c r="G34" s="117">
        <f>IF(VLOOKUP('Hide - Control'!A$3,'All practice data'!A:CA,C34+4,FALSE)=" "," ",VLOOKUP('Hide - Control'!A$3,'All practice data'!A:CA,C34+4,FALSE))</f>
        <v>39</v>
      </c>
      <c r="H34" s="121">
        <f>IF(VLOOKUP('Hide - Control'!A$3,'All practice data'!A:CA,C34+30,FALSE)=" "," ",VLOOKUP('Hide - Control'!A$3,'All practice data'!A:CA,C34+30,FALSE))</f>
        <v>1245.2107279693487</v>
      </c>
      <c r="I34" s="122">
        <f>IF(LEFT(G34,1)=" "," n/a",IF(G34&lt;5,100000*VLOOKUP(G34,'Hide - Calculation'!AQ:AR,2,FALSE)/$E$8,100000*(G34*(1-1/(9*G34)-1.96/(3*SQRT(G34)))^3)/$E$8))</f>
        <v>885.3542334056715</v>
      </c>
      <c r="J34" s="122">
        <f>IF(LEFT(G34,1)=" "," n/a",IF(G34&lt;5,100000*VLOOKUP(G34,'Hide - Calculation'!AQ:AS,3,FALSE)/$E$8,100000*((G34+1)*(1-1/(9*(G34+1))+1.96/(3*SQRT(G34+1)))^3)/$E$8))</f>
        <v>1702.299432194387</v>
      </c>
      <c r="K34" s="121">
        <f>IF('Hide - Calculation'!N28="","",'Hide - Calculation'!N28)</f>
        <v>659.9525927545797</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1,481</v>
      </c>
      <c r="AB34" s="231" t="s">
        <v>47</v>
      </c>
      <c r="AC34" s="130" t="s">
        <v>819</v>
      </c>
    </row>
    <row r="35" spans="2:29" s="63" customFormat="1" ht="33.75" customHeight="1">
      <c r="B35" s="330"/>
      <c r="C35" s="136">
        <v>23</v>
      </c>
      <c r="D35" s="137" t="s">
        <v>173</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0.2569331158238173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50.0%</v>
      </c>
      <c r="AB35" s="231" t="s">
        <v>110</v>
      </c>
      <c r="AC35" s="130" t="s">
        <v>820</v>
      </c>
    </row>
    <row r="36" spans="2:29" ht="33.75" customHeight="1">
      <c r="B36" s="327"/>
      <c r="C36" s="136">
        <v>24</v>
      </c>
      <c r="D36" s="222" t="s">
        <v>174</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0.5228384991843393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110</v>
      </c>
      <c r="AC36" s="130" t="s">
        <v>820</v>
      </c>
    </row>
    <row r="37" spans="2:29" ht="33.75" customHeight="1" thickBot="1">
      <c r="B37" s="331"/>
      <c r="C37" s="175">
        <v>25</v>
      </c>
      <c r="D37" s="176" t="s">
        <v>125</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0.22022838499184338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42.2%</v>
      </c>
      <c r="AB37" s="233" t="s">
        <v>110</v>
      </c>
      <c r="AC37" s="148" t="s">
        <v>820</v>
      </c>
    </row>
    <row r="38" spans="2:29" ht="23.25" customHeight="1">
      <c r="B38" s="69"/>
      <c r="C38" s="69"/>
      <c r="D38" s="65" t="s">
        <v>108</v>
      </c>
      <c r="E38" s="303" t="s">
        <v>824</v>
      </c>
      <c r="F38" s="303"/>
      <c r="G38" s="303"/>
      <c r="H38" s="303"/>
      <c r="I38" s="110"/>
      <c r="J38" s="299" t="s">
        <v>830</v>
      </c>
      <c r="K38" s="92"/>
      <c r="L38" s="110"/>
      <c r="M38" s="65"/>
      <c r="N38" s="65"/>
      <c r="O38" s="65"/>
      <c r="P38" s="65"/>
      <c r="Q38" s="65"/>
      <c r="R38" s="66"/>
      <c r="S38" s="66"/>
      <c r="T38" s="66"/>
      <c r="U38" s="66"/>
      <c r="V38" s="66"/>
      <c r="W38" s="66"/>
      <c r="X38" s="66"/>
      <c r="Y38" s="66"/>
      <c r="Z38" s="66"/>
      <c r="AA38" s="66"/>
      <c r="AB38" s="82"/>
      <c r="AC38" s="83"/>
    </row>
    <row r="39" spans="2:29" ht="23.25" customHeight="1">
      <c r="B39" s="242" t="s">
        <v>822</v>
      </c>
      <c r="C39" s="241"/>
      <c r="D39" s="241"/>
      <c r="E39" s="304"/>
      <c r="F39" s="304"/>
      <c r="G39" s="304"/>
      <c r="H39" s="304"/>
      <c r="I39" s="241"/>
      <c r="J39" s="299" t="s">
        <v>821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191</v>
      </c>
      <c r="BE2" s="342"/>
      <c r="BF2" s="342"/>
      <c r="BG2" s="342"/>
      <c r="BH2" s="342"/>
      <c r="BI2" s="342"/>
      <c r="BJ2" s="343"/>
    </row>
    <row r="3" spans="1:82" s="72" customFormat="1" ht="76.5" customHeight="1">
      <c r="A3" s="263" t="s">
        <v>51</v>
      </c>
      <c r="B3" s="272" t="s">
        <v>52</v>
      </c>
      <c r="C3" s="273" t="s">
        <v>49</v>
      </c>
      <c r="D3" s="271" t="s">
        <v>828</v>
      </c>
      <c r="E3" s="264" t="s">
        <v>131</v>
      </c>
      <c r="F3" s="264" t="s">
        <v>829</v>
      </c>
      <c r="G3" s="264" t="s">
        <v>133</v>
      </c>
      <c r="H3" s="264" t="s">
        <v>134</v>
      </c>
      <c r="I3" s="264" t="s">
        <v>135</v>
      </c>
      <c r="J3" s="264" t="s">
        <v>198</v>
      </c>
      <c r="K3" s="264" t="s">
        <v>199</v>
      </c>
      <c r="L3" s="264" t="s">
        <v>200</v>
      </c>
      <c r="M3" s="264" t="s">
        <v>136</v>
      </c>
      <c r="N3" s="264" t="s">
        <v>137</v>
      </c>
      <c r="O3" s="264" t="s">
        <v>138</v>
      </c>
      <c r="P3" s="264" t="s">
        <v>190</v>
      </c>
      <c r="Q3" s="264" t="s">
        <v>139</v>
      </c>
      <c r="R3" s="264" t="s">
        <v>140</v>
      </c>
      <c r="S3" s="264" t="s">
        <v>141</v>
      </c>
      <c r="T3" s="264" t="s">
        <v>142</v>
      </c>
      <c r="U3" s="264" t="s">
        <v>143</v>
      </c>
      <c r="V3" s="264" t="s">
        <v>144</v>
      </c>
      <c r="W3" s="264" t="s">
        <v>145</v>
      </c>
      <c r="X3" s="264" t="s">
        <v>146</v>
      </c>
      <c r="Y3" s="264" t="s">
        <v>147</v>
      </c>
      <c r="Z3" s="264" t="s">
        <v>148</v>
      </c>
      <c r="AA3" s="264" t="s">
        <v>149</v>
      </c>
      <c r="AB3" s="264" t="s">
        <v>150</v>
      </c>
      <c r="AC3" s="264" t="s">
        <v>151</v>
      </c>
      <c r="AD3" s="265" t="s">
        <v>152</v>
      </c>
      <c r="AE3" s="265" t="s">
        <v>131</v>
      </c>
      <c r="AF3" s="266" t="s">
        <v>132</v>
      </c>
      <c r="AG3" s="265" t="s">
        <v>133</v>
      </c>
      <c r="AH3" s="265" t="s">
        <v>134</v>
      </c>
      <c r="AI3" s="265" t="s">
        <v>135</v>
      </c>
      <c r="AJ3" s="265" t="s">
        <v>198</v>
      </c>
      <c r="AK3" s="265" t="s">
        <v>199</v>
      </c>
      <c r="AL3" s="265" t="s">
        <v>200</v>
      </c>
      <c r="AM3" s="265" t="s">
        <v>136</v>
      </c>
      <c r="AN3" s="265" t="s">
        <v>137</v>
      </c>
      <c r="AO3" s="265" t="s">
        <v>138</v>
      </c>
      <c r="AP3" s="265" t="s">
        <v>190</v>
      </c>
      <c r="AQ3" s="265" t="s">
        <v>139</v>
      </c>
      <c r="AR3" s="265" t="s">
        <v>140</v>
      </c>
      <c r="AS3" s="265" t="s">
        <v>141</v>
      </c>
      <c r="AT3" s="265" t="s">
        <v>142</v>
      </c>
      <c r="AU3" s="265" t="s">
        <v>143</v>
      </c>
      <c r="AV3" s="265" t="s">
        <v>144</v>
      </c>
      <c r="AW3" s="265" t="s">
        <v>145</v>
      </c>
      <c r="AX3" s="265" t="s">
        <v>146</v>
      </c>
      <c r="AY3" s="267" t="s">
        <v>147</v>
      </c>
      <c r="AZ3" s="268" t="s">
        <v>148</v>
      </c>
      <c r="BA3" s="268" t="s">
        <v>149</v>
      </c>
      <c r="BB3" s="268" t="s">
        <v>150</v>
      </c>
      <c r="BC3" s="269" t="s">
        <v>151</v>
      </c>
      <c r="BD3" s="270" t="s">
        <v>188</v>
      </c>
      <c r="BE3" s="270" t="s">
        <v>189</v>
      </c>
      <c r="BF3" s="270" t="s">
        <v>194</v>
      </c>
      <c r="BG3" s="270" t="s">
        <v>195</v>
      </c>
      <c r="BH3" s="270" t="s">
        <v>193</v>
      </c>
      <c r="BI3" s="270" t="s">
        <v>196</v>
      </c>
      <c r="BJ3" s="270" t="s">
        <v>197</v>
      </c>
      <c r="BK3" s="73"/>
      <c r="BL3" s="73"/>
      <c r="BM3" s="73"/>
      <c r="BN3" s="73"/>
      <c r="BO3" s="73"/>
      <c r="BP3" s="73"/>
      <c r="BQ3" s="73"/>
      <c r="BR3" s="73"/>
      <c r="BS3" s="73"/>
      <c r="BT3" s="73"/>
      <c r="BU3" s="73"/>
      <c r="BV3" s="73"/>
      <c r="BW3" s="73"/>
      <c r="BX3" s="73"/>
      <c r="BY3" s="73"/>
      <c r="BZ3" s="73"/>
      <c r="CA3" s="73"/>
      <c r="CB3" s="73"/>
      <c r="CC3" s="73"/>
      <c r="CD3" s="73"/>
    </row>
    <row r="4" spans="1:66" ht="12.75">
      <c r="A4" s="79" t="s">
        <v>220</v>
      </c>
      <c r="B4" s="79" t="s">
        <v>77</v>
      </c>
      <c r="C4" s="79" t="s">
        <v>335</v>
      </c>
      <c r="D4" s="99">
        <v>3132</v>
      </c>
      <c r="E4" s="99">
        <v>422</v>
      </c>
      <c r="F4" s="99" t="s">
        <v>130</v>
      </c>
      <c r="G4" s="99">
        <v>17</v>
      </c>
      <c r="H4" s="99">
        <v>7</v>
      </c>
      <c r="I4" s="99">
        <v>38</v>
      </c>
      <c r="J4" s="99">
        <v>255</v>
      </c>
      <c r="K4" s="99">
        <v>41</v>
      </c>
      <c r="L4" s="99">
        <v>580</v>
      </c>
      <c r="M4" s="99">
        <v>139</v>
      </c>
      <c r="N4" s="99">
        <v>72</v>
      </c>
      <c r="O4" s="99">
        <v>85</v>
      </c>
      <c r="P4" s="158">
        <v>85</v>
      </c>
      <c r="Q4" s="99" t="s">
        <v>825</v>
      </c>
      <c r="R4" s="99">
        <v>14</v>
      </c>
      <c r="S4" s="99">
        <v>16</v>
      </c>
      <c r="T4" s="99">
        <v>13</v>
      </c>
      <c r="U4" s="99" t="s">
        <v>825</v>
      </c>
      <c r="V4" s="99">
        <v>20</v>
      </c>
      <c r="W4" s="99">
        <v>39</v>
      </c>
      <c r="X4" s="99">
        <v>11</v>
      </c>
      <c r="Y4" s="99">
        <v>47</v>
      </c>
      <c r="Z4" s="99">
        <v>39</v>
      </c>
      <c r="AA4" s="99" t="s">
        <v>825</v>
      </c>
      <c r="AB4" s="99" t="s">
        <v>825</v>
      </c>
      <c r="AC4" s="99" t="s">
        <v>825</v>
      </c>
      <c r="AD4" s="98" t="s">
        <v>108</v>
      </c>
      <c r="AE4" s="100">
        <v>0.13473818646232438</v>
      </c>
      <c r="AF4" s="100">
        <v>0.06</v>
      </c>
      <c r="AG4" s="98">
        <v>542.7841634738187</v>
      </c>
      <c r="AH4" s="98">
        <v>223.4993614303959</v>
      </c>
      <c r="AI4" s="100">
        <v>0.0121</v>
      </c>
      <c r="AJ4" s="100">
        <v>0.653846</v>
      </c>
      <c r="AK4" s="100">
        <v>0.650794</v>
      </c>
      <c r="AL4" s="100">
        <v>0.716934</v>
      </c>
      <c r="AM4" s="100">
        <v>0.526515</v>
      </c>
      <c r="AN4" s="100">
        <v>0.521739</v>
      </c>
      <c r="AO4" s="98">
        <v>2713.920817369093</v>
      </c>
      <c r="AP4" s="157">
        <v>1.3983</v>
      </c>
      <c r="AQ4" s="100" t="s">
        <v>825</v>
      </c>
      <c r="AR4" s="100" t="s">
        <v>825</v>
      </c>
      <c r="AS4" s="98">
        <v>510.8556832694764</v>
      </c>
      <c r="AT4" s="98">
        <v>415.0702426564496</v>
      </c>
      <c r="AU4" s="98" t="s">
        <v>825</v>
      </c>
      <c r="AV4" s="98">
        <v>638.5696040868455</v>
      </c>
      <c r="AW4" s="98">
        <v>1245.2107279693487</v>
      </c>
      <c r="AX4" s="98">
        <v>351.213282247765</v>
      </c>
      <c r="AY4" s="98">
        <v>1500.6385696040868</v>
      </c>
      <c r="AZ4" s="98">
        <v>1245.2107279693487</v>
      </c>
      <c r="BA4" s="100" t="s">
        <v>825</v>
      </c>
      <c r="BB4" s="100" t="s">
        <v>825</v>
      </c>
      <c r="BC4" s="100" t="s">
        <v>825</v>
      </c>
      <c r="BD4" s="157">
        <v>1.1169</v>
      </c>
      <c r="BE4" s="157">
        <v>1.729</v>
      </c>
      <c r="BF4" s="161">
        <v>390</v>
      </c>
      <c r="BG4" s="161">
        <v>63</v>
      </c>
      <c r="BH4" s="161">
        <v>809</v>
      </c>
      <c r="BI4" s="161">
        <v>264</v>
      </c>
      <c r="BJ4" s="161">
        <v>138</v>
      </c>
      <c r="BK4" s="97"/>
      <c r="BL4" s="97"/>
      <c r="BM4" s="97"/>
      <c r="BN4" s="97"/>
    </row>
    <row r="5" spans="1:66" ht="12.75">
      <c r="A5" s="79" t="s">
        <v>235</v>
      </c>
      <c r="B5" s="79" t="s">
        <v>95</v>
      </c>
      <c r="C5" s="79" t="s">
        <v>335</v>
      </c>
      <c r="D5" s="99">
        <v>4878</v>
      </c>
      <c r="E5" s="99">
        <v>848</v>
      </c>
      <c r="F5" s="99" t="s">
        <v>129</v>
      </c>
      <c r="G5" s="99">
        <v>34</v>
      </c>
      <c r="H5" s="99">
        <v>6</v>
      </c>
      <c r="I5" s="99">
        <v>132</v>
      </c>
      <c r="J5" s="99">
        <v>503</v>
      </c>
      <c r="K5" s="99">
        <v>8</v>
      </c>
      <c r="L5" s="99">
        <v>853</v>
      </c>
      <c r="M5" s="99">
        <v>338</v>
      </c>
      <c r="N5" s="99">
        <v>161</v>
      </c>
      <c r="O5" s="99">
        <v>54</v>
      </c>
      <c r="P5" s="158">
        <v>54</v>
      </c>
      <c r="Q5" s="99">
        <v>11</v>
      </c>
      <c r="R5" s="99">
        <v>30</v>
      </c>
      <c r="S5" s="99">
        <v>16</v>
      </c>
      <c r="T5" s="99" t="s">
        <v>825</v>
      </c>
      <c r="U5" s="99" t="s">
        <v>825</v>
      </c>
      <c r="V5" s="99">
        <v>6</v>
      </c>
      <c r="W5" s="99">
        <v>42</v>
      </c>
      <c r="X5" s="99">
        <v>22</v>
      </c>
      <c r="Y5" s="99">
        <v>46</v>
      </c>
      <c r="Z5" s="99">
        <v>32</v>
      </c>
      <c r="AA5" s="99" t="s">
        <v>825</v>
      </c>
      <c r="AB5" s="99">
        <v>10</v>
      </c>
      <c r="AC5" s="99" t="s">
        <v>825</v>
      </c>
      <c r="AD5" s="98" t="s">
        <v>108</v>
      </c>
      <c r="AE5" s="100">
        <v>0.17384173841738418</v>
      </c>
      <c r="AF5" s="100">
        <v>0.12</v>
      </c>
      <c r="AG5" s="98">
        <v>697.0069700697007</v>
      </c>
      <c r="AH5" s="98">
        <v>123.00123001230013</v>
      </c>
      <c r="AI5" s="100">
        <v>0.0271</v>
      </c>
      <c r="AJ5" s="100">
        <v>0.741888</v>
      </c>
      <c r="AK5" s="100">
        <v>0.727273</v>
      </c>
      <c r="AL5" s="100">
        <v>0.72534</v>
      </c>
      <c r="AM5" s="100">
        <v>0.546926</v>
      </c>
      <c r="AN5" s="100">
        <v>0.517685</v>
      </c>
      <c r="AO5" s="98">
        <v>1107.0110701107012</v>
      </c>
      <c r="AP5" s="157">
        <v>0.5295000000000001</v>
      </c>
      <c r="AQ5" s="100">
        <v>0.2037037037037037</v>
      </c>
      <c r="AR5" s="100">
        <v>0.36666666666666664</v>
      </c>
      <c r="AS5" s="98">
        <v>328.0032800328003</v>
      </c>
      <c r="AT5" s="98" t="s">
        <v>825</v>
      </c>
      <c r="AU5" s="98" t="s">
        <v>825</v>
      </c>
      <c r="AV5" s="98">
        <v>123.00123001230013</v>
      </c>
      <c r="AW5" s="98">
        <v>861.0086100861008</v>
      </c>
      <c r="AX5" s="98">
        <v>451.00451004510046</v>
      </c>
      <c r="AY5" s="98">
        <v>943.0094300943009</v>
      </c>
      <c r="AZ5" s="98">
        <v>656.0065600656006</v>
      </c>
      <c r="BA5" s="100" t="s">
        <v>825</v>
      </c>
      <c r="BB5" s="100">
        <v>0.5882352941176471</v>
      </c>
      <c r="BC5" s="100" t="s">
        <v>825</v>
      </c>
      <c r="BD5" s="157">
        <v>0.39770000000000005</v>
      </c>
      <c r="BE5" s="157">
        <v>0.6908</v>
      </c>
      <c r="BF5" s="161">
        <v>678</v>
      </c>
      <c r="BG5" s="161">
        <v>11</v>
      </c>
      <c r="BH5" s="161">
        <v>1176</v>
      </c>
      <c r="BI5" s="161">
        <v>618</v>
      </c>
      <c r="BJ5" s="161">
        <v>311</v>
      </c>
      <c r="BK5" s="97"/>
      <c r="BL5" s="97"/>
      <c r="BM5" s="97"/>
      <c r="BN5" s="97"/>
    </row>
    <row r="6" spans="1:66" ht="12.75">
      <c r="A6" s="79" t="s">
        <v>236</v>
      </c>
      <c r="B6" s="79" t="s">
        <v>96</v>
      </c>
      <c r="C6" s="79" t="s">
        <v>335</v>
      </c>
      <c r="D6" s="99">
        <v>3093</v>
      </c>
      <c r="E6" s="99">
        <v>377</v>
      </c>
      <c r="F6" s="99" t="s">
        <v>128</v>
      </c>
      <c r="G6" s="99">
        <v>9</v>
      </c>
      <c r="H6" s="99" t="s">
        <v>825</v>
      </c>
      <c r="I6" s="99">
        <v>64</v>
      </c>
      <c r="J6" s="99">
        <v>260</v>
      </c>
      <c r="K6" s="99">
        <v>43</v>
      </c>
      <c r="L6" s="99">
        <v>590</v>
      </c>
      <c r="M6" s="99">
        <v>155</v>
      </c>
      <c r="N6" s="99">
        <v>69</v>
      </c>
      <c r="O6" s="99">
        <v>53</v>
      </c>
      <c r="P6" s="158">
        <v>53</v>
      </c>
      <c r="Q6" s="99">
        <v>7</v>
      </c>
      <c r="R6" s="99">
        <v>14</v>
      </c>
      <c r="S6" s="99">
        <v>20</v>
      </c>
      <c r="T6" s="99" t="s">
        <v>825</v>
      </c>
      <c r="U6" s="99" t="s">
        <v>825</v>
      </c>
      <c r="V6" s="99" t="s">
        <v>825</v>
      </c>
      <c r="W6" s="99">
        <v>14</v>
      </c>
      <c r="X6" s="99">
        <v>8</v>
      </c>
      <c r="Y6" s="99">
        <v>32</v>
      </c>
      <c r="Z6" s="99">
        <v>12</v>
      </c>
      <c r="AA6" s="99" t="s">
        <v>825</v>
      </c>
      <c r="AB6" s="99" t="s">
        <v>825</v>
      </c>
      <c r="AC6" s="99" t="s">
        <v>825</v>
      </c>
      <c r="AD6" s="98" t="s">
        <v>108</v>
      </c>
      <c r="AE6" s="100">
        <v>0.12188813449725186</v>
      </c>
      <c r="AF6" s="100">
        <v>0.09</v>
      </c>
      <c r="AG6" s="98">
        <v>290.9796314258002</v>
      </c>
      <c r="AH6" s="98" t="s">
        <v>825</v>
      </c>
      <c r="AI6" s="100">
        <v>0.0207</v>
      </c>
      <c r="AJ6" s="100">
        <v>0.776119</v>
      </c>
      <c r="AK6" s="100">
        <v>0.716667</v>
      </c>
      <c r="AL6" s="100">
        <v>0.76524</v>
      </c>
      <c r="AM6" s="100">
        <v>0.561594</v>
      </c>
      <c r="AN6" s="100">
        <v>0.543307</v>
      </c>
      <c r="AO6" s="98">
        <v>1713.546718396379</v>
      </c>
      <c r="AP6" s="157">
        <v>0.9484</v>
      </c>
      <c r="AQ6" s="100">
        <v>0.1320754716981132</v>
      </c>
      <c r="AR6" s="100">
        <v>0.5</v>
      </c>
      <c r="AS6" s="98">
        <v>646.6214031684449</v>
      </c>
      <c r="AT6" s="98" t="s">
        <v>825</v>
      </c>
      <c r="AU6" s="98" t="s">
        <v>825</v>
      </c>
      <c r="AV6" s="98" t="s">
        <v>825</v>
      </c>
      <c r="AW6" s="98">
        <v>452.6349822179114</v>
      </c>
      <c r="AX6" s="98">
        <v>258.64856126737794</v>
      </c>
      <c r="AY6" s="98">
        <v>1034.5942450695118</v>
      </c>
      <c r="AZ6" s="98">
        <v>387.97284190106694</v>
      </c>
      <c r="BA6" s="100" t="s">
        <v>825</v>
      </c>
      <c r="BB6" s="100" t="s">
        <v>825</v>
      </c>
      <c r="BC6" s="100" t="s">
        <v>825</v>
      </c>
      <c r="BD6" s="157">
        <v>0.7104</v>
      </c>
      <c r="BE6" s="157">
        <v>1.2405</v>
      </c>
      <c r="BF6" s="161">
        <v>335</v>
      </c>
      <c r="BG6" s="161">
        <v>60</v>
      </c>
      <c r="BH6" s="161">
        <v>771</v>
      </c>
      <c r="BI6" s="161">
        <v>276</v>
      </c>
      <c r="BJ6" s="161">
        <v>127</v>
      </c>
      <c r="BK6" s="97"/>
      <c r="BL6" s="97"/>
      <c r="BM6" s="97"/>
      <c r="BN6" s="97"/>
    </row>
    <row r="7" spans="1:66" ht="12.75">
      <c r="A7" s="79" t="s">
        <v>237</v>
      </c>
      <c r="B7" s="79" t="s">
        <v>97</v>
      </c>
      <c r="C7" s="79" t="s">
        <v>335</v>
      </c>
      <c r="D7" s="99">
        <v>1924</v>
      </c>
      <c r="E7" s="99">
        <v>474</v>
      </c>
      <c r="F7" s="99" t="s">
        <v>130</v>
      </c>
      <c r="G7" s="99">
        <v>16</v>
      </c>
      <c r="H7" s="99">
        <v>8</v>
      </c>
      <c r="I7" s="99">
        <v>50</v>
      </c>
      <c r="J7" s="99">
        <v>182</v>
      </c>
      <c r="K7" s="99">
        <v>16</v>
      </c>
      <c r="L7" s="99">
        <v>380</v>
      </c>
      <c r="M7" s="99">
        <v>149</v>
      </c>
      <c r="N7" s="99">
        <v>76</v>
      </c>
      <c r="O7" s="99">
        <v>53</v>
      </c>
      <c r="P7" s="158">
        <v>53</v>
      </c>
      <c r="Q7" s="99">
        <v>9</v>
      </c>
      <c r="R7" s="99">
        <v>12</v>
      </c>
      <c r="S7" s="99">
        <v>7</v>
      </c>
      <c r="T7" s="99">
        <v>13</v>
      </c>
      <c r="U7" s="99" t="s">
        <v>825</v>
      </c>
      <c r="V7" s="99">
        <v>17</v>
      </c>
      <c r="W7" s="99">
        <v>21</v>
      </c>
      <c r="X7" s="99">
        <v>7</v>
      </c>
      <c r="Y7" s="99">
        <v>24</v>
      </c>
      <c r="Z7" s="99">
        <v>10</v>
      </c>
      <c r="AA7" s="99" t="s">
        <v>825</v>
      </c>
      <c r="AB7" s="99" t="s">
        <v>825</v>
      </c>
      <c r="AC7" s="99" t="s">
        <v>825</v>
      </c>
      <c r="AD7" s="98" t="s">
        <v>108</v>
      </c>
      <c r="AE7" s="100">
        <v>0.24636174636174638</v>
      </c>
      <c r="AF7" s="100">
        <v>0.06</v>
      </c>
      <c r="AG7" s="98">
        <v>831.6008316008316</v>
      </c>
      <c r="AH7" s="98">
        <v>415.8004158004158</v>
      </c>
      <c r="AI7" s="100">
        <v>0.026000000000000002</v>
      </c>
      <c r="AJ7" s="100">
        <v>0.748971</v>
      </c>
      <c r="AK7" s="100">
        <v>0.615385</v>
      </c>
      <c r="AL7" s="100">
        <v>0.818966</v>
      </c>
      <c r="AM7" s="100">
        <v>0.603239</v>
      </c>
      <c r="AN7" s="100">
        <v>0.622951</v>
      </c>
      <c r="AO7" s="98">
        <v>2754.677754677755</v>
      </c>
      <c r="AP7" s="157">
        <v>1.1406</v>
      </c>
      <c r="AQ7" s="100">
        <v>0.16981132075471697</v>
      </c>
      <c r="AR7" s="100">
        <v>0.75</v>
      </c>
      <c r="AS7" s="98">
        <v>363.8253638253638</v>
      </c>
      <c r="AT7" s="98">
        <v>675.6756756756756</v>
      </c>
      <c r="AU7" s="98" t="s">
        <v>825</v>
      </c>
      <c r="AV7" s="98">
        <v>883.5758835758836</v>
      </c>
      <c r="AW7" s="98">
        <v>1091.4760914760914</v>
      </c>
      <c r="AX7" s="98">
        <v>363.8253638253638</v>
      </c>
      <c r="AY7" s="98">
        <v>1247.4012474012475</v>
      </c>
      <c r="AZ7" s="98">
        <v>519.7505197505197</v>
      </c>
      <c r="BA7" s="100" t="s">
        <v>825</v>
      </c>
      <c r="BB7" s="100" t="s">
        <v>825</v>
      </c>
      <c r="BC7" s="100" t="s">
        <v>825</v>
      </c>
      <c r="BD7" s="157">
        <v>0.8543999999999999</v>
      </c>
      <c r="BE7" s="157">
        <v>1.492</v>
      </c>
      <c r="BF7" s="161">
        <v>243</v>
      </c>
      <c r="BG7" s="161">
        <v>26</v>
      </c>
      <c r="BH7" s="161">
        <v>464</v>
      </c>
      <c r="BI7" s="161">
        <v>247</v>
      </c>
      <c r="BJ7" s="161">
        <v>122</v>
      </c>
      <c r="BK7" s="97"/>
      <c r="BL7" s="97"/>
      <c r="BM7" s="97"/>
      <c r="BN7" s="97"/>
    </row>
    <row r="8" spans="1:66" ht="12.75">
      <c r="A8" s="79" t="s">
        <v>232</v>
      </c>
      <c r="B8" s="79" t="s">
        <v>92</v>
      </c>
      <c r="C8" s="79" t="s">
        <v>335</v>
      </c>
      <c r="D8" s="99">
        <v>1671</v>
      </c>
      <c r="E8" s="99">
        <v>336</v>
      </c>
      <c r="F8" s="99" t="s">
        <v>130</v>
      </c>
      <c r="G8" s="99">
        <v>14</v>
      </c>
      <c r="H8" s="99">
        <v>8</v>
      </c>
      <c r="I8" s="99">
        <v>53</v>
      </c>
      <c r="J8" s="99">
        <v>196</v>
      </c>
      <c r="K8" s="99">
        <v>19</v>
      </c>
      <c r="L8" s="99">
        <v>307</v>
      </c>
      <c r="M8" s="99">
        <v>128</v>
      </c>
      <c r="N8" s="99">
        <v>69</v>
      </c>
      <c r="O8" s="99">
        <v>38</v>
      </c>
      <c r="P8" s="158">
        <v>38</v>
      </c>
      <c r="Q8" s="99">
        <v>6</v>
      </c>
      <c r="R8" s="99">
        <v>14</v>
      </c>
      <c r="S8" s="99" t="s">
        <v>825</v>
      </c>
      <c r="T8" s="99">
        <v>10</v>
      </c>
      <c r="U8" s="99" t="s">
        <v>825</v>
      </c>
      <c r="V8" s="99" t="s">
        <v>825</v>
      </c>
      <c r="W8" s="99">
        <v>17</v>
      </c>
      <c r="X8" s="99">
        <v>9</v>
      </c>
      <c r="Y8" s="99">
        <v>16</v>
      </c>
      <c r="Z8" s="99">
        <v>16</v>
      </c>
      <c r="AA8" s="99" t="s">
        <v>825</v>
      </c>
      <c r="AB8" s="99" t="s">
        <v>825</v>
      </c>
      <c r="AC8" s="99" t="s">
        <v>825</v>
      </c>
      <c r="AD8" s="98" t="s">
        <v>108</v>
      </c>
      <c r="AE8" s="100">
        <v>0.20107719928186715</v>
      </c>
      <c r="AF8" s="100">
        <v>0.05</v>
      </c>
      <c r="AG8" s="98">
        <v>837.8216636744464</v>
      </c>
      <c r="AH8" s="98">
        <v>478.75523638539795</v>
      </c>
      <c r="AI8" s="100">
        <v>0.0317</v>
      </c>
      <c r="AJ8" s="100">
        <v>0.756757</v>
      </c>
      <c r="AK8" s="100">
        <v>0.655172</v>
      </c>
      <c r="AL8" s="100">
        <v>0.7543</v>
      </c>
      <c r="AM8" s="100">
        <v>0.581818</v>
      </c>
      <c r="AN8" s="100">
        <v>0.589744</v>
      </c>
      <c r="AO8" s="98">
        <v>2274.0873728306406</v>
      </c>
      <c r="AP8" s="157">
        <v>0.9886</v>
      </c>
      <c r="AQ8" s="100">
        <v>0.15789473684210525</v>
      </c>
      <c r="AR8" s="100">
        <v>0.42857142857142855</v>
      </c>
      <c r="AS8" s="98" t="s">
        <v>825</v>
      </c>
      <c r="AT8" s="98">
        <v>598.4440454817475</v>
      </c>
      <c r="AU8" s="98" t="s">
        <v>825</v>
      </c>
      <c r="AV8" s="98" t="s">
        <v>825</v>
      </c>
      <c r="AW8" s="98">
        <v>1017.3548773189707</v>
      </c>
      <c r="AX8" s="98">
        <v>538.5996409335727</v>
      </c>
      <c r="AY8" s="98">
        <v>957.5104727707959</v>
      </c>
      <c r="AZ8" s="98">
        <v>957.5104727707959</v>
      </c>
      <c r="BA8" s="100" t="s">
        <v>825</v>
      </c>
      <c r="BB8" s="100" t="s">
        <v>825</v>
      </c>
      <c r="BC8" s="100" t="s">
        <v>825</v>
      </c>
      <c r="BD8" s="157">
        <v>0.6995999999999999</v>
      </c>
      <c r="BE8" s="157">
        <v>1.3569</v>
      </c>
      <c r="BF8" s="161">
        <v>259</v>
      </c>
      <c r="BG8" s="161">
        <v>29</v>
      </c>
      <c r="BH8" s="161">
        <v>407</v>
      </c>
      <c r="BI8" s="161">
        <v>220</v>
      </c>
      <c r="BJ8" s="161">
        <v>117</v>
      </c>
      <c r="BK8" s="97"/>
      <c r="BL8" s="97"/>
      <c r="BM8" s="97"/>
      <c r="BN8" s="97"/>
    </row>
    <row r="9" spans="1:66" ht="12.75">
      <c r="A9" s="79" t="s">
        <v>218</v>
      </c>
      <c r="B9" s="79" t="s">
        <v>75</v>
      </c>
      <c r="C9" s="79" t="s">
        <v>335</v>
      </c>
      <c r="D9" s="99">
        <v>3147</v>
      </c>
      <c r="E9" s="99">
        <v>735</v>
      </c>
      <c r="F9" s="99" t="s">
        <v>129</v>
      </c>
      <c r="G9" s="99">
        <v>20</v>
      </c>
      <c r="H9" s="99">
        <v>10</v>
      </c>
      <c r="I9" s="99">
        <v>61</v>
      </c>
      <c r="J9" s="99">
        <v>287</v>
      </c>
      <c r="K9" s="99">
        <v>56</v>
      </c>
      <c r="L9" s="99">
        <v>524</v>
      </c>
      <c r="M9" s="99">
        <v>209</v>
      </c>
      <c r="N9" s="99">
        <v>116</v>
      </c>
      <c r="O9" s="99">
        <v>149</v>
      </c>
      <c r="P9" s="158">
        <v>149</v>
      </c>
      <c r="Q9" s="99">
        <v>13</v>
      </c>
      <c r="R9" s="99">
        <v>21</v>
      </c>
      <c r="S9" s="99">
        <v>26</v>
      </c>
      <c r="T9" s="99">
        <v>24</v>
      </c>
      <c r="U9" s="99" t="s">
        <v>825</v>
      </c>
      <c r="V9" s="99">
        <v>48</v>
      </c>
      <c r="W9" s="99">
        <v>18</v>
      </c>
      <c r="X9" s="99">
        <v>15</v>
      </c>
      <c r="Y9" s="99">
        <v>31</v>
      </c>
      <c r="Z9" s="99">
        <v>23</v>
      </c>
      <c r="AA9" s="99" t="s">
        <v>825</v>
      </c>
      <c r="AB9" s="99" t="s">
        <v>825</v>
      </c>
      <c r="AC9" s="99" t="s">
        <v>825</v>
      </c>
      <c r="AD9" s="98" t="s">
        <v>108</v>
      </c>
      <c r="AE9" s="100">
        <v>0.23355576739752146</v>
      </c>
      <c r="AF9" s="100">
        <v>0.12</v>
      </c>
      <c r="AG9" s="98">
        <v>635.5258976803304</v>
      </c>
      <c r="AH9" s="98">
        <v>317.7629488401652</v>
      </c>
      <c r="AI9" s="100">
        <v>0.0194</v>
      </c>
      <c r="AJ9" s="100">
        <v>0.7</v>
      </c>
      <c r="AK9" s="100">
        <v>0.777778</v>
      </c>
      <c r="AL9" s="100">
        <v>0.704301</v>
      </c>
      <c r="AM9" s="100">
        <v>0.506053</v>
      </c>
      <c r="AN9" s="100">
        <v>0.542056</v>
      </c>
      <c r="AO9" s="98">
        <v>4734.667937718462</v>
      </c>
      <c r="AP9" s="157">
        <v>2.0391</v>
      </c>
      <c r="AQ9" s="100">
        <v>0.087248322147651</v>
      </c>
      <c r="AR9" s="100">
        <v>0.6190476190476191</v>
      </c>
      <c r="AS9" s="98">
        <v>826.1836669844296</v>
      </c>
      <c r="AT9" s="98">
        <v>762.6310772163965</v>
      </c>
      <c r="AU9" s="98" t="s">
        <v>825</v>
      </c>
      <c r="AV9" s="98">
        <v>1525.262154432793</v>
      </c>
      <c r="AW9" s="98">
        <v>571.9733079122974</v>
      </c>
      <c r="AX9" s="98">
        <v>476.64442326024783</v>
      </c>
      <c r="AY9" s="98">
        <v>985.0651414045122</v>
      </c>
      <c r="AZ9" s="98">
        <v>730.8547823323801</v>
      </c>
      <c r="BA9" s="100" t="s">
        <v>825</v>
      </c>
      <c r="BB9" s="100" t="s">
        <v>825</v>
      </c>
      <c r="BC9" s="100" t="s">
        <v>825</v>
      </c>
      <c r="BD9" s="157">
        <v>1.7249</v>
      </c>
      <c r="BE9" s="157">
        <v>2.3941</v>
      </c>
      <c r="BF9" s="161">
        <v>410</v>
      </c>
      <c r="BG9" s="161">
        <v>72</v>
      </c>
      <c r="BH9" s="161">
        <v>744</v>
      </c>
      <c r="BI9" s="161">
        <v>413</v>
      </c>
      <c r="BJ9" s="161">
        <v>214</v>
      </c>
      <c r="BK9" s="97"/>
      <c r="BL9" s="97"/>
      <c r="BM9" s="97"/>
      <c r="BN9" s="97"/>
    </row>
    <row r="10" spans="1:66" ht="12.75">
      <c r="A10" s="79" t="s">
        <v>242</v>
      </c>
      <c r="B10" s="79" t="s">
        <v>102</v>
      </c>
      <c r="C10" s="79" t="s">
        <v>335</v>
      </c>
      <c r="D10" s="99">
        <v>4117</v>
      </c>
      <c r="E10" s="99">
        <v>782</v>
      </c>
      <c r="F10" s="99" t="s">
        <v>130</v>
      </c>
      <c r="G10" s="99">
        <v>33</v>
      </c>
      <c r="H10" s="99">
        <v>11</v>
      </c>
      <c r="I10" s="99">
        <v>105</v>
      </c>
      <c r="J10" s="99">
        <v>311</v>
      </c>
      <c r="K10" s="99">
        <v>28</v>
      </c>
      <c r="L10" s="99">
        <v>817</v>
      </c>
      <c r="M10" s="99">
        <v>222</v>
      </c>
      <c r="N10" s="99">
        <v>128</v>
      </c>
      <c r="O10" s="99">
        <v>75</v>
      </c>
      <c r="P10" s="158">
        <v>75</v>
      </c>
      <c r="Q10" s="99">
        <v>11</v>
      </c>
      <c r="R10" s="99">
        <v>20</v>
      </c>
      <c r="S10" s="99">
        <v>15</v>
      </c>
      <c r="T10" s="99">
        <v>14</v>
      </c>
      <c r="U10" s="99" t="s">
        <v>825</v>
      </c>
      <c r="V10" s="99">
        <v>13</v>
      </c>
      <c r="W10" s="99">
        <v>22</v>
      </c>
      <c r="X10" s="99">
        <v>11</v>
      </c>
      <c r="Y10" s="99">
        <v>29</v>
      </c>
      <c r="Z10" s="99">
        <v>27</v>
      </c>
      <c r="AA10" s="99" t="s">
        <v>825</v>
      </c>
      <c r="AB10" s="99" t="s">
        <v>825</v>
      </c>
      <c r="AC10" s="99" t="s">
        <v>825</v>
      </c>
      <c r="AD10" s="98" t="s">
        <v>108</v>
      </c>
      <c r="AE10" s="100">
        <v>0.18994413407821228</v>
      </c>
      <c r="AF10" s="100">
        <v>0.07</v>
      </c>
      <c r="AG10" s="98">
        <v>801.5545299975711</v>
      </c>
      <c r="AH10" s="98">
        <v>267.18484333252366</v>
      </c>
      <c r="AI10" s="100">
        <v>0.0255</v>
      </c>
      <c r="AJ10" s="100">
        <v>0.71167</v>
      </c>
      <c r="AK10" s="100">
        <v>0.56</v>
      </c>
      <c r="AL10" s="100">
        <v>0.823589</v>
      </c>
      <c r="AM10" s="100">
        <v>0.604905</v>
      </c>
      <c r="AN10" s="100">
        <v>0.649746</v>
      </c>
      <c r="AO10" s="98">
        <v>1821.7148409035706</v>
      </c>
      <c r="AP10" s="157">
        <v>0.8623999999999999</v>
      </c>
      <c r="AQ10" s="100">
        <v>0.14666666666666667</v>
      </c>
      <c r="AR10" s="100">
        <v>0.55</v>
      </c>
      <c r="AS10" s="98">
        <v>364.34296818071414</v>
      </c>
      <c r="AT10" s="98">
        <v>340.0534369686665</v>
      </c>
      <c r="AU10" s="98" t="s">
        <v>825</v>
      </c>
      <c r="AV10" s="98">
        <v>315.7639057566189</v>
      </c>
      <c r="AW10" s="98">
        <v>534.3696866650473</v>
      </c>
      <c r="AX10" s="98">
        <v>267.18484333252366</v>
      </c>
      <c r="AY10" s="98">
        <v>704.3964051493806</v>
      </c>
      <c r="AZ10" s="98">
        <v>655.8173427252854</v>
      </c>
      <c r="BA10" s="100" t="s">
        <v>825</v>
      </c>
      <c r="BB10" s="100" t="s">
        <v>825</v>
      </c>
      <c r="BC10" s="100" t="s">
        <v>825</v>
      </c>
      <c r="BD10" s="157">
        <v>0.6784</v>
      </c>
      <c r="BE10" s="157">
        <v>1.0811</v>
      </c>
      <c r="BF10" s="161">
        <v>437</v>
      </c>
      <c r="BG10" s="161">
        <v>50</v>
      </c>
      <c r="BH10" s="161">
        <v>992</v>
      </c>
      <c r="BI10" s="161">
        <v>367</v>
      </c>
      <c r="BJ10" s="161">
        <v>197</v>
      </c>
      <c r="BK10" s="97"/>
      <c r="BL10" s="97"/>
      <c r="BM10" s="97"/>
      <c r="BN10" s="97"/>
    </row>
    <row r="11" spans="1:66" ht="12.75">
      <c r="A11" s="79" t="s">
        <v>244</v>
      </c>
      <c r="B11" s="79" t="s">
        <v>104</v>
      </c>
      <c r="C11" s="79" t="s">
        <v>335</v>
      </c>
      <c r="D11" s="99">
        <v>3684</v>
      </c>
      <c r="E11" s="99">
        <v>257</v>
      </c>
      <c r="F11" s="99" t="s">
        <v>126</v>
      </c>
      <c r="G11" s="99">
        <v>6</v>
      </c>
      <c r="H11" s="99">
        <v>6</v>
      </c>
      <c r="I11" s="99">
        <v>33</v>
      </c>
      <c r="J11" s="99">
        <v>197</v>
      </c>
      <c r="K11" s="99">
        <v>115</v>
      </c>
      <c r="L11" s="99">
        <v>661</v>
      </c>
      <c r="M11" s="99">
        <v>79</v>
      </c>
      <c r="N11" s="99">
        <v>39</v>
      </c>
      <c r="O11" s="99">
        <v>41</v>
      </c>
      <c r="P11" s="158">
        <v>41</v>
      </c>
      <c r="Q11" s="99" t="s">
        <v>825</v>
      </c>
      <c r="R11" s="99">
        <v>9</v>
      </c>
      <c r="S11" s="99">
        <v>9</v>
      </c>
      <c r="T11" s="99">
        <v>11</v>
      </c>
      <c r="U11" s="99" t="s">
        <v>825</v>
      </c>
      <c r="V11" s="99">
        <v>6</v>
      </c>
      <c r="W11" s="99">
        <v>12</v>
      </c>
      <c r="X11" s="99">
        <v>8</v>
      </c>
      <c r="Y11" s="99">
        <v>31</v>
      </c>
      <c r="Z11" s="99">
        <v>23</v>
      </c>
      <c r="AA11" s="99" t="s">
        <v>825</v>
      </c>
      <c r="AB11" s="99" t="s">
        <v>825</v>
      </c>
      <c r="AC11" s="99" t="s">
        <v>825</v>
      </c>
      <c r="AD11" s="98" t="s">
        <v>108</v>
      </c>
      <c r="AE11" s="100">
        <v>0.06976112920738328</v>
      </c>
      <c r="AF11" s="100">
        <v>0.19</v>
      </c>
      <c r="AG11" s="98">
        <v>162.86644951140065</v>
      </c>
      <c r="AH11" s="98">
        <v>162.86644951140065</v>
      </c>
      <c r="AI11" s="100">
        <v>0.009000000000000001</v>
      </c>
      <c r="AJ11" s="100">
        <v>0.672355</v>
      </c>
      <c r="AK11" s="100">
        <v>0.638889</v>
      </c>
      <c r="AL11" s="100">
        <v>0.655754</v>
      </c>
      <c r="AM11" s="100">
        <v>0.467456</v>
      </c>
      <c r="AN11" s="100">
        <v>0.433333</v>
      </c>
      <c r="AO11" s="98">
        <v>1112.9207383279045</v>
      </c>
      <c r="AP11" s="157">
        <v>0.7725</v>
      </c>
      <c r="AQ11" s="100" t="s">
        <v>825</v>
      </c>
      <c r="AR11" s="100" t="s">
        <v>825</v>
      </c>
      <c r="AS11" s="98">
        <v>244.29967426710098</v>
      </c>
      <c r="AT11" s="98">
        <v>298.5884907709012</v>
      </c>
      <c r="AU11" s="98" t="s">
        <v>825</v>
      </c>
      <c r="AV11" s="98">
        <v>162.86644951140065</v>
      </c>
      <c r="AW11" s="98">
        <v>325.7328990228013</v>
      </c>
      <c r="AX11" s="98">
        <v>217.15526601520088</v>
      </c>
      <c r="AY11" s="98">
        <v>841.4766558089034</v>
      </c>
      <c r="AZ11" s="98">
        <v>624.3213897937025</v>
      </c>
      <c r="BA11" s="100" t="s">
        <v>825</v>
      </c>
      <c r="BB11" s="100" t="s">
        <v>825</v>
      </c>
      <c r="BC11" s="100" t="s">
        <v>825</v>
      </c>
      <c r="BD11" s="157">
        <v>0.5543</v>
      </c>
      <c r="BE11" s="157">
        <v>1.0479</v>
      </c>
      <c r="BF11" s="161">
        <v>293</v>
      </c>
      <c r="BG11" s="161">
        <v>180</v>
      </c>
      <c r="BH11" s="161">
        <v>1008</v>
      </c>
      <c r="BI11" s="161">
        <v>169</v>
      </c>
      <c r="BJ11" s="161">
        <v>90</v>
      </c>
      <c r="BK11" s="97"/>
      <c r="BL11" s="97"/>
      <c r="BM11" s="97"/>
      <c r="BN11" s="97"/>
    </row>
    <row r="12" spans="1:66" ht="12.75">
      <c r="A12" s="79" t="s">
        <v>229</v>
      </c>
      <c r="B12" s="79" t="s">
        <v>87</v>
      </c>
      <c r="C12" s="79" t="s">
        <v>335</v>
      </c>
      <c r="D12" s="99">
        <v>4349</v>
      </c>
      <c r="E12" s="99">
        <v>593</v>
      </c>
      <c r="F12" s="99" t="s">
        <v>126</v>
      </c>
      <c r="G12" s="99">
        <v>23</v>
      </c>
      <c r="H12" s="99">
        <v>6</v>
      </c>
      <c r="I12" s="99">
        <v>88</v>
      </c>
      <c r="J12" s="99">
        <v>272</v>
      </c>
      <c r="K12" s="99" t="s">
        <v>825</v>
      </c>
      <c r="L12" s="99">
        <v>727</v>
      </c>
      <c r="M12" s="99">
        <v>154</v>
      </c>
      <c r="N12" s="99">
        <v>75</v>
      </c>
      <c r="O12" s="99">
        <v>69</v>
      </c>
      <c r="P12" s="158">
        <v>69</v>
      </c>
      <c r="Q12" s="99">
        <v>9</v>
      </c>
      <c r="R12" s="99">
        <v>13</v>
      </c>
      <c r="S12" s="99">
        <v>23</v>
      </c>
      <c r="T12" s="99" t="s">
        <v>825</v>
      </c>
      <c r="U12" s="99">
        <v>6</v>
      </c>
      <c r="V12" s="99">
        <v>7</v>
      </c>
      <c r="W12" s="99">
        <v>33</v>
      </c>
      <c r="X12" s="99">
        <v>11</v>
      </c>
      <c r="Y12" s="99">
        <v>80</v>
      </c>
      <c r="Z12" s="99">
        <v>20</v>
      </c>
      <c r="AA12" s="99" t="s">
        <v>825</v>
      </c>
      <c r="AB12" s="99" t="s">
        <v>825</v>
      </c>
      <c r="AC12" s="99" t="s">
        <v>825</v>
      </c>
      <c r="AD12" s="98" t="s">
        <v>108</v>
      </c>
      <c r="AE12" s="100">
        <v>0.13635318464014717</v>
      </c>
      <c r="AF12" s="100">
        <v>0.16</v>
      </c>
      <c r="AG12" s="98">
        <v>528.8572085536905</v>
      </c>
      <c r="AH12" s="98">
        <v>137.96275005748447</v>
      </c>
      <c r="AI12" s="100">
        <v>0.0202</v>
      </c>
      <c r="AJ12" s="100">
        <v>0.650718</v>
      </c>
      <c r="AK12" s="100" t="s">
        <v>825</v>
      </c>
      <c r="AL12" s="100">
        <v>0.712047</v>
      </c>
      <c r="AM12" s="100">
        <v>0.484277</v>
      </c>
      <c r="AN12" s="100">
        <v>0.446429</v>
      </c>
      <c r="AO12" s="98">
        <v>1586.5716256610715</v>
      </c>
      <c r="AP12" s="157">
        <v>0.8828</v>
      </c>
      <c r="AQ12" s="100">
        <v>0.13043478260869565</v>
      </c>
      <c r="AR12" s="100">
        <v>0.6923076923076923</v>
      </c>
      <c r="AS12" s="98">
        <v>528.8572085536905</v>
      </c>
      <c r="AT12" s="98" t="s">
        <v>825</v>
      </c>
      <c r="AU12" s="98">
        <v>137.96275005748447</v>
      </c>
      <c r="AV12" s="98">
        <v>160.95654173373188</v>
      </c>
      <c r="AW12" s="98">
        <v>758.7951253161647</v>
      </c>
      <c r="AX12" s="98">
        <v>252.93170843872156</v>
      </c>
      <c r="AY12" s="98">
        <v>1839.5033340997932</v>
      </c>
      <c r="AZ12" s="98">
        <v>459.8758335249483</v>
      </c>
      <c r="BA12" s="101" t="s">
        <v>825</v>
      </c>
      <c r="BB12" s="101" t="s">
        <v>825</v>
      </c>
      <c r="BC12" s="101" t="s">
        <v>825</v>
      </c>
      <c r="BD12" s="157">
        <v>0.6869</v>
      </c>
      <c r="BE12" s="157">
        <v>1.1172</v>
      </c>
      <c r="BF12" s="161">
        <v>418</v>
      </c>
      <c r="BG12" s="161" t="s">
        <v>825</v>
      </c>
      <c r="BH12" s="161">
        <v>1021</v>
      </c>
      <c r="BI12" s="161">
        <v>318</v>
      </c>
      <c r="BJ12" s="161">
        <v>168</v>
      </c>
      <c r="BK12" s="97"/>
      <c r="BL12" s="97"/>
      <c r="BM12" s="97"/>
      <c r="BN12" s="97"/>
    </row>
    <row r="13" spans="1:66" ht="12.75">
      <c r="A13" s="79" t="s">
        <v>243</v>
      </c>
      <c r="B13" s="79" t="s">
        <v>103</v>
      </c>
      <c r="C13" s="79" t="s">
        <v>335</v>
      </c>
      <c r="D13" s="99">
        <v>4331</v>
      </c>
      <c r="E13" s="99">
        <v>851</v>
      </c>
      <c r="F13" s="99" t="s">
        <v>130</v>
      </c>
      <c r="G13" s="99">
        <v>25</v>
      </c>
      <c r="H13" s="99">
        <v>16</v>
      </c>
      <c r="I13" s="99">
        <v>100</v>
      </c>
      <c r="J13" s="99">
        <v>420</v>
      </c>
      <c r="K13" s="99">
        <v>47</v>
      </c>
      <c r="L13" s="99">
        <v>855</v>
      </c>
      <c r="M13" s="99">
        <v>260</v>
      </c>
      <c r="N13" s="99">
        <v>148</v>
      </c>
      <c r="O13" s="99">
        <v>85</v>
      </c>
      <c r="P13" s="158">
        <v>85</v>
      </c>
      <c r="Q13" s="99">
        <v>14</v>
      </c>
      <c r="R13" s="99">
        <v>25</v>
      </c>
      <c r="S13" s="99">
        <v>25</v>
      </c>
      <c r="T13" s="99">
        <v>11</v>
      </c>
      <c r="U13" s="99" t="s">
        <v>825</v>
      </c>
      <c r="V13" s="99">
        <v>9</v>
      </c>
      <c r="W13" s="99">
        <v>26</v>
      </c>
      <c r="X13" s="99">
        <v>27</v>
      </c>
      <c r="Y13" s="99">
        <v>62</v>
      </c>
      <c r="Z13" s="99">
        <v>38</v>
      </c>
      <c r="AA13" s="99" t="s">
        <v>825</v>
      </c>
      <c r="AB13" s="99">
        <v>12</v>
      </c>
      <c r="AC13" s="99" t="s">
        <v>825</v>
      </c>
      <c r="AD13" s="98" t="s">
        <v>108</v>
      </c>
      <c r="AE13" s="100">
        <v>0.1964904179173401</v>
      </c>
      <c r="AF13" s="100">
        <v>0.08</v>
      </c>
      <c r="AG13" s="98">
        <v>577.2338951743246</v>
      </c>
      <c r="AH13" s="98">
        <v>369.42969291156777</v>
      </c>
      <c r="AI13" s="100">
        <v>0.0231</v>
      </c>
      <c r="AJ13" s="100">
        <v>0.729167</v>
      </c>
      <c r="AK13" s="100">
        <v>0.5875</v>
      </c>
      <c r="AL13" s="100">
        <v>0.788745</v>
      </c>
      <c r="AM13" s="100">
        <v>0.581655</v>
      </c>
      <c r="AN13" s="100">
        <v>0.59919</v>
      </c>
      <c r="AO13" s="98">
        <v>1962.5952435927038</v>
      </c>
      <c r="AP13" s="157">
        <v>0.8876999999999999</v>
      </c>
      <c r="AQ13" s="100">
        <v>0.16470588235294117</v>
      </c>
      <c r="AR13" s="100">
        <v>0.56</v>
      </c>
      <c r="AS13" s="98">
        <v>577.2338951743246</v>
      </c>
      <c r="AT13" s="98">
        <v>253.98291387670284</v>
      </c>
      <c r="AU13" s="98" t="s">
        <v>825</v>
      </c>
      <c r="AV13" s="98">
        <v>207.80420226275686</v>
      </c>
      <c r="AW13" s="98">
        <v>600.3232509812976</v>
      </c>
      <c r="AX13" s="98">
        <v>623.4126067882706</v>
      </c>
      <c r="AY13" s="98">
        <v>1431.540060032325</v>
      </c>
      <c r="AZ13" s="98">
        <v>877.3955206649734</v>
      </c>
      <c r="BA13" s="100" t="s">
        <v>825</v>
      </c>
      <c r="BB13" s="100">
        <v>0.6666666666666666</v>
      </c>
      <c r="BC13" s="100" t="s">
        <v>825</v>
      </c>
      <c r="BD13" s="157">
        <v>0.7091</v>
      </c>
      <c r="BE13" s="157">
        <v>1.0977</v>
      </c>
      <c r="BF13" s="161">
        <v>576</v>
      </c>
      <c r="BG13" s="161">
        <v>80</v>
      </c>
      <c r="BH13" s="161">
        <v>1084</v>
      </c>
      <c r="BI13" s="161">
        <v>447</v>
      </c>
      <c r="BJ13" s="161">
        <v>247</v>
      </c>
      <c r="BK13" s="97"/>
      <c r="BL13" s="97"/>
      <c r="BM13" s="97"/>
      <c r="BN13" s="97"/>
    </row>
    <row r="14" spans="1:66" ht="12.75">
      <c r="A14" s="79" t="s">
        <v>826</v>
      </c>
      <c r="B14" s="79" t="s">
        <v>58</v>
      </c>
      <c r="C14" s="79" t="s">
        <v>335</v>
      </c>
      <c r="D14" s="99">
        <v>9789</v>
      </c>
      <c r="E14" s="99">
        <v>2461</v>
      </c>
      <c r="F14" s="99" t="s">
        <v>130</v>
      </c>
      <c r="G14" s="99">
        <v>63</v>
      </c>
      <c r="H14" s="99">
        <v>31</v>
      </c>
      <c r="I14" s="99">
        <v>268</v>
      </c>
      <c r="J14" s="99">
        <v>1031</v>
      </c>
      <c r="K14" s="99">
        <v>112</v>
      </c>
      <c r="L14" s="99">
        <v>1798</v>
      </c>
      <c r="M14" s="99">
        <v>848</v>
      </c>
      <c r="N14" s="99">
        <v>468</v>
      </c>
      <c r="O14" s="99">
        <v>298</v>
      </c>
      <c r="P14" s="158">
        <v>298</v>
      </c>
      <c r="Q14" s="99">
        <v>37</v>
      </c>
      <c r="R14" s="99">
        <v>55</v>
      </c>
      <c r="S14" s="99">
        <v>55</v>
      </c>
      <c r="T14" s="99">
        <v>65</v>
      </c>
      <c r="U14" s="99">
        <v>11</v>
      </c>
      <c r="V14" s="99">
        <v>50</v>
      </c>
      <c r="W14" s="99">
        <v>93</v>
      </c>
      <c r="X14" s="99">
        <v>45</v>
      </c>
      <c r="Y14" s="99">
        <v>95</v>
      </c>
      <c r="Z14" s="99">
        <v>52</v>
      </c>
      <c r="AA14" s="99">
        <v>9</v>
      </c>
      <c r="AB14" s="99">
        <v>37</v>
      </c>
      <c r="AC14" s="99">
        <v>19</v>
      </c>
      <c r="AD14" s="98" t="s">
        <v>108</v>
      </c>
      <c r="AE14" s="100">
        <v>0.2514046378588211</v>
      </c>
      <c r="AF14" s="100">
        <v>0.05</v>
      </c>
      <c r="AG14" s="98">
        <v>643.5795280416794</v>
      </c>
      <c r="AH14" s="98">
        <v>316.6819899887629</v>
      </c>
      <c r="AI14" s="100">
        <v>0.0274</v>
      </c>
      <c r="AJ14" s="100">
        <v>0.755865</v>
      </c>
      <c r="AK14" s="100">
        <v>0.691358</v>
      </c>
      <c r="AL14" s="100">
        <v>0.794521</v>
      </c>
      <c r="AM14" s="100">
        <v>0.65281</v>
      </c>
      <c r="AN14" s="100">
        <v>0.681223</v>
      </c>
      <c r="AO14" s="98">
        <v>3044.2333231177854</v>
      </c>
      <c r="AP14" s="157">
        <v>1.2406</v>
      </c>
      <c r="AQ14" s="100">
        <v>0.12416107382550336</v>
      </c>
      <c r="AR14" s="100">
        <v>0.6727272727272727</v>
      </c>
      <c r="AS14" s="98">
        <v>561.8551435284503</v>
      </c>
      <c r="AT14" s="98">
        <v>664.0106241699867</v>
      </c>
      <c r="AU14" s="98">
        <v>112.37102870569007</v>
      </c>
      <c r="AV14" s="98">
        <v>510.7774032076821</v>
      </c>
      <c r="AW14" s="98">
        <v>950.0459699662887</v>
      </c>
      <c r="AX14" s="98">
        <v>459.69966288691387</v>
      </c>
      <c r="AY14" s="98">
        <v>970.477066094596</v>
      </c>
      <c r="AZ14" s="98">
        <v>531.2084993359894</v>
      </c>
      <c r="BA14" s="100">
        <v>0.13846153846153847</v>
      </c>
      <c r="BB14" s="100">
        <v>0.5692307692307692</v>
      </c>
      <c r="BC14" s="100">
        <v>0.2923076923076923</v>
      </c>
      <c r="BD14" s="157">
        <v>1.1037000000000001</v>
      </c>
      <c r="BE14" s="157">
        <v>1.3898</v>
      </c>
      <c r="BF14" s="161">
        <v>1364</v>
      </c>
      <c r="BG14" s="161">
        <v>162</v>
      </c>
      <c r="BH14" s="161">
        <v>2263</v>
      </c>
      <c r="BI14" s="161">
        <v>1299</v>
      </c>
      <c r="BJ14" s="161">
        <v>687</v>
      </c>
      <c r="BK14" s="97"/>
      <c r="BL14" s="97"/>
      <c r="BM14" s="97"/>
      <c r="BN14" s="97"/>
    </row>
    <row r="15" spans="1:66" ht="12.75">
      <c r="A15" s="79" t="s">
        <v>231</v>
      </c>
      <c r="B15" s="79" t="s">
        <v>91</v>
      </c>
      <c r="C15" s="79" t="s">
        <v>335</v>
      </c>
      <c r="D15" s="99">
        <v>1787</v>
      </c>
      <c r="E15" s="99">
        <v>358</v>
      </c>
      <c r="F15" s="99" t="s">
        <v>128</v>
      </c>
      <c r="G15" s="99">
        <v>15</v>
      </c>
      <c r="H15" s="99">
        <v>6</v>
      </c>
      <c r="I15" s="99">
        <v>14</v>
      </c>
      <c r="J15" s="99">
        <v>152</v>
      </c>
      <c r="K15" s="99">
        <v>13</v>
      </c>
      <c r="L15" s="99">
        <v>363</v>
      </c>
      <c r="M15" s="99">
        <v>97</v>
      </c>
      <c r="N15" s="99">
        <v>48</v>
      </c>
      <c r="O15" s="99">
        <v>27</v>
      </c>
      <c r="P15" s="158">
        <v>27</v>
      </c>
      <c r="Q15" s="99" t="s">
        <v>825</v>
      </c>
      <c r="R15" s="99" t="s">
        <v>825</v>
      </c>
      <c r="S15" s="99">
        <v>11</v>
      </c>
      <c r="T15" s="99" t="s">
        <v>825</v>
      </c>
      <c r="U15" s="99" t="s">
        <v>825</v>
      </c>
      <c r="V15" s="99" t="s">
        <v>825</v>
      </c>
      <c r="W15" s="99">
        <v>12</v>
      </c>
      <c r="X15" s="99" t="s">
        <v>825</v>
      </c>
      <c r="Y15" s="99">
        <v>14</v>
      </c>
      <c r="Z15" s="99">
        <v>9</v>
      </c>
      <c r="AA15" s="99">
        <v>13</v>
      </c>
      <c r="AB15" s="99">
        <v>7</v>
      </c>
      <c r="AC15" s="99">
        <v>6</v>
      </c>
      <c r="AD15" s="98" t="s">
        <v>108</v>
      </c>
      <c r="AE15" s="100">
        <v>0.20033575825405708</v>
      </c>
      <c r="AF15" s="100">
        <v>0.09</v>
      </c>
      <c r="AG15" s="98">
        <v>839.3956351426973</v>
      </c>
      <c r="AH15" s="98">
        <v>335.7582540570789</v>
      </c>
      <c r="AI15" s="100">
        <v>0.0078000000000000005</v>
      </c>
      <c r="AJ15" s="100">
        <v>0.727273</v>
      </c>
      <c r="AK15" s="100">
        <v>0.541667</v>
      </c>
      <c r="AL15" s="100">
        <v>0.784017</v>
      </c>
      <c r="AM15" s="100">
        <v>0.492386</v>
      </c>
      <c r="AN15" s="100">
        <v>0.5</v>
      </c>
      <c r="AO15" s="98">
        <v>1510.912143256855</v>
      </c>
      <c r="AP15" s="157">
        <v>0.6818000000000001</v>
      </c>
      <c r="AQ15" s="100" t="s">
        <v>825</v>
      </c>
      <c r="AR15" s="100" t="s">
        <v>825</v>
      </c>
      <c r="AS15" s="98">
        <v>615.5567991046447</v>
      </c>
      <c r="AT15" s="98" t="s">
        <v>825</v>
      </c>
      <c r="AU15" s="98" t="s">
        <v>825</v>
      </c>
      <c r="AV15" s="98" t="s">
        <v>825</v>
      </c>
      <c r="AW15" s="98">
        <v>671.5165081141578</v>
      </c>
      <c r="AX15" s="98" t="s">
        <v>825</v>
      </c>
      <c r="AY15" s="98">
        <v>783.4359261331841</v>
      </c>
      <c r="AZ15" s="98">
        <v>503.63738108561836</v>
      </c>
      <c r="BA15" s="100">
        <v>0.5</v>
      </c>
      <c r="BB15" s="100">
        <v>0.2692307692307692</v>
      </c>
      <c r="BC15" s="100">
        <v>0.23076923076923078</v>
      </c>
      <c r="BD15" s="157">
        <v>0.4493</v>
      </c>
      <c r="BE15" s="157">
        <v>0.9919</v>
      </c>
      <c r="BF15" s="161">
        <v>209</v>
      </c>
      <c r="BG15" s="161">
        <v>24</v>
      </c>
      <c r="BH15" s="161">
        <v>463</v>
      </c>
      <c r="BI15" s="161">
        <v>197</v>
      </c>
      <c r="BJ15" s="161">
        <v>96</v>
      </c>
      <c r="BK15" s="97"/>
      <c r="BL15" s="97"/>
      <c r="BM15" s="97"/>
      <c r="BN15" s="97"/>
    </row>
    <row r="16" spans="1:66" ht="12.75">
      <c r="A16" s="79" t="s">
        <v>224</v>
      </c>
      <c r="B16" s="79" t="s">
        <v>82</v>
      </c>
      <c r="C16" s="79" t="s">
        <v>335</v>
      </c>
      <c r="D16" s="99">
        <v>2935</v>
      </c>
      <c r="E16" s="99">
        <v>492</v>
      </c>
      <c r="F16" s="99" t="s">
        <v>129</v>
      </c>
      <c r="G16" s="99" t="s">
        <v>825</v>
      </c>
      <c r="H16" s="99">
        <v>6</v>
      </c>
      <c r="I16" s="99">
        <v>47</v>
      </c>
      <c r="J16" s="99">
        <v>263</v>
      </c>
      <c r="K16" s="99">
        <v>50</v>
      </c>
      <c r="L16" s="99">
        <v>544</v>
      </c>
      <c r="M16" s="99">
        <v>190</v>
      </c>
      <c r="N16" s="99">
        <v>103</v>
      </c>
      <c r="O16" s="99">
        <v>53</v>
      </c>
      <c r="P16" s="158">
        <v>53</v>
      </c>
      <c r="Q16" s="99">
        <v>7</v>
      </c>
      <c r="R16" s="99">
        <v>10</v>
      </c>
      <c r="S16" s="99">
        <v>15</v>
      </c>
      <c r="T16" s="99">
        <v>9</v>
      </c>
      <c r="U16" s="99" t="s">
        <v>825</v>
      </c>
      <c r="V16" s="99" t="s">
        <v>825</v>
      </c>
      <c r="W16" s="99">
        <v>30</v>
      </c>
      <c r="X16" s="99">
        <v>11</v>
      </c>
      <c r="Y16" s="99">
        <v>25</v>
      </c>
      <c r="Z16" s="99">
        <v>9</v>
      </c>
      <c r="AA16" s="99" t="s">
        <v>825</v>
      </c>
      <c r="AB16" s="99" t="s">
        <v>825</v>
      </c>
      <c r="AC16" s="99" t="s">
        <v>825</v>
      </c>
      <c r="AD16" s="98" t="s">
        <v>108</v>
      </c>
      <c r="AE16" s="100">
        <v>0.16763202725724022</v>
      </c>
      <c r="AF16" s="100">
        <v>0.12</v>
      </c>
      <c r="AG16" s="98" t="s">
        <v>825</v>
      </c>
      <c r="AH16" s="98">
        <v>204.42930153321976</v>
      </c>
      <c r="AI16" s="100">
        <v>0.016</v>
      </c>
      <c r="AJ16" s="100">
        <v>0.734637</v>
      </c>
      <c r="AK16" s="100">
        <v>0.769231</v>
      </c>
      <c r="AL16" s="100">
        <v>0.774929</v>
      </c>
      <c r="AM16" s="100">
        <v>0.56213</v>
      </c>
      <c r="AN16" s="100">
        <v>0.550802</v>
      </c>
      <c r="AO16" s="98">
        <v>1805.7921635434411</v>
      </c>
      <c r="AP16" s="157">
        <v>0.9139</v>
      </c>
      <c r="AQ16" s="100">
        <v>0.1320754716981132</v>
      </c>
      <c r="AR16" s="100">
        <v>0.7</v>
      </c>
      <c r="AS16" s="98">
        <v>511.0732538330494</v>
      </c>
      <c r="AT16" s="98">
        <v>306.64395229982966</v>
      </c>
      <c r="AU16" s="98" t="s">
        <v>825</v>
      </c>
      <c r="AV16" s="98" t="s">
        <v>825</v>
      </c>
      <c r="AW16" s="98">
        <v>1022.1465076660988</v>
      </c>
      <c r="AX16" s="98">
        <v>374.7870528109029</v>
      </c>
      <c r="AY16" s="98">
        <v>851.7887563884157</v>
      </c>
      <c r="AZ16" s="98">
        <v>306.64395229982966</v>
      </c>
      <c r="BA16" s="100" t="s">
        <v>825</v>
      </c>
      <c r="BB16" s="100" t="s">
        <v>825</v>
      </c>
      <c r="BC16" s="100" t="s">
        <v>825</v>
      </c>
      <c r="BD16" s="157">
        <v>0.6846</v>
      </c>
      <c r="BE16" s="157">
        <v>1.1954</v>
      </c>
      <c r="BF16" s="161">
        <v>358</v>
      </c>
      <c r="BG16" s="161">
        <v>65</v>
      </c>
      <c r="BH16" s="161">
        <v>702</v>
      </c>
      <c r="BI16" s="161">
        <v>338</v>
      </c>
      <c r="BJ16" s="161">
        <v>187</v>
      </c>
      <c r="BK16" s="97"/>
      <c r="BL16" s="97"/>
      <c r="BM16" s="97"/>
      <c r="BN16" s="97"/>
    </row>
    <row r="17" spans="1:66" ht="12.75">
      <c r="A17" s="79" t="s">
        <v>211</v>
      </c>
      <c r="B17" s="79" t="s">
        <v>67</v>
      </c>
      <c r="C17" s="79" t="s">
        <v>335</v>
      </c>
      <c r="D17" s="99">
        <v>6185</v>
      </c>
      <c r="E17" s="99">
        <v>1125</v>
      </c>
      <c r="F17" s="99" t="s">
        <v>126</v>
      </c>
      <c r="G17" s="99">
        <v>28</v>
      </c>
      <c r="H17" s="99">
        <v>13</v>
      </c>
      <c r="I17" s="99">
        <v>143</v>
      </c>
      <c r="J17" s="99">
        <v>533</v>
      </c>
      <c r="K17" s="99">
        <v>241</v>
      </c>
      <c r="L17" s="99">
        <v>1144</v>
      </c>
      <c r="M17" s="99">
        <v>312</v>
      </c>
      <c r="N17" s="99">
        <v>150</v>
      </c>
      <c r="O17" s="99">
        <v>63</v>
      </c>
      <c r="P17" s="158">
        <v>63</v>
      </c>
      <c r="Q17" s="99">
        <v>8</v>
      </c>
      <c r="R17" s="99">
        <v>29</v>
      </c>
      <c r="S17" s="99">
        <v>22</v>
      </c>
      <c r="T17" s="99">
        <v>12</v>
      </c>
      <c r="U17" s="99" t="s">
        <v>825</v>
      </c>
      <c r="V17" s="99">
        <v>6</v>
      </c>
      <c r="W17" s="99">
        <v>46</v>
      </c>
      <c r="X17" s="99">
        <v>18</v>
      </c>
      <c r="Y17" s="99">
        <v>54</v>
      </c>
      <c r="Z17" s="99">
        <v>40</v>
      </c>
      <c r="AA17" s="99" t="s">
        <v>825</v>
      </c>
      <c r="AB17" s="99">
        <v>16</v>
      </c>
      <c r="AC17" s="99" t="s">
        <v>825</v>
      </c>
      <c r="AD17" s="98" t="s">
        <v>108</v>
      </c>
      <c r="AE17" s="100">
        <v>0.18189167340339532</v>
      </c>
      <c r="AF17" s="100">
        <v>0.18</v>
      </c>
      <c r="AG17" s="98">
        <v>452.7081649151172</v>
      </c>
      <c r="AH17" s="98">
        <v>210.18593371059015</v>
      </c>
      <c r="AI17" s="100">
        <v>0.0231</v>
      </c>
      <c r="AJ17" s="100">
        <v>0.699475</v>
      </c>
      <c r="AK17" s="100">
        <v>0.613232</v>
      </c>
      <c r="AL17" s="100">
        <v>0.741413</v>
      </c>
      <c r="AM17" s="100">
        <v>0.485226</v>
      </c>
      <c r="AN17" s="100">
        <v>0.471698</v>
      </c>
      <c r="AO17" s="98">
        <v>1018.5933710590137</v>
      </c>
      <c r="AP17" s="157">
        <v>0.491</v>
      </c>
      <c r="AQ17" s="100">
        <v>0.12698412698412698</v>
      </c>
      <c r="AR17" s="100">
        <v>0.27586206896551724</v>
      </c>
      <c r="AS17" s="98">
        <v>355.69927243330636</v>
      </c>
      <c r="AT17" s="98">
        <v>194.01778496362166</v>
      </c>
      <c r="AU17" s="98" t="s">
        <v>825</v>
      </c>
      <c r="AV17" s="98">
        <v>97.00889248181083</v>
      </c>
      <c r="AW17" s="98">
        <v>743.7348423605497</v>
      </c>
      <c r="AX17" s="98">
        <v>291.0266774454325</v>
      </c>
      <c r="AY17" s="98">
        <v>873.0800323362974</v>
      </c>
      <c r="AZ17" s="98">
        <v>646.7259498787389</v>
      </c>
      <c r="BA17" s="100" t="s">
        <v>825</v>
      </c>
      <c r="BB17" s="100">
        <v>0.5161290322580645</v>
      </c>
      <c r="BC17" s="100" t="s">
        <v>825</v>
      </c>
      <c r="BD17" s="157">
        <v>0.37729999999999997</v>
      </c>
      <c r="BE17" s="157">
        <v>0.6281</v>
      </c>
      <c r="BF17" s="161">
        <v>762</v>
      </c>
      <c r="BG17" s="161">
        <v>393</v>
      </c>
      <c r="BH17" s="161">
        <v>1543</v>
      </c>
      <c r="BI17" s="161">
        <v>643</v>
      </c>
      <c r="BJ17" s="161">
        <v>318</v>
      </c>
      <c r="BK17" s="97"/>
      <c r="BL17" s="97"/>
      <c r="BM17" s="97"/>
      <c r="BN17" s="97"/>
    </row>
    <row r="18" spans="1:66" ht="12.75">
      <c r="A18" s="79" t="s">
        <v>246</v>
      </c>
      <c r="B18" s="79" t="s">
        <v>106</v>
      </c>
      <c r="C18" s="79" t="s">
        <v>335</v>
      </c>
      <c r="D18" s="99">
        <v>2334</v>
      </c>
      <c r="E18" s="99">
        <v>237</v>
      </c>
      <c r="F18" s="99" t="s">
        <v>126</v>
      </c>
      <c r="G18" s="99">
        <v>6</v>
      </c>
      <c r="H18" s="99" t="s">
        <v>825</v>
      </c>
      <c r="I18" s="99">
        <v>28</v>
      </c>
      <c r="J18" s="99">
        <v>143</v>
      </c>
      <c r="K18" s="99" t="s">
        <v>825</v>
      </c>
      <c r="L18" s="99">
        <v>500</v>
      </c>
      <c r="M18" s="99">
        <v>69</v>
      </c>
      <c r="N18" s="99">
        <v>47</v>
      </c>
      <c r="O18" s="99">
        <v>24</v>
      </c>
      <c r="P18" s="158">
        <v>24</v>
      </c>
      <c r="Q18" s="99" t="s">
        <v>825</v>
      </c>
      <c r="R18" s="99">
        <v>9</v>
      </c>
      <c r="S18" s="99">
        <v>12</v>
      </c>
      <c r="T18" s="99" t="s">
        <v>825</v>
      </c>
      <c r="U18" s="99" t="s">
        <v>825</v>
      </c>
      <c r="V18" s="99" t="s">
        <v>825</v>
      </c>
      <c r="W18" s="99">
        <v>12</v>
      </c>
      <c r="X18" s="99">
        <v>8</v>
      </c>
      <c r="Y18" s="99">
        <v>19</v>
      </c>
      <c r="Z18" s="99" t="s">
        <v>825</v>
      </c>
      <c r="AA18" s="99" t="s">
        <v>825</v>
      </c>
      <c r="AB18" s="99" t="s">
        <v>825</v>
      </c>
      <c r="AC18" s="99" t="s">
        <v>825</v>
      </c>
      <c r="AD18" s="98" t="s">
        <v>108</v>
      </c>
      <c r="AE18" s="100">
        <v>0.10154241645244216</v>
      </c>
      <c r="AF18" s="100">
        <v>0.16</v>
      </c>
      <c r="AG18" s="98">
        <v>257.0694087403599</v>
      </c>
      <c r="AH18" s="98" t="s">
        <v>825</v>
      </c>
      <c r="AI18" s="100">
        <v>0.012</v>
      </c>
      <c r="AJ18" s="100">
        <v>0.613734</v>
      </c>
      <c r="AK18" s="100" t="s">
        <v>825</v>
      </c>
      <c r="AL18" s="100">
        <v>0.733138</v>
      </c>
      <c r="AM18" s="100">
        <v>0.475862</v>
      </c>
      <c r="AN18" s="100">
        <v>0.52809</v>
      </c>
      <c r="AO18" s="98">
        <v>1028.2776349614396</v>
      </c>
      <c r="AP18" s="157">
        <v>0.6322</v>
      </c>
      <c r="AQ18" s="100" t="s">
        <v>825</v>
      </c>
      <c r="AR18" s="100" t="s">
        <v>825</v>
      </c>
      <c r="AS18" s="98">
        <v>514.1388174807198</v>
      </c>
      <c r="AT18" s="98" t="s">
        <v>825</v>
      </c>
      <c r="AU18" s="98" t="s">
        <v>825</v>
      </c>
      <c r="AV18" s="98" t="s">
        <v>825</v>
      </c>
      <c r="AW18" s="98">
        <v>514.1388174807198</v>
      </c>
      <c r="AX18" s="98">
        <v>342.7592116538132</v>
      </c>
      <c r="AY18" s="98">
        <v>814.0531276778063</v>
      </c>
      <c r="AZ18" s="98" t="s">
        <v>825</v>
      </c>
      <c r="BA18" s="100" t="s">
        <v>825</v>
      </c>
      <c r="BB18" s="100" t="s">
        <v>825</v>
      </c>
      <c r="BC18" s="100" t="s">
        <v>825</v>
      </c>
      <c r="BD18" s="157">
        <v>0.405</v>
      </c>
      <c r="BE18" s="157">
        <v>0.9406</v>
      </c>
      <c r="BF18" s="161">
        <v>233</v>
      </c>
      <c r="BG18" s="161" t="s">
        <v>825</v>
      </c>
      <c r="BH18" s="161">
        <v>682</v>
      </c>
      <c r="BI18" s="161">
        <v>145</v>
      </c>
      <c r="BJ18" s="161">
        <v>89</v>
      </c>
      <c r="BK18" s="97"/>
      <c r="BL18" s="97"/>
      <c r="BM18" s="97"/>
      <c r="BN18" s="97"/>
    </row>
    <row r="19" spans="1:66" ht="12.75">
      <c r="A19" s="79" t="s">
        <v>226</v>
      </c>
      <c r="B19" s="79" t="s">
        <v>84</v>
      </c>
      <c r="C19" s="79" t="s">
        <v>335</v>
      </c>
      <c r="D19" s="99">
        <v>1940</v>
      </c>
      <c r="E19" s="99">
        <v>378</v>
      </c>
      <c r="F19" s="99" t="s">
        <v>129</v>
      </c>
      <c r="G19" s="99">
        <v>7</v>
      </c>
      <c r="H19" s="99" t="s">
        <v>825</v>
      </c>
      <c r="I19" s="99">
        <v>23</v>
      </c>
      <c r="J19" s="99">
        <v>177</v>
      </c>
      <c r="K19" s="99">
        <v>9</v>
      </c>
      <c r="L19" s="99">
        <v>332</v>
      </c>
      <c r="M19" s="99">
        <v>99</v>
      </c>
      <c r="N19" s="99">
        <v>50</v>
      </c>
      <c r="O19" s="99">
        <v>22</v>
      </c>
      <c r="P19" s="158">
        <v>22</v>
      </c>
      <c r="Q19" s="99" t="s">
        <v>825</v>
      </c>
      <c r="R19" s="99" t="s">
        <v>825</v>
      </c>
      <c r="S19" s="99" t="s">
        <v>825</v>
      </c>
      <c r="T19" s="99" t="s">
        <v>825</v>
      </c>
      <c r="U19" s="99" t="s">
        <v>825</v>
      </c>
      <c r="V19" s="99" t="s">
        <v>825</v>
      </c>
      <c r="W19" s="99" t="s">
        <v>825</v>
      </c>
      <c r="X19" s="99" t="s">
        <v>825</v>
      </c>
      <c r="Y19" s="99">
        <v>15</v>
      </c>
      <c r="Z19" s="99">
        <v>10</v>
      </c>
      <c r="AA19" s="99" t="s">
        <v>825</v>
      </c>
      <c r="AB19" s="99" t="s">
        <v>825</v>
      </c>
      <c r="AC19" s="99" t="s">
        <v>825</v>
      </c>
      <c r="AD19" s="98" t="s">
        <v>108</v>
      </c>
      <c r="AE19" s="100">
        <v>0.19484536082474227</v>
      </c>
      <c r="AF19" s="100">
        <v>0.13</v>
      </c>
      <c r="AG19" s="98">
        <v>360.82474226804123</v>
      </c>
      <c r="AH19" s="98" t="s">
        <v>825</v>
      </c>
      <c r="AI19" s="100">
        <v>0.011899999999999999</v>
      </c>
      <c r="AJ19" s="100">
        <v>0.7375</v>
      </c>
      <c r="AK19" s="100">
        <v>0.5625</v>
      </c>
      <c r="AL19" s="100">
        <v>0.717063</v>
      </c>
      <c r="AM19" s="100">
        <v>0.502538</v>
      </c>
      <c r="AN19" s="100">
        <v>0.49505</v>
      </c>
      <c r="AO19" s="98">
        <v>1134.020618556701</v>
      </c>
      <c r="AP19" s="157">
        <v>0.522</v>
      </c>
      <c r="AQ19" s="100" t="s">
        <v>825</v>
      </c>
      <c r="AR19" s="100" t="s">
        <v>825</v>
      </c>
      <c r="AS19" s="98" t="s">
        <v>825</v>
      </c>
      <c r="AT19" s="98" t="s">
        <v>825</v>
      </c>
      <c r="AU19" s="98" t="s">
        <v>825</v>
      </c>
      <c r="AV19" s="98" t="s">
        <v>825</v>
      </c>
      <c r="AW19" s="98" t="s">
        <v>825</v>
      </c>
      <c r="AX19" s="98" t="s">
        <v>825</v>
      </c>
      <c r="AY19" s="98">
        <v>773.1958762886597</v>
      </c>
      <c r="AZ19" s="98">
        <v>515.4639175257732</v>
      </c>
      <c r="BA19" s="101" t="s">
        <v>825</v>
      </c>
      <c r="BB19" s="101" t="s">
        <v>825</v>
      </c>
      <c r="BC19" s="101" t="s">
        <v>825</v>
      </c>
      <c r="BD19" s="157">
        <v>0.3271</v>
      </c>
      <c r="BE19" s="157">
        <v>0.7903</v>
      </c>
      <c r="BF19" s="161">
        <v>240</v>
      </c>
      <c r="BG19" s="161">
        <v>16</v>
      </c>
      <c r="BH19" s="161">
        <v>463</v>
      </c>
      <c r="BI19" s="161">
        <v>197</v>
      </c>
      <c r="BJ19" s="161">
        <v>101</v>
      </c>
      <c r="BK19" s="97"/>
      <c r="BL19" s="97"/>
      <c r="BM19" s="97"/>
      <c r="BN19" s="97"/>
    </row>
    <row r="20" spans="1:66" ht="12.75">
      <c r="A20" s="79" t="s">
        <v>221</v>
      </c>
      <c r="B20" s="79" t="s">
        <v>79</v>
      </c>
      <c r="C20" s="79" t="s">
        <v>335</v>
      </c>
      <c r="D20" s="99">
        <v>2315</v>
      </c>
      <c r="E20" s="99">
        <v>607</v>
      </c>
      <c r="F20" s="99" t="s">
        <v>128</v>
      </c>
      <c r="G20" s="99">
        <v>19</v>
      </c>
      <c r="H20" s="99">
        <v>8</v>
      </c>
      <c r="I20" s="99">
        <v>64</v>
      </c>
      <c r="J20" s="99">
        <v>244</v>
      </c>
      <c r="K20" s="99" t="s">
        <v>825</v>
      </c>
      <c r="L20" s="99">
        <v>406</v>
      </c>
      <c r="M20" s="99">
        <v>168</v>
      </c>
      <c r="N20" s="99">
        <v>83</v>
      </c>
      <c r="O20" s="99">
        <v>26</v>
      </c>
      <c r="P20" s="158">
        <v>26</v>
      </c>
      <c r="Q20" s="99">
        <v>8</v>
      </c>
      <c r="R20" s="99">
        <v>16</v>
      </c>
      <c r="S20" s="99" t="s">
        <v>825</v>
      </c>
      <c r="T20" s="99" t="s">
        <v>825</v>
      </c>
      <c r="U20" s="99" t="s">
        <v>825</v>
      </c>
      <c r="V20" s="99" t="s">
        <v>825</v>
      </c>
      <c r="W20" s="99">
        <v>23</v>
      </c>
      <c r="X20" s="99">
        <v>8</v>
      </c>
      <c r="Y20" s="99">
        <v>22</v>
      </c>
      <c r="Z20" s="99">
        <v>17</v>
      </c>
      <c r="AA20" s="99" t="s">
        <v>825</v>
      </c>
      <c r="AB20" s="99" t="s">
        <v>825</v>
      </c>
      <c r="AC20" s="99" t="s">
        <v>825</v>
      </c>
      <c r="AD20" s="98" t="s">
        <v>108</v>
      </c>
      <c r="AE20" s="100">
        <v>0.26220302375809934</v>
      </c>
      <c r="AF20" s="100">
        <v>0.1</v>
      </c>
      <c r="AG20" s="98">
        <v>820.7343412526998</v>
      </c>
      <c r="AH20" s="98">
        <v>345.5723542116631</v>
      </c>
      <c r="AI20" s="100">
        <v>0.0276</v>
      </c>
      <c r="AJ20" s="100">
        <v>0.792208</v>
      </c>
      <c r="AK20" s="100" t="s">
        <v>825</v>
      </c>
      <c r="AL20" s="100">
        <v>0.812</v>
      </c>
      <c r="AM20" s="100">
        <v>0.561873</v>
      </c>
      <c r="AN20" s="100">
        <v>0.576389</v>
      </c>
      <c r="AO20" s="98">
        <v>1123.1101511879049</v>
      </c>
      <c r="AP20" s="157">
        <v>0.45770000000000005</v>
      </c>
      <c r="AQ20" s="100">
        <v>0.3076923076923077</v>
      </c>
      <c r="AR20" s="100">
        <v>0.5</v>
      </c>
      <c r="AS20" s="98" t="s">
        <v>825</v>
      </c>
      <c r="AT20" s="98" t="s">
        <v>825</v>
      </c>
      <c r="AU20" s="98" t="s">
        <v>825</v>
      </c>
      <c r="AV20" s="98" t="s">
        <v>825</v>
      </c>
      <c r="AW20" s="98">
        <v>993.5205183585313</v>
      </c>
      <c r="AX20" s="98">
        <v>345.5723542116631</v>
      </c>
      <c r="AY20" s="98">
        <v>950.3239740820734</v>
      </c>
      <c r="AZ20" s="98">
        <v>734.341252699784</v>
      </c>
      <c r="BA20" s="100" t="s">
        <v>825</v>
      </c>
      <c r="BB20" s="100" t="s">
        <v>825</v>
      </c>
      <c r="BC20" s="100" t="s">
        <v>825</v>
      </c>
      <c r="BD20" s="157">
        <v>0.299</v>
      </c>
      <c r="BE20" s="157">
        <v>0.6707</v>
      </c>
      <c r="BF20" s="161">
        <v>308</v>
      </c>
      <c r="BG20" s="161" t="s">
        <v>825</v>
      </c>
      <c r="BH20" s="161">
        <v>500</v>
      </c>
      <c r="BI20" s="161">
        <v>299</v>
      </c>
      <c r="BJ20" s="161">
        <v>144</v>
      </c>
      <c r="BK20" s="97"/>
      <c r="BL20" s="97"/>
      <c r="BM20" s="97"/>
      <c r="BN20" s="97"/>
    </row>
    <row r="21" spans="1:66" ht="12.75">
      <c r="A21" s="79" t="s">
        <v>230</v>
      </c>
      <c r="B21" s="79" t="s">
        <v>90</v>
      </c>
      <c r="C21" s="79" t="s">
        <v>335</v>
      </c>
      <c r="D21" s="99">
        <v>2840</v>
      </c>
      <c r="E21" s="99">
        <v>316</v>
      </c>
      <c r="F21" s="99" t="s">
        <v>129</v>
      </c>
      <c r="G21" s="99">
        <v>15</v>
      </c>
      <c r="H21" s="99" t="s">
        <v>825</v>
      </c>
      <c r="I21" s="99">
        <v>24</v>
      </c>
      <c r="J21" s="99">
        <v>204</v>
      </c>
      <c r="K21" s="99">
        <v>99</v>
      </c>
      <c r="L21" s="99">
        <v>503</v>
      </c>
      <c r="M21" s="99">
        <v>105</v>
      </c>
      <c r="N21" s="99">
        <v>57</v>
      </c>
      <c r="O21" s="99">
        <v>29</v>
      </c>
      <c r="P21" s="158">
        <v>29</v>
      </c>
      <c r="Q21" s="99" t="s">
        <v>825</v>
      </c>
      <c r="R21" s="99">
        <v>14</v>
      </c>
      <c r="S21" s="99">
        <v>17</v>
      </c>
      <c r="T21" s="99" t="s">
        <v>825</v>
      </c>
      <c r="U21" s="99" t="s">
        <v>825</v>
      </c>
      <c r="V21" s="99" t="s">
        <v>825</v>
      </c>
      <c r="W21" s="99">
        <v>13</v>
      </c>
      <c r="X21" s="99" t="s">
        <v>825</v>
      </c>
      <c r="Y21" s="99">
        <v>12</v>
      </c>
      <c r="Z21" s="99">
        <v>8</v>
      </c>
      <c r="AA21" s="99" t="s">
        <v>825</v>
      </c>
      <c r="AB21" s="99" t="s">
        <v>825</v>
      </c>
      <c r="AC21" s="99" t="s">
        <v>825</v>
      </c>
      <c r="AD21" s="98" t="s">
        <v>108</v>
      </c>
      <c r="AE21" s="100">
        <v>0.11126760563380282</v>
      </c>
      <c r="AF21" s="100">
        <v>0.15</v>
      </c>
      <c r="AG21" s="98">
        <v>528.169014084507</v>
      </c>
      <c r="AH21" s="98" t="s">
        <v>825</v>
      </c>
      <c r="AI21" s="100">
        <v>0.0085</v>
      </c>
      <c r="AJ21" s="100">
        <v>0.686869</v>
      </c>
      <c r="AK21" s="100">
        <v>0.6875</v>
      </c>
      <c r="AL21" s="100">
        <v>0.717546</v>
      </c>
      <c r="AM21" s="100">
        <v>0.454545</v>
      </c>
      <c r="AN21" s="100">
        <v>0.508929</v>
      </c>
      <c r="AO21" s="98">
        <v>1021.1267605633802</v>
      </c>
      <c r="AP21" s="157">
        <v>0.6015999999999999</v>
      </c>
      <c r="AQ21" s="100" t="s">
        <v>825</v>
      </c>
      <c r="AR21" s="100" t="s">
        <v>825</v>
      </c>
      <c r="AS21" s="98">
        <v>598.5915492957746</v>
      </c>
      <c r="AT21" s="98" t="s">
        <v>825</v>
      </c>
      <c r="AU21" s="98" t="s">
        <v>825</v>
      </c>
      <c r="AV21" s="98" t="s">
        <v>825</v>
      </c>
      <c r="AW21" s="98">
        <v>457.7464788732394</v>
      </c>
      <c r="AX21" s="98" t="s">
        <v>825</v>
      </c>
      <c r="AY21" s="98">
        <v>422.53521126760563</v>
      </c>
      <c r="AZ21" s="98">
        <v>281.6901408450704</v>
      </c>
      <c r="BA21" s="100" t="s">
        <v>825</v>
      </c>
      <c r="BB21" s="100" t="s">
        <v>825</v>
      </c>
      <c r="BC21" s="100" t="s">
        <v>825</v>
      </c>
      <c r="BD21" s="157">
        <v>0.4029</v>
      </c>
      <c r="BE21" s="157">
        <v>0.8640000000000001</v>
      </c>
      <c r="BF21" s="161">
        <v>297</v>
      </c>
      <c r="BG21" s="161">
        <v>144</v>
      </c>
      <c r="BH21" s="161">
        <v>701</v>
      </c>
      <c r="BI21" s="161">
        <v>231</v>
      </c>
      <c r="BJ21" s="161">
        <v>112</v>
      </c>
      <c r="BK21" s="97"/>
      <c r="BL21" s="97"/>
      <c r="BM21" s="97"/>
      <c r="BN21" s="97"/>
    </row>
    <row r="22" spans="1:66" ht="12.75">
      <c r="A22" s="79" t="s">
        <v>227</v>
      </c>
      <c r="B22" s="79" t="s">
        <v>85</v>
      </c>
      <c r="C22" s="79" t="s">
        <v>335</v>
      </c>
      <c r="D22" s="99">
        <v>1839</v>
      </c>
      <c r="E22" s="99">
        <v>415</v>
      </c>
      <c r="F22" s="99" t="s">
        <v>126</v>
      </c>
      <c r="G22" s="99">
        <v>12</v>
      </c>
      <c r="H22" s="99">
        <v>6</v>
      </c>
      <c r="I22" s="99">
        <v>31</v>
      </c>
      <c r="J22" s="99">
        <v>154</v>
      </c>
      <c r="K22" s="99">
        <v>11</v>
      </c>
      <c r="L22" s="99">
        <v>323</v>
      </c>
      <c r="M22" s="99">
        <v>104</v>
      </c>
      <c r="N22" s="99">
        <v>50</v>
      </c>
      <c r="O22" s="99">
        <v>33</v>
      </c>
      <c r="P22" s="158">
        <v>33</v>
      </c>
      <c r="Q22" s="99">
        <v>7</v>
      </c>
      <c r="R22" s="99">
        <v>11</v>
      </c>
      <c r="S22" s="99">
        <v>11</v>
      </c>
      <c r="T22" s="99" t="s">
        <v>825</v>
      </c>
      <c r="U22" s="99" t="s">
        <v>825</v>
      </c>
      <c r="V22" s="99" t="s">
        <v>825</v>
      </c>
      <c r="W22" s="99" t="s">
        <v>825</v>
      </c>
      <c r="X22" s="99" t="s">
        <v>825</v>
      </c>
      <c r="Y22" s="99">
        <v>14</v>
      </c>
      <c r="Z22" s="99" t="s">
        <v>825</v>
      </c>
      <c r="AA22" s="99" t="s">
        <v>825</v>
      </c>
      <c r="AB22" s="99" t="s">
        <v>825</v>
      </c>
      <c r="AC22" s="99" t="s">
        <v>825</v>
      </c>
      <c r="AD22" s="98" t="s">
        <v>108</v>
      </c>
      <c r="AE22" s="100">
        <v>0.22566612289287658</v>
      </c>
      <c r="AF22" s="100">
        <v>0.16</v>
      </c>
      <c r="AG22" s="98">
        <v>652.5285481239804</v>
      </c>
      <c r="AH22" s="98">
        <v>326.2642740619902</v>
      </c>
      <c r="AI22" s="100">
        <v>0.0169</v>
      </c>
      <c r="AJ22" s="100">
        <v>0.709677</v>
      </c>
      <c r="AK22" s="100">
        <v>0.733333</v>
      </c>
      <c r="AL22" s="100">
        <v>0.797531</v>
      </c>
      <c r="AM22" s="100">
        <v>0.52</v>
      </c>
      <c r="AN22" s="100">
        <v>0.490196</v>
      </c>
      <c r="AO22" s="98">
        <v>1794.453507340946</v>
      </c>
      <c r="AP22" s="157">
        <v>0.7852</v>
      </c>
      <c r="AQ22" s="100">
        <v>0.21212121212121213</v>
      </c>
      <c r="AR22" s="100">
        <v>0.6363636363636364</v>
      </c>
      <c r="AS22" s="98">
        <v>598.1511691136487</v>
      </c>
      <c r="AT22" s="98" t="s">
        <v>825</v>
      </c>
      <c r="AU22" s="98" t="s">
        <v>825</v>
      </c>
      <c r="AV22" s="98" t="s">
        <v>825</v>
      </c>
      <c r="AW22" s="98" t="s">
        <v>825</v>
      </c>
      <c r="AX22" s="98" t="s">
        <v>825</v>
      </c>
      <c r="AY22" s="98">
        <v>761.2833061446438</v>
      </c>
      <c r="AZ22" s="98" t="s">
        <v>825</v>
      </c>
      <c r="BA22" s="100" t="s">
        <v>825</v>
      </c>
      <c r="BB22" s="100" t="s">
        <v>825</v>
      </c>
      <c r="BC22" s="100" t="s">
        <v>825</v>
      </c>
      <c r="BD22" s="157">
        <v>0.5405</v>
      </c>
      <c r="BE22" s="157">
        <v>1.1027</v>
      </c>
      <c r="BF22" s="161">
        <v>217</v>
      </c>
      <c r="BG22" s="161">
        <v>15</v>
      </c>
      <c r="BH22" s="161">
        <v>405</v>
      </c>
      <c r="BI22" s="161">
        <v>200</v>
      </c>
      <c r="BJ22" s="161">
        <v>102</v>
      </c>
      <c r="BK22" s="97"/>
      <c r="BL22" s="97"/>
      <c r="BM22" s="97"/>
      <c r="BN22" s="97"/>
    </row>
    <row r="23" spans="1:66" ht="12.75">
      <c r="A23" s="79" t="s">
        <v>433</v>
      </c>
      <c r="B23" s="79" t="s">
        <v>78</v>
      </c>
      <c r="C23" s="79" t="s">
        <v>335</v>
      </c>
      <c r="D23" s="99">
        <v>3690</v>
      </c>
      <c r="E23" s="99">
        <v>658</v>
      </c>
      <c r="F23" s="99" t="s">
        <v>130</v>
      </c>
      <c r="G23" s="99">
        <v>18</v>
      </c>
      <c r="H23" s="99">
        <v>12</v>
      </c>
      <c r="I23" s="99">
        <v>67</v>
      </c>
      <c r="J23" s="99">
        <v>366</v>
      </c>
      <c r="K23" s="99">
        <v>53</v>
      </c>
      <c r="L23" s="99">
        <v>736</v>
      </c>
      <c r="M23" s="99">
        <v>216</v>
      </c>
      <c r="N23" s="99">
        <v>119</v>
      </c>
      <c r="O23" s="99">
        <v>89</v>
      </c>
      <c r="P23" s="158">
        <v>89</v>
      </c>
      <c r="Q23" s="99">
        <v>12</v>
      </c>
      <c r="R23" s="99">
        <v>22</v>
      </c>
      <c r="S23" s="99">
        <v>11</v>
      </c>
      <c r="T23" s="99">
        <v>10</v>
      </c>
      <c r="U23" s="99">
        <v>8</v>
      </c>
      <c r="V23" s="99">
        <v>15</v>
      </c>
      <c r="W23" s="99">
        <v>36</v>
      </c>
      <c r="X23" s="99">
        <v>10</v>
      </c>
      <c r="Y23" s="99">
        <v>48</v>
      </c>
      <c r="Z23" s="99">
        <v>25</v>
      </c>
      <c r="AA23" s="99" t="s">
        <v>825</v>
      </c>
      <c r="AB23" s="99" t="s">
        <v>825</v>
      </c>
      <c r="AC23" s="99" t="s">
        <v>825</v>
      </c>
      <c r="AD23" s="98" t="s">
        <v>108</v>
      </c>
      <c r="AE23" s="100">
        <v>0.17831978319783198</v>
      </c>
      <c r="AF23" s="100">
        <v>0.08</v>
      </c>
      <c r="AG23" s="98">
        <v>487.8048780487805</v>
      </c>
      <c r="AH23" s="98">
        <v>325.2032520325203</v>
      </c>
      <c r="AI23" s="100">
        <v>0.0182</v>
      </c>
      <c r="AJ23" s="100">
        <v>0.754639</v>
      </c>
      <c r="AK23" s="100">
        <v>0.697368</v>
      </c>
      <c r="AL23" s="100">
        <v>0.758763</v>
      </c>
      <c r="AM23" s="100">
        <v>0.523002</v>
      </c>
      <c r="AN23" s="100">
        <v>0.512931</v>
      </c>
      <c r="AO23" s="98">
        <v>2411.9241192411923</v>
      </c>
      <c r="AP23" s="157">
        <v>1.1188</v>
      </c>
      <c r="AQ23" s="100">
        <v>0.1348314606741573</v>
      </c>
      <c r="AR23" s="100">
        <v>0.5454545454545454</v>
      </c>
      <c r="AS23" s="98">
        <v>298.1029810298103</v>
      </c>
      <c r="AT23" s="98">
        <v>271.00271002710025</v>
      </c>
      <c r="AU23" s="98">
        <v>216.80216802168022</v>
      </c>
      <c r="AV23" s="98">
        <v>406.5040650406504</v>
      </c>
      <c r="AW23" s="98">
        <v>975.609756097561</v>
      </c>
      <c r="AX23" s="98">
        <v>271.00271002710025</v>
      </c>
      <c r="AY23" s="98">
        <v>1300.8130081300812</v>
      </c>
      <c r="AZ23" s="98">
        <v>677.5067750677507</v>
      </c>
      <c r="BA23" s="100" t="s">
        <v>825</v>
      </c>
      <c r="BB23" s="100" t="s">
        <v>825</v>
      </c>
      <c r="BC23" s="100" t="s">
        <v>825</v>
      </c>
      <c r="BD23" s="157">
        <v>0.8985</v>
      </c>
      <c r="BE23" s="157">
        <v>1.3768</v>
      </c>
      <c r="BF23" s="161">
        <v>485</v>
      </c>
      <c r="BG23" s="161">
        <v>76</v>
      </c>
      <c r="BH23" s="161">
        <v>970</v>
      </c>
      <c r="BI23" s="161">
        <v>413</v>
      </c>
      <c r="BJ23" s="161">
        <v>232</v>
      </c>
      <c r="BK23" s="97"/>
      <c r="BL23" s="97"/>
      <c r="BM23" s="97"/>
      <c r="BN23" s="97"/>
    </row>
    <row r="24" spans="1:66" ht="12.75">
      <c r="A24" s="79" t="s">
        <v>435</v>
      </c>
      <c r="B24" s="79" t="s">
        <v>89</v>
      </c>
      <c r="C24" s="79" t="s">
        <v>335</v>
      </c>
      <c r="D24" s="99">
        <v>4439</v>
      </c>
      <c r="E24" s="99">
        <v>603</v>
      </c>
      <c r="F24" s="99" t="s">
        <v>129</v>
      </c>
      <c r="G24" s="99">
        <v>17</v>
      </c>
      <c r="H24" s="99" t="s">
        <v>825</v>
      </c>
      <c r="I24" s="99">
        <v>28</v>
      </c>
      <c r="J24" s="99">
        <v>335</v>
      </c>
      <c r="K24" s="99">
        <v>37</v>
      </c>
      <c r="L24" s="99">
        <v>797</v>
      </c>
      <c r="M24" s="99">
        <v>193</v>
      </c>
      <c r="N24" s="99">
        <v>104</v>
      </c>
      <c r="O24" s="99">
        <v>60</v>
      </c>
      <c r="P24" s="158">
        <v>60</v>
      </c>
      <c r="Q24" s="99">
        <v>6</v>
      </c>
      <c r="R24" s="99">
        <v>15</v>
      </c>
      <c r="S24" s="99">
        <v>18</v>
      </c>
      <c r="T24" s="99">
        <v>16</v>
      </c>
      <c r="U24" s="99" t="s">
        <v>825</v>
      </c>
      <c r="V24" s="99" t="s">
        <v>825</v>
      </c>
      <c r="W24" s="99">
        <v>19</v>
      </c>
      <c r="X24" s="99">
        <v>35</v>
      </c>
      <c r="Y24" s="99">
        <v>53</v>
      </c>
      <c r="Z24" s="99">
        <v>14</v>
      </c>
      <c r="AA24" s="99" t="s">
        <v>825</v>
      </c>
      <c r="AB24" s="99" t="s">
        <v>825</v>
      </c>
      <c r="AC24" s="99" t="s">
        <v>825</v>
      </c>
      <c r="AD24" s="98" t="s">
        <v>108</v>
      </c>
      <c r="AE24" s="100">
        <v>0.13584140572200945</v>
      </c>
      <c r="AF24" s="100">
        <v>0.15</v>
      </c>
      <c r="AG24" s="98">
        <v>382.9691371930615</v>
      </c>
      <c r="AH24" s="98" t="s">
        <v>825</v>
      </c>
      <c r="AI24" s="100">
        <v>0.0063</v>
      </c>
      <c r="AJ24" s="100">
        <v>0.72043</v>
      </c>
      <c r="AK24" s="100">
        <v>0.637931</v>
      </c>
      <c r="AL24" s="100">
        <v>0.726527</v>
      </c>
      <c r="AM24" s="100">
        <v>0.505236</v>
      </c>
      <c r="AN24" s="100">
        <v>0.530612</v>
      </c>
      <c r="AO24" s="98">
        <v>1351.6557783284522</v>
      </c>
      <c r="AP24" s="157">
        <v>0.7402</v>
      </c>
      <c r="AQ24" s="100">
        <v>0.1</v>
      </c>
      <c r="AR24" s="100">
        <v>0.4</v>
      </c>
      <c r="AS24" s="98">
        <v>405.4967334985357</v>
      </c>
      <c r="AT24" s="98">
        <v>360.4415408875873</v>
      </c>
      <c r="AU24" s="98" t="s">
        <v>825</v>
      </c>
      <c r="AV24" s="98" t="s">
        <v>825</v>
      </c>
      <c r="AW24" s="98">
        <v>428.02432980400994</v>
      </c>
      <c r="AX24" s="98">
        <v>788.4658706915972</v>
      </c>
      <c r="AY24" s="98">
        <v>1193.9626041901329</v>
      </c>
      <c r="AZ24" s="98">
        <v>315.3863482766389</v>
      </c>
      <c r="BA24" s="100" t="s">
        <v>825</v>
      </c>
      <c r="BB24" s="100" t="s">
        <v>825</v>
      </c>
      <c r="BC24" s="100" t="s">
        <v>825</v>
      </c>
      <c r="BD24" s="157">
        <v>0.5648</v>
      </c>
      <c r="BE24" s="157">
        <v>0.9528</v>
      </c>
      <c r="BF24" s="161">
        <v>465</v>
      </c>
      <c r="BG24" s="161">
        <v>58</v>
      </c>
      <c r="BH24" s="161">
        <v>1097</v>
      </c>
      <c r="BI24" s="161">
        <v>382</v>
      </c>
      <c r="BJ24" s="161">
        <v>196</v>
      </c>
      <c r="BK24" s="97"/>
      <c r="BL24" s="97"/>
      <c r="BM24" s="97"/>
      <c r="BN24" s="97"/>
    </row>
    <row r="25" spans="1:66" ht="12.75">
      <c r="A25" s="79" t="s">
        <v>434</v>
      </c>
      <c r="B25" s="79" t="s">
        <v>88</v>
      </c>
      <c r="C25" s="79" t="s">
        <v>335</v>
      </c>
      <c r="D25" s="99">
        <v>4781</v>
      </c>
      <c r="E25" s="99">
        <v>656</v>
      </c>
      <c r="F25" s="99" t="s">
        <v>126</v>
      </c>
      <c r="G25" s="99">
        <v>18</v>
      </c>
      <c r="H25" s="99">
        <v>16</v>
      </c>
      <c r="I25" s="99">
        <v>63</v>
      </c>
      <c r="J25" s="99">
        <v>388</v>
      </c>
      <c r="K25" s="99">
        <v>146</v>
      </c>
      <c r="L25" s="99">
        <v>965</v>
      </c>
      <c r="M25" s="99">
        <v>222</v>
      </c>
      <c r="N25" s="99">
        <v>123</v>
      </c>
      <c r="O25" s="99">
        <v>36</v>
      </c>
      <c r="P25" s="158">
        <v>36</v>
      </c>
      <c r="Q25" s="99" t="s">
        <v>825</v>
      </c>
      <c r="R25" s="99">
        <v>9</v>
      </c>
      <c r="S25" s="99">
        <v>8</v>
      </c>
      <c r="T25" s="99" t="s">
        <v>825</v>
      </c>
      <c r="U25" s="99" t="s">
        <v>825</v>
      </c>
      <c r="V25" s="99">
        <v>10</v>
      </c>
      <c r="W25" s="99">
        <v>30</v>
      </c>
      <c r="X25" s="99">
        <v>34</v>
      </c>
      <c r="Y25" s="99">
        <v>50</v>
      </c>
      <c r="Z25" s="99">
        <v>25</v>
      </c>
      <c r="AA25" s="99">
        <v>12</v>
      </c>
      <c r="AB25" s="99" t="s">
        <v>825</v>
      </c>
      <c r="AC25" s="99" t="s">
        <v>825</v>
      </c>
      <c r="AD25" s="98" t="s">
        <v>108</v>
      </c>
      <c r="AE25" s="100">
        <v>0.13720978874712403</v>
      </c>
      <c r="AF25" s="100">
        <v>0.16</v>
      </c>
      <c r="AG25" s="98">
        <v>376.490274001255</v>
      </c>
      <c r="AH25" s="98">
        <v>334.65802133444885</v>
      </c>
      <c r="AI25" s="100">
        <v>0.0132</v>
      </c>
      <c r="AJ25" s="100">
        <v>0.730697</v>
      </c>
      <c r="AK25" s="100">
        <v>0.675926</v>
      </c>
      <c r="AL25" s="100">
        <v>0.773237</v>
      </c>
      <c r="AM25" s="100">
        <v>0.505695</v>
      </c>
      <c r="AN25" s="100">
        <v>0.534783</v>
      </c>
      <c r="AO25" s="98">
        <v>752.98054800251</v>
      </c>
      <c r="AP25" s="157">
        <v>0.40909999999999996</v>
      </c>
      <c r="AQ25" s="100" t="s">
        <v>825</v>
      </c>
      <c r="AR25" s="100" t="s">
        <v>825</v>
      </c>
      <c r="AS25" s="98">
        <v>167.32901066722442</v>
      </c>
      <c r="AT25" s="98" t="s">
        <v>825</v>
      </c>
      <c r="AU25" s="98" t="s">
        <v>825</v>
      </c>
      <c r="AV25" s="98">
        <v>209.16126333403054</v>
      </c>
      <c r="AW25" s="98">
        <v>627.4837900020916</v>
      </c>
      <c r="AX25" s="98">
        <v>711.1482953357038</v>
      </c>
      <c r="AY25" s="98">
        <v>1045.8063166701527</v>
      </c>
      <c r="AZ25" s="98">
        <v>522.9031583350763</v>
      </c>
      <c r="BA25" s="101">
        <v>0.4444444444444444</v>
      </c>
      <c r="BB25" s="101" t="s">
        <v>825</v>
      </c>
      <c r="BC25" s="101" t="s">
        <v>825</v>
      </c>
      <c r="BD25" s="157">
        <v>0.2866</v>
      </c>
      <c r="BE25" s="157">
        <v>0.5664</v>
      </c>
      <c r="BF25" s="161">
        <v>531</v>
      </c>
      <c r="BG25" s="161">
        <v>216</v>
      </c>
      <c r="BH25" s="161">
        <v>1248</v>
      </c>
      <c r="BI25" s="161">
        <v>439</v>
      </c>
      <c r="BJ25" s="161">
        <v>230</v>
      </c>
      <c r="BK25" s="97"/>
      <c r="BL25" s="97"/>
      <c r="BM25" s="97"/>
      <c r="BN25" s="97"/>
    </row>
    <row r="26" spans="1:66" ht="12.75">
      <c r="A26" s="79" t="s">
        <v>212</v>
      </c>
      <c r="B26" s="79" t="s">
        <v>68</v>
      </c>
      <c r="C26" s="79" t="s">
        <v>335</v>
      </c>
      <c r="D26" s="99">
        <v>2923</v>
      </c>
      <c r="E26" s="99">
        <v>767</v>
      </c>
      <c r="F26" s="99" t="s">
        <v>129</v>
      </c>
      <c r="G26" s="99">
        <v>21</v>
      </c>
      <c r="H26" s="99">
        <v>9</v>
      </c>
      <c r="I26" s="99">
        <v>17</v>
      </c>
      <c r="J26" s="99">
        <v>296</v>
      </c>
      <c r="K26" s="99">
        <v>99</v>
      </c>
      <c r="L26" s="99">
        <v>433</v>
      </c>
      <c r="M26" s="99">
        <v>215</v>
      </c>
      <c r="N26" s="99">
        <v>115</v>
      </c>
      <c r="O26" s="99">
        <v>76</v>
      </c>
      <c r="P26" s="158">
        <v>76</v>
      </c>
      <c r="Q26" s="99" t="s">
        <v>825</v>
      </c>
      <c r="R26" s="99">
        <v>13</v>
      </c>
      <c r="S26" s="99">
        <v>12</v>
      </c>
      <c r="T26" s="99">
        <v>15</v>
      </c>
      <c r="U26" s="99" t="s">
        <v>825</v>
      </c>
      <c r="V26" s="99">
        <v>15</v>
      </c>
      <c r="W26" s="99">
        <v>30</v>
      </c>
      <c r="X26" s="99">
        <v>19</v>
      </c>
      <c r="Y26" s="99">
        <v>46</v>
      </c>
      <c r="Z26" s="99">
        <v>20</v>
      </c>
      <c r="AA26" s="99" t="s">
        <v>825</v>
      </c>
      <c r="AB26" s="99">
        <v>11</v>
      </c>
      <c r="AC26" s="99" t="s">
        <v>825</v>
      </c>
      <c r="AD26" s="98" t="s">
        <v>108</v>
      </c>
      <c r="AE26" s="100">
        <v>0.2624016421484776</v>
      </c>
      <c r="AF26" s="100">
        <v>0.13</v>
      </c>
      <c r="AG26" s="98">
        <v>718.439958946288</v>
      </c>
      <c r="AH26" s="98">
        <v>307.9028395484092</v>
      </c>
      <c r="AI26" s="100">
        <v>0.0058</v>
      </c>
      <c r="AJ26" s="100">
        <v>0.762887</v>
      </c>
      <c r="AK26" s="100">
        <v>0.668919</v>
      </c>
      <c r="AL26" s="100">
        <v>0.687302</v>
      </c>
      <c r="AM26" s="100">
        <v>0.514354</v>
      </c>
      <c r="AN26" s="100">
        <v>0.520362</v>
      </c>
      <c r="AO26" s="98">
        <v>2600.068422853233</v>
      </c>
      <c r="AP26" s="157">
        <v>1.0488</v>
      </c>
      <c r="AQ26" s="100" t="s">
        <v>825</v>
      </c>
      <c r="AR26" s="100" t="s">
        <v>825</v>
      </c>
      <c r="AS26" s="98">
        <v>410.5371193978789</v>
      </c>
      <c r="AT26" s="98">
        <v>513.1713992473486</v>
      </c>
      <c r="AU26" s="98" t="s">
        <v>825</v>
      </c>
      <c r="AV26" s="98">
        <v>513.1713992473486</v>
      </c>
      <c r="AW26" s="98">
        <v>1026.3427984946973</v>
      </c>
      <c r="AX26" s="98">
        <v>650.0171057133083</v>
      </c>
      <c r="AY26" s="98">
        <v>1573.7256243585357</v>
      </c>
      <c r="AZ26" s="98">
        <v>684.2285323297981</v>
      </c>
      <c r="BA26" s="100" t="s">
        <v>825</v>
      </c>
      <c r="BB26" s="100">
        <v>0.55</v>
      </c>
      <c r="BC26" s="100" t="s">
        <v>825</v>
      </c>
      <c r="BD26" s="157">
        <v>0.8262999999999999</v>
      </c>
      <c r="BE26" s="157">
        <v>1.3127000000000002</v>
      </c>
      <c r="BF26" s="161">
        <v>388</v>
      </c>
      <c r="BG26" s="161">
        <v>148</v>
      </c>
      <c r="BH26" s="161">
        <v>630</v>
      </c>
      <c r="BI26" s="161">
        <v>418</v>
      </c>
      <c r="BJ26" s="161">
        <v>221</v>
      </c>
      <c r="BK26" s="97"/>
      <c r="BL26" s="97"/>
      <c r="BM26" s="97"/>
      <c r="BN26" s="97"/>
    </row>
    <row r="27" spans="1:66" ht="12.75">
      <c r="A27" s="79" t="s">
        <v>238</v>
      </c>
      <c r="B27" s="79" t="s">
        <v>98</v>
      </c>
      <c r="C27" s="79" t="s">
        <v>335</v>
      </c>
      <c r="D27" s="99">
        <v>2849</v>
      </c>
      <c r="E27" s="99">
        <v>435</v>
      </c>
      <c r="F27" s="99" t="s">
        <v>129</v>
      </c>
      <c r="G27" s="99">
        <v>16</v>
      </c>
      <c r="H27" s="99">
        <v>7</v>
      </c>
      <c r="I27" s="99">
        <v>33</v>
      </c>
      <c r="J27" s="99">
        <v>251</v>
      </c>
      <c r="K27" s="99">
        <v>20</v>
      </c>
      <c r="L27" s="99">
        <v>471</v>
      </c>
      <c r="M27" s="99">
        <v>136</v>
      </c>
      <c r="N27" s="99">
        <v>71</v>
      </c>
      <c r="O27" s="99">
        <v>56</v>
      </c>
      <c r="P27" s="158">
        <v>56</v>
      </c>
      <c r="Q27" s="99" t="s">
        <v>825</v>
      </c>
      <c r="R27" s="99">
        <v>7</v>
      </c>
      <c r="S27" s="99">
        <v>18</v>
      </c>
      <c r="T27" s="99">
        <v>18</v>
      </c>
      <c r="U27" s="99" t="s">
        <v>825</v>
      </c>
      <c r="V27" s="99">
        <v>8</v>
      </c>
      <c r="W27" s="99">
        <v>37</v>
      </c>
      <c r="X27" s="99">
        <v>16</v>
      </c>
      <c r="Y27" s="99">
        <v>27</v>
      </c>
      <c r="Z27" s="99">
        <v>9</v>
      </c>
      <c r="AA27" s="99" t="s">
        <v>825</v>
      </c>
      <c r="AB27" s="99">
        <v>12</v>
      </c>
      <c r="AC27" s="99" t="s">
        <v>825</v>
      </c>
      <c r="AD27" s="98" t="s">
        <v>108</v>
      </c>
      <c r="AE27" s="100">
        <v>0.15268515268515268</v>
      </c>
      <c r="AF27" s="100">
        <v>0.12</v>
      </c>
      <c r="AG27" s="98">
        <v>561.6005616005616</v>
      </c>
      <c r="AH27" s="98">
        <v>245.7002457002457</v>
      </c>
      <c r="AI27" s="100">
        <v>0.0116</v>
      </c>
      <c r="AJ27" s="100">
        <v>0.7151</v>
      </c>
      <c r="AK27" s="100">
        <v>0.555556</v>
      </c>
      <c r="AL27" s="100">
        <v>0.677698</v>
      </c>
      <c r="AM27" s="100">
        <v>0.450331</v>
      </c>
      <c r="AN27" s="100">
        <v>0.470199</v>
      </c>
      <c r="AO27" s="98">
        <v>1965.6019656019655</v>
      </c>
      <c r="AP27" s="157">
        <v>1.0041</v>
      </c>
      <c r="AQ27" s="100" t="s">
        <v>825</v>
      </c>
      <c r="AR27" s="100" t="s">
        <v>825</v>
      </c>
      <c r="AS27" s="98">
        <v>631.8006318006318</v>
      </c>
      <c r="AT27" s="98">
        <v>631.8006318006318</v>
      </c>
      <c r="AU27" s="98" t="s">
        <v>825</v>
      </c>
      <c r="AV27" s="98">
        <v>280.8002808002808</v>
      </c>
      <c r="AW27" s="98">
        <v>1298.7012987012988</v>
      </c>
      <c r="AX27" s="98">
        <v>561.6005616005616</v>
      </c>
      <c r="AY27" s="98">
        <v>947.7009477009477</v>
      </c>
      <c r="AZ27" s="98">
        <v>315.9003159003159</v>
      </c>
      <c r="BA27" s="100" t="s">
        <v>825</v>
      </c>
      <c r="BB27" s="100">
        <v>0.8571428571428571</v>
      </c>
      <c r="BC27" s="100" t="s">
        <v>825</v>
      </c>
      <c r="BD27" s="157">
        <v>0.7585</v>
      </c>
      <c r="BE27" s="157">
        <v>1.3038999999999998</v>
      </c>
      <c r="BF27" s="161">
        <v>351</v>
      </c>
      <c r="BG27" s="161">
        <v>36</v>
      </c>
      <c r="BH27" s="161">
        <v>695</v>
      </c>
      <c r="BI27" s="161">
        <v>302</v>
      </c>
      <c r="BJ27" s="161">
        <v>151</v>
      </c>
      <c r="BK27" s="97"/>
      <c r="BL27" s="97"/>
      <c r="BM27" s="97"/>
      <c r="BN27" s="97"/>
    </row>
    <row r="28" spans="1:66" ht="12.75">
      <c r="A28" s="79" t="s">
        <v>431</v>
      </c>
      <c r="B28" s="79" t="s">
        <v>202</v>
      </c>
      <c r="C28" s="79" t="s">
        <v>335</v>
      </c>
      <c r="D28" s="99">
        <v>4777</v>
      </c>
      <c r="E28" s="99">
        <v>765</v>
      </c>
      <c r="F28" s="99" t="s">
        <v>126</v>
      </c>
      <c r="G28" s="99">
        <v>19</v>
      </c>
      <c r="H28" s="99">
        <v>6</v>
      </c>
      <c r="I28" s="99">
        <v>90</v>
      </c>
      <c r="J28" s="99">
        <v>452</v>
      </c>
      <c r="K28" s="99">
        <v>153</v>
      </c>
      <c r="L28" s="99">
        <v>922</v>
      </c>
      <c r="M28" s="99">
        <v>249</v>
      </c>
      <c r="N28" s="99">
        <v>141</v>
      </c>
      <c r="O28" s="99">
        <v>96</v>
      </c>
      <c r="P28" s="158">
        <v>96</v>
      </c>
      <c r="Q28" s="99">
        <v>15</v>
      </c>
      <c r="R28" s="99">
        <v>22</v>
      </c>
      <c r="S28" s="99">
        <v>23</v>
      </c>
      <c r="T28" s="99">
        <v>18</v>
      </c>
      <c r="U28" s="99" t="s">
        <v>825</v>
      </c>
      <c r="V28" s="99">
        <v>11</v>
      </c>
      <c r="W28" s="99">
        <v>47</v>
      </c>
      <c r="X28" s="99">
        <v>21</v>
      </c>
      <c r="Y28" s="99">
        <v>57</v>
      </c>
      <c r="Z28" s="99">
        <v>30</v>
      </c>
      <c r="AA28" s="99" t="s">
        <v>825</v>
      </c>
      <c r="AB28" s="99">
        <v>16</v>
      </c>
      <c r="AC28" s="99" t="s">
        <v>825</v>
      </c>
      <c r="AD28" s="98" t="s">
        <v>108</v>
      </c>
      <c r="AE28" s="100">
        <v>0.1601423487544484</v>
      </c>
      <c r="AF28" s="100">
        <v>0.18</v>
      </c>
      <c r="AG28" s="98">
        <v>397.7391668411137</v>
      </c>
      <c r="AH28" s="98">
        <v>125.60184216035168</v>
      </c>
      <c r="AI28" s="100">
        <v>0.018799999999999997</v>
      </c>
      <c r="AJ28" s="100">
        <v>0.749585</v>
      </c>
      <c r="AK28" s="100">
        <v>0.711628</v>
      </c>
      <c r="AL28" s="100">
        <v>0.776748</v>
      </c>
      <c r="AM28" s="100">
        <v>0.50303</v>
      </c>
      <c r="AN28" s="100">
        <v>0.526119</v>
      </c>
      <c r="AO28" s="98">
        <v>2009.6294745656269</v>
      </c>
      <c r="AP28" s="157">
        <v>1.0090999999999999</v>
      </c>
      <c r="AQ28" s="100">
        <v>0.15625</v>
      </c>
      <c r="AR28" s="100">
        <v>0.6818181818181818</v>
      </c>
      <c r="AS28" s="98">
        <v>481.47372828134814</v>
      </c>
      <c r="AT28" s="98">
        <v>376.80552648105504</v>
      </c>
      <c r="AU28" s="98" t="s">
        <v>825</v>
      </c>
      <c r="AV28" s="98">
        <v>230.27004396064476</v>
      </c>
      <c r="AW28" s="98">
        <v>983.8810969227549</v>
      </c>
      <c r="AX28" s="98">
        <v>439.6064475612309</v>
      </c>
      <c r="AY28" s="98">
        <v>1193.217500523341</v>
      </c>
      <c r="AZ28" s="98">
        <v>628.0092108017584</v>
      </c>
      <c r="BA28" s="100" t="s">
        <v>825</v>
      </c>
      <c r="BB28" s="100">
        <v>0.7272727272727273</v>
      </c>
      <c r="BC28" s="100" t="s">
        <v>825</v>
      </c>
      <c r="BD28" s="157">
        <v>0.8173999999999999</v>
      </c>
      <c r="BE28" s="157">
        <v>1.2323</v>
      </c>
      <c r="BF28" s="161">
        <v>603</v>
      </c>
      <c r="BG28" s="161">
        <v>215</v>
      </c>
      <c r="BH28" s="161">
        <v>1187</v>
      </c>
      <c r="BI28" s="161">
        <v>495</v>
      </c>
      <c r="BJ28" s="161">
        <v>268</v>
      </c>
      <c r="BK28" s="97"/>
      <c r="BL28" s="97"/>
      <c r="BM28" s="97"/>
      <c r="BN28" s="97"/>
    </row>
    <row r="29" spans="1:66" ht="12.75">
      <c r="A29" s="79" t="s">
        <v>223</v>
      </c>
      <c r="B29" s="79" t="s">
        <v>81</v>
      </c>
      <c r="C29" s="79" t="s">
        <v>335</v>
      </c>
      <c r="D29" s="99">
        <v>3866</v>
      </c>
      <c r="E29" s="99">
        <v>943</v>
      </c>
      <c r="F29" s="99" t="s">
        <v>128</v>
      </c>
      <c r="G29" s="99">
        <v>27</v>
      </c>
      <c r="H29" s="99">
        <v>12</v>
      </c>
      <c r="I29" s="99">
        <v>96</v>
      </c>
      <c r="J29" s="99">
        <v>401</v>
      </c>
      <c r="K29" s="99">
        <v>30</v>
      </c>
      <c r="L29" s="99">
        <v>719</v>
      </c>
      <c r="M29" s="99">
        <v>306</v>
      </c>
      <c r="N29" s="99">
        <v>170</v>
      </c>
      <c r="O29" s="99">
        <v>96</v>
      </c>
      <c r="P29" s="158">
        <v>96</v>
      </c>
      <c r="Q29" s="99">
        <v>19</v>
      </c>
      <c r="R29" s="99">
        <v>30</v>
      </c>
      <c r="S29" s="99">
        <v>21</v>
      </c>
      <c r="T29" s="99">
        <v>12</v>
      </c>
      <c r="U29" s="99" t="s">
        <v>825</v>
      </c>
      <c r="V29" s="99">
        <v>17</v>
      </c>
      <c r="W29" s="99">
        <v>30</v>
      </c>
      <c r="X29" s="99">
        <v>13</v>
      </c>
      <c r="Y29" s="99">
        <v>58</v>
      </c>
      <c r="Z29" s="99">
        <v>33</v>
      </c>
      <c r="AA29" s="99" t="s">
        <v>825</v>
      </c>
      <c r="AB29" s="99">
        <v>11</v>
      </c>
      <c r="AC29" s="99" t="s">
        <v>825</v>
      </c>
      <c r="AD29" s="98" t="s">
        <v>108</v>
      </c>
      <c r="AE29" s="100">
        <v>0.24392136575271597</v>
      </c>
      <c r="AF29" s="100">
        <v>0.09</v>
      </c>
      <c r="AG29" s="98">
        <v>698.3962752198655</v>
      </c>
      <c r="AH29" s="98">
        <v>310.3983445421624</v>
      </c>
      <c r="AI29" s="100">
        <v>0.0248</v>
      </c>
      <c r="AJ29" s="100">
        <v>0.78937</v>
      </c>
      <c r="AK29" s="100">
        <v>0.6</v>
      </c>
      <c r="AL29" s="100">
        <v>0.829296</v>
      </c>
      <c r="AM29" s="100">
        <v>0.586207</v>
      </c>
      <c r="AN29" s="100">
        <v>0.586207</v>
      </c>
      <c r="AO29" s="98">
        <v>2483.1867563372994</v>
      </c>
      <c r="AP29" s="157">
        <v>1.0352</v>
      </c>
      <c r="AQ29" s="100">
        <v>0.19791666666666666</v>
      </c>
      <c r="AR29" s="100">
        <v>0.6333333333333333</v>
      </c>
      <c r="AS29" s="98">
        <v>543.1971029487843</v>
      </c>
      <c r="AT29" s="98">
        <v>310.3983445421624</v>
      </c>
      <c r="AU29" s="98" t="s">
        <v>825</v>
      </c>
      <c r="AV29" s="98">
        <v>439.7309881013968</v>
      </c>
      <c r="AW29" s="98">
        <v>775.9958613554061</v>
      </c>
      <c r="AX29" s="98">
        <v>336.26487325400933</v>
      </c>
      <c r="AY29" s="98">
        <v>1500.2586652871184</v>
      </c>
      <c r="AZ29" s="98">
        <v>853.5954474909468</v>
      </c>
      <c r="BA29" s="100" t="s">
        <v>825</v>
      </c>
      <c r="BB29" s="100">
        <v>0.5</v>
      </c>
      <c r="BC29" s="100" t="s">
        <v>825</v>
      </c>
      <c r="BD29" s="157">
        <v>0.8384999999999999</v>
      </c>
      <c r="BE29" s="157">
        <v>1.2642</v>
      </c>
      <c r="BF29" s="161">
        <v>508</v>
      </c>
      <c r="BG29" s="161">
        <v>50</v>
      </c>
      <c r="BH29" s="161">
        <v>867</v>
      </c>
      <c r="BI29" s="161">
        <v>522</v>
      </c>
      <c r="BJ29" s="161">
        <v>290</v>
      </c>
      <c r="BK29" s="97"/>
      <c r="BL29" s="97"/>
      <c r="BM29" s="97"/>
      <c r="BN29" s="97"/>
    </row>
    <row r="30" spans="1:66" ht="12.75">
      <c r="A30" s="79" t="s">
        <v>432</v>
      </c>
      <c r="B30" s="79" t="s">
        <v>74</v>
      </c>
      <c r="C30" s="79" t="s">
        <v>335</v>
      </c>
      <c r="D30" s="99">
        <v>3375</v>
      </c>
      <c r="E30" s="99">
        <v>423</v>
      </c>
      <c r="F30" s="99" t="s">
        <v>126</v>
      </c>
      <c r="G30" s="99">
        <v>7</v>
      </c>
      <c r="H30" s="99" t="s">
        <v>825</v>
      </c>
      <c r="I30" s="99">
        <v>26</v>
      </c>
      <c r="J30" s="99">
        <v>254</v>
      </c>
      <c r="K30" s="99">
        <v>29</v>
      </c>
      <c r="L30" s="99">
        <v>590</v>
      </c>
      <c r="M30" s="99">
        <v>136</v>
      </c>
      <c r="N30" s="99">
        <v>83</v>
      </c>
      <c r="O30" s="99">
        <v>27</v>
      </c>
      <c r="P30" s="158">
        <v>27</v>
      </c>
      <c r="Q30" s="99">
        <v>9</v>
      </c>
      <c r="R30" s="99">
        <v>13</v>
      </c>
      <c r="S30" s="99">
        <v>7</v>
      </c>
      <c r="T30" s="99" t="s">
        <v>825</v>
      </c>
      <c r="U30" s="99" t="s">
        <v>825</v>
      </c>
      <c r="V30" s="99" t="s">
        <v>825</v>
      </c>
      <c r="W30" s="99">
        <v>29</v>
      </c>
      <c r="X30" s="99">
        <v>17</v>
      </c>
      <c r="Y30" s="99">
        <v>33</v>
      </c>
      <c r="Z30" s="99">
        <v>11</v>
      </c>
      <c r="AA30" s="99" t="s">
        <v>825</v>
      </c>
      <c r="AB30" s="99" t="s">
        <v>825</v>
      </c>
      <c r="AC30" s="99" t="s">
        <v>825</v>
      </c>
      <c r="AD30" s="98" t="s">
        <v>108</v>
      </c>
      <c r="AE30" s="100">
        <v>0.12533333333333332</v>
      </c>
      <c r="AF30" s="100">
        <v>0.15</v>
      </c>
      <c r="AG30" s="98">
        <v>207.40740740740742</v>
      </c>
      <c r="AH30" s="98" t="s">
        <v>825</v>
      </c>
      <c r="AI30" s="100">
        <v>0.0077</v>
      </c>
      <c r="AJ30" s="100">
        <v>0.721591</v>
      </c>
      <c r="AK30" s="100">
        <v>0.74359</v>
      </c>
      <c r="AL30" s="100">
        <v>0.711701</v>
      </c>
      <c r="AM30" s="100">
        <v>0.461017</v>
      </c>
      <c r="AN30" s="100">
        <v>0.50303</v>
      </c>
      <c r="AO30" s="98">
        <v>800</v>
      </c>
      <c r="AP30" s="157">
        <v>0.44079999999999997</v>
      </c>
      <c r="AQ30" s="100">
        <v>0.3333333333333333</v>
      </c>
      <c r="AR30" s="100">
        <v>0.6923076923076923</v>
      </c>
      <c r="AS30" s="98">
        <v>207.40740740740742</v>
      </c>
      <c r="AT30" s="98" t="s">
        <v>825</v>
      </c>
      <c r="AU30" s="98" t="s">
        <v>825</v>
      </c>
      <c r="AV30" s="98" t="s">
        <v>825</v>
      </c>
      <c r="AW30" s="98">
        <v>859.2592592592592</v>
      </c>
      <c r="AX30" s="98">
        <v>503.7037037037037</v>
      </c>
      <c r="AY30" s="98">
        <v>977.7777777777778</v>
      </c>
      <c r="AZ30" s="98">
        <v>325.9259259259259</v>
      </c>
      <c r="BA30" s="100" t="s">
        <v>825</v>
      </c>
      <c r="BB30" s="100" t="s">
        <v>825</v>
      </c>
      <c r="BC30" s="100" t="s">
        <v>825</v>
      </c>
      <c r="BD30" s="157">
        <v>0.2905</v>
      </c>
      <c r="BE30" s="157">
        <v>0.6413</v>
      </c>
      <c r="BF30" s="161">
        <v>352</v>
      </c>
      <c r="BG30" s="161">
        <v>39</v>
      </c>
      <c r="BH30" s="161">
        <v>829</v>
      </c>
      <c r="BI30" s="161">
        <v>295</v>
      </c>
      <c r="BJ30" s="161">
        <v>165</v>
      </c>
      <c r="BK30" s="97"/>
      <c r="BL30" s="97"/>
      <c r="BM30" s="97"/>
      <c r="BN30" s="97"/>
    </row>
    <row r="31" spans="1:66" ht="12.75">
      <c r="A31" s="79" t="s">
        <v>239</v>
      </c>
      <c r="B31" s="79" t="s">
        <v>99</v>
      </c>
      <c r="C31" s="79" t="s">
        <v>335</v>
      </c>
      <c r="D31" s="99">
        <v>2751</v>
      </c>
      <c r="E31" s="99">
        <v>490</v>
      </c>
      <c r="F31" s="99" t="s">
        <v>128</v>
      </c>
      <c r="G31" s="99">
        <v>13</v>
      </c>
      <c r="H31" s="99" t="s">
        <v>825</v>
      </c>
      <c r="I31" s="99">
        <v>63</v>
      </c>
      <c r="J31" s="99">
        <v>268</v>
      </c>
      <c r="K31" s="99">
        <v>29</v>
      </c>
      <c r="L31" s="99">
        <v>552</v>
      </c>
      <c r="M31" s="99">
        <v>187</v>
      </c>
      <c r="N31" s="99">
        <v>96</v>
      </c>
      <c r="O31" s="99">
        <v>58</v>
      </c>
      <c r="P31" s="158">
        <v>58</v>
      </c>
      <c r="Q31" s="99">
        <v>8</v>
      </c>
      <c r="R31" s="99">
        <v>13</v>
      </c>
      <c r="S31" s="99">
        <v>9</v>
      </c>
      <c r="T31" s="99">
        <v>9</v>
      </c>
      <c r="U31" s="99" t="s">
        <v>825</v>
      </c>
      <c r="V31" s="99">
        <v>9</v>
      </c>
      <c r="W31" s="99">
        <v>32</v>
      </c>
      <c r="X31" s="99">
        <v>13</v>
      </c>
      <c r="Y31" s="99">
        <v>39</v>
      </c>
      <c r="Z31" s="99">
        <v>19</v>
      </c>
      <c r="AA31" s="99" t="s">
        <v>825</v>
      </c>
      <c r="AB31" s="99" t="s">
        <v>825</v>
      </c>
      <c r="AC31" s="99" t="s">
        <v>825</v>
      </c>
      <c r="AD31" s="98" t="s">
        <v>108</v>
      </c>
      <c r="AE31" s="100">
        <v>0.178117048346056</v>
      </c>
      <c r="AF31" s="100">
        <v>0.1</v>
      </c>
      <c r="AG31" s="98">
        <v>472.55543438749544</v>
      </c>
      <c r="AH31" s="98" t="s">
        <v>825</v>
      </c>
      <c r="AI31" s="100">
        <v>0.0229</v>
      </c>
      <c r="AJ31" s="100">
        <v>0.728261</v>
      </c>
      <c r="AK31" s="100">
        <v>0.725</v>
      </c>
      <c r="AL31" s="100">
        <v>0.810573</v>
      </c>
      <c r="AM31" s="100">
        <v>0.589905</v>
      </c>
      <c r="AN31" s="100">
        <v>0.561404</v>
      </c>
      <c r="AO31" s="98">
        <v>2108.324245728826</v>
      </c>
      <c r="AP31" s="157">
        <v>0.9849</v>
      </c>
      <c r="AQ31" s="100">
        <v>0.13793103448275862</v>
      </c>
      <c r="AR31" s="100">
        <v>0.6153846153846154</v>
      </c>
      <c r="AS31" s="98">
        <v>327.15376226826606</v>
      </c>
      <c r="AT31" s="98">
        <v>327.15376226826606</v>
      </c>
      <c r="AU31" s="98" t="s">
        <v>825</v>
      </c>
      <c r="AV31" s="98">
        <v>327.15376226826606</v>
      </c>
      <c r="AW31" s="98">
        <v>1163.213376953835</v>
      </c>
      <c r="AX31" s="98">
        <v>472.55543438749544</v>
      </c>
      <c r="AY31" s="98">
        <v>1417.6663031624864</v>
      </c>
      <c r="AZ31" s="98">
        <v>690.6579425663396</v>
      </c>
      <c r="BA31" s="100" t="s">
        <v>825</v>
      </c>
      <c r="BB31" s="100" t="s">
        <v>825</v>
      </c>
      <c r="BC31" s="100" t="s">
        <v>825</v>
      </c>
      <c r="BD31" s="157">
        <v>0.7479</v>
      </c>
      <c r="BE31" s="157">
        <v>1.2731999999999999</v>
      </c>
      <c r="BF31" s="161">
        <v>368</v>
      </c>
      <c r="BG31" s="161">
        <v>40</v>
      </c>
      <c r="BH31" s="161">
        <v>681</v>
      </c>
      <c r="BI31" s="161">
        <v>317</v>
      </c>
      <c r="BJ31" s="161">
        <v>171</v>
      </c>
      <c r="BK31" s="97"/>
      <c r="BL31" s="97"/>
      <c r="BM31" s="97"/>
      <c r="BN31" s="97"/>
    </row>
    <row r="32" spans="1:66" ht="12.75">
      <c r="A32" s="79" t="s">
        <v>225</v>
      </c>
      <c r="B32" s="79" t="s">
        <v>83</v>
      </c>
      <c r="C32" s="79" t="s">
        <v>335</v>
      </c>
      <c r="D32" s="99">
        <v>2093</v>
      </c>
      <c r="E32" s="99">
        <v>487</v>
      </c>
      <c r="F32" s="99" t="s">
        <v>129</v>
      </c>
      <c r="G32" s="99">
        <v>18</v>
      </c>
      <c r="H32" s="99">
        <v>8</v>
      </c>
      <c r="I32" s="99">
        <v>48</v>
      </c>
      <c r="J32" s="99">
        <v>198</v>
      </c>
      <c r="K32" s="99" t="s">
        <v>825</v>
      </c>
      <c r="L32" s="99">
        <v>405</v>
      </c>
      <c r="M32" s="99">
        <v>143</v>
      </c>
      <c r="N32" s="99">
        <v>75</v>
      </c>
      <c r="O32" s="99">
        <v>22</v>
      </c>
      <c r="P32" s="158">
        <v>22</v>
      </c>
      <c r="Q32" s="99" t="s">
        <v>825</v>
      </c>
      <c r="R32" s="99">
        <v>14</v>
      </c>
      <c r="S32" s="99">
        <v>7</v>
      </c>
      <c r="T32" s="99" t="s">
        <v>825</v>
      </c>
      <c r="U32" s="99" t="s">
        <v>825</v>
      </c>
      <c r="V32" s="99" t="s">
        <v>825</v>
      </c>
      <c r="W32" s="99">
        <v>19</v>
      </c>
      <c r="X32" s="99">
        <v>10</v>
      </c>
      <c r="Y32" s="99">
        <v>28</v>
      </c>
      <c r="Z32" s="99">
        <v>31</v>
      </c>
      <c r="AA32" s="99" t="s">
        <v>825</v>
      </c>
      <c r="AB32" s="99" t="s">
        <v>825</v>
      </c>
      <c r="AC32" s="99" t="s">
        <v>825</v>
      </c>
      <c r="AD32" s="98" t="s">
        <v>108</v>
      </c>
      <c r="AE32" s="100">
        <v>0.23268036311514573</v>
      </c>
      <c r="AF32" s="100">
        <v>0.13</v>
      </c>
      <c r="AG32" s="98">
        <v>860.0095556617296</v>
      </c>
      <c r="AH32" s="98">
        <v>382.2264691829909</v>
      </c>
      <c r="AI32" s="100">
        <v>0.0229</v>
      </c>
      <c r="AJ32" s="100">
        <v>0.730627</v>
      </c>
      <c r="AK32" s="100" t="s">
        <v>825</v>
      </c>
      <c r="AL32" s="100">
        <v>0.865385</v>
      </c>
      <c r="AM32" s="100">
        <v>0.565217</v>
      </c>
      <c r="AN32" s="100">
        <v>0.551471</v>
      </c>
      <c r="AO32" s="98">
        <v>1051.122790253225</v>
      </c>
      <c r="AP32" s="157">
        <v>0.4472</v>
      </c>
      <c r="AQ32" s="100" t="s">
        <v>825</v>
      </c>
      <c r="AR32" s="100" t="s">
        <v>825</v>
      </c>
      <c r="AS32" s="98">
        <v>334.44816053511704</v>
      </c>
      <c r="AT32" s="98" t="s">
        <v>825</v>
      </c>
      <c r="AU32" s="98" t="s">
        <v>825</v>
      </c>
      <c r="AV32" s="98" t="s">
        <v>825</v>
      </c>
      <c r="AW32" s="98">
        <v>907.7878643096035</v>
      </c>
      <c r="AX32" s="98">
        <v>477.78308647873865</v>
      </c>
      <c r="AY32" s="98">
        <v>1337.7926421404682</v>
      </c>
      <c r="AZ32" s="98">
        <v>1481.1275680840897</v>
      </c>
      <c r="BA32" s="100" t="s">
        <v>825</v>
      </c>
      <c r="BB32" s="100" t="s">
        <v>825</v>
      </c>
      <c r="BC32" s="100" t="s">
        <v>825</v>
      </c>
      <c r="BD32" s="157">
        <v>0.2803</v>
      </c>
      <c r="BE32" s="157">
        <v>0.6770999999999999</v>
      </c>
      <c r="BF32" s="161">
        <v>271</v>
      </c>
      <c r="BG32" s="161" t="s">
        <v>825</v>
      </c>
      <c r="BH32" s="161">
        <v>468</v>
      </c>
      <c r="BI32" s="161">
        <v>253</v>
      </c>
      <c r="BJ32" s="161">
        <v>136</v>
      </c>
      <c r="BK32" s="97"/>
      <c r="BL32" s="97"/>
      <c r="BM32" s="97"/>
      <c r="BN32" s="97"/>
    </row>
    <row r="33" spans="1:66" ht="12.75">
      <c r="A33" s="79" t="s">
        <v>219</v>
      </c>
      <c r="B33" s="79" t="s">
        <v>76</v>
      </c>
      <c r="C33" s="79" t="s">
        <v>335</v>
      </c>
      <c r="D33" s="99">
        <v>2706</v>
      </c>
      <c r="E33" s="99">
        <v>480</v>
      </c>
      <c r="F33" s="99" t="s">
        <v>126</v>
      </c>
      <c r="G33" s="99">
        <v>15</v>
      </c>
      <c r="H33" s="99" t="s">
        <v>825</v>
      </c>
      <c r="I33" s="99">
        <v>24</v>
      </c>
      <c r="J33" s="99">
        <v>217</v>
      </c>
      <c r="K33" s="99">
        <v>109</v>
      </c>
      <c r="L33" s="99">
        <v>492</v>
      </c>
      <c r="M33" s="99">
        <v>139</v>
      </c>
      <c r="N33" s="99">
        <v>66</v>
      </c>
      <c r="O33" s="99">
        <v>42</v>
      </c>
      <c r="P33" s="158">
        <v>42</v>
      </c>
      <c r="Q33" s="99">
        <v>7</v>
      </c>
      <c r="R33" s="99">
        <v>19</v>
      </c>
      <c r="S33" s="99">
        <v>10</v>
      </c>
      <c r="T33" s="99">
        <v>11</v>
      </c>
      <c r="U33" s="99" t="s">
        <v>825</v>
      </c>
      <c r="V33" s="99" t="s">
        <v>825</v>
      </c>
      <c r="W33" s="99">
        <v>29</v>
      </c>
      <c r="X33" s="99">
        <v>12</v>
      </c>
      <c r="Y33" s="99">
        <v>45</v>
      </c>
      <c r="Z33" s="99">
        <v>18</v>
      </c>
      <c r="AA33" s="99" t="s">
        <v>825</v>
      </c>
      <c r="AB33" s="99" t="s">
        <v>825</v>
      </c>
      <c r="AC33" s="99" t="s">
        <v>825</v>
      </c>
      <c r="AD33" s="98" t="s">
        <v>108</v>
      </c>
      <c r="AE33" s="100">
        <v>0.17738359201773837</v>
      </c>
      <c r="AF33" s="100">
        <v>0.19</v>
      </c>
      <c r="AG33" s="98">
        <v>554.3237250554324</v>
      </c>
      <c r="AH33" s="98" t="s">
        <v>825</v>
      </c>
      <c r="AI33" s="100">
        <v>0.0089</v>
      </c>
      <c r="AJ33" s="100">
        <v>0.68239</v>
      </c>
      <c r="AK33" s="100">
        <v>0.619318</v>
      </c>
      <c r="AL33" s="100">
        <v>0.713043</v>
      </c>
      <c r="AM33" s="100">
        <v>0.498208</v>
      </c>
      <c r="AN33" s="100">
        <v>0.511628</v>
      </c>
      <c r="AO33" s="98">
        <v>1552.1064301552105</v>
      </c>
      <c r="AP33" s="157">
        <v>0.7495</v>
      </c>
      <c r="AQ33" s="100">
        <v>0.16666666666666666</v>
      </c>
      <c r="AR33" s="100">
        <v>0.3684210526315789</v>
      </c>
      <c r="AS33" s="98">
        <v>369.5491500369549</v>
      </c>
      <c r="AT33" s="98">
        <v>406.5040650406504</v>
      </c>
      <c r="AU33" s="98" t="s">
        <v>825</v>
      </c>
      <c r="AV33" s="98" t="s">
        <v>825</v>
      </c>
      <c r="AW33" s="98">
        <v>1071.6925351071693</v>
      </c>
      <c r="AX33" s="98">
        <v>443.4589800443459</v>
      </c>
      <c r="AY33" s="98">
        <v>1662.9711751662971</v>
      </c>
      <c r="AZ33" s="98">
        <v>665.1884700665189</v>
      </c>
      <c r="BA33" s="100" t="s">
        <v>825</v>
      </c>
      <c r="BB33" s="100" t="s">
        <v>825</v>
      </c>
      <c r="BC33" s="100" t="s">
        <v>825</v>
      </c>
      <c r="BD33" s="157">
        <v>0.5402</v>
      </c>
      <c r="BE33" s="157">
        <v>1.0131000000000001</v>
      </c>
      <c r="BF33" s="161">
        <v>318</v>
      </c>
      <c r="BG33" s="161">
        <v>176</v>
      </c>
      <c r="BH33" s="161">
        <v>690</v>
      </c>
      <c r="BI33" s="161">
        <v>279</v>
      </c>
      <c r="BJ33" s="161">
        <v>129</v>
      </c>
      <c r="BK33" s="97"/>
      <c r="BL33" s="97"/>
      <c r="BM33" s="97"/>
      <c r="BN33" s="97"/>
    </row>
    <row r="34" spans="1:66" ht="12.75">
      <c r="A34" s="79" t="s">
        <v>233</v>
      </c>
      <c r="B34" s="79" t="s">
        <v>93</v>
      </c>
      <c r="C34" s="79" t="s">
        <v>335</v>
      </c>
      <c r="D34" s="99">
        <v>5495</v>
      </c>
      <c r="E34" s="99">
        <v>900</v>
      </c>
      <c r="F34" s="99" t="s">
        <v>129</v>
      </c>
      <c r="G34" s="99">
        <v>26</v>
      </c>
      <c r="H34" s="99">
        <v>11</v>
      </c>
      <c r="I34" s="99">
        <v>111</v>
      </c>
      <c r="J34" s="99">
        <v>493</v>
      </c>
      <c r="K34" s="99">
        <v>30</v>
      </c>
      <c r="L34" s="99">
        <v>1071</v>
      </c>
      <c r="M34" s="99">
        <v>303</v>
      </c>
      <c r="N34" s="99">
        <v>146</v>
      </c>
      <c r="O34" s="99">
        <v>126</v>
      </c>
      <c r="P34" s="158">
        <v>126</v>
      </c>
      <c r="Q34" s="99">
        <v>16</v>
      </c>
      <c r="R34" s="99">
        <v>25</v>
      </c>
      <c r="S34" s="99">
        <v>24</v>
      </c>
      <c r="T34" s="99">
        <v>30</v>
      </c>
      <c r="U34" s="99" t="s">
        <v>825</v>
      </c>
      <c r="V34" s="99">
        <v>7</v>
      </c>
      <c r="W34" s="99">
        <v>46</v>
      </c>
      <c r="X34" s="99">
        <v>25</v>
      </c>
      <c r="Y34" s="99">
        <v>57</v>
      </c>
      <c r="Z34" s="99">
        <v>24</v>
      </c>
      <c r="AA34" s="99">
        <v>7</v>
      </c>
      <c r="AB34" s="99">
        <v>17</v>
      </c>
      <c r="AC34" s="99">
        <v>7</v>
      </c>
      <c r="AD34" s="98" t="s">
        <v>108</v>
      </c>
      <c r="AE34" s="100">
        <v>0.1637852593266606</v>
      </c>
      <c r="AF34" s="100">
        <v>0.13</v>
      </c>
      <c r="AG34" s="98">
        <v>473.15741583257505</v>
      </c>
      <c r="AH34" s="98">
        <v>200.18198362147407</v>
      </c>
      <c r="AI34" s="100">
        <v>0.0202</v>
      </c>
      <c r="AJ34" s="100">
        <v>0.719708</v>
      </c>
      <c r="AK34" s="100">
        <v>0.588235</v>
      </c>
      <c r="AL34" s="100">
        <v>0.771614</v>
      </c>
      <c r="AM34" s="100">
        <v>0.520619</v>
      </c>
      <c r="AN34" s="100">
        <v>0.481848</v>
      </c>
      <c r="AO34" s="98">
        <v>2292.9936305732485</v>
      </c>
      <c r="AP34" s="157">
        <v>1.1344</v>
      </c>
      <c r="AQ34" s="100">
        <v>0.12698412698412698</v>
      </c>
      <c r="AR34" s="100">
        <v>0.64</v>
      </c>
      <c r="AS34" s="98">
        <v>436.7606915377616</v>
      </c>
      <c r="AT34" s="98">
        <v>545.950864422202</v>
      </c>
      <c r="AU34" s="98" t="s">
        <v>825</v>
      </c>
      <c r="AV34" s="98">
        <v>127.38853503184713</v>
      </c>
      <c r="AW34" s="98">
        <v>837.1246587807098</v>
      </c>
      <c r="AX34" s="98">
        <v>454.9590536851683</v>
      </c>
      <c r="AY34" s="98">
        <v>1037.3066424021838</v>
      </c>
      <c r="AZ34" s="98">
        <v>436.7606915377616</v>
      </c>
      <c r="BA34" s="100">
        <v>0.22580645161290322</v>
      </c>
      <c r="BB34" s="100">
        <v>0.5483870967741935</v>
      </c>
      <c r="BC34" s="100">
        <v>0.22580645161290322</v>
      </c>
      <c r="BD34" s="157">
        <v>0.945</v>
      </c>
      <c r="BE34" s="157">
        <v>1.3506</v>
      </c>
      <c r="BF34" s="161">
        <v>685</v>
      </c>
      <c r="BG34" s="161">
        <v>51</v>
      </c>
      <c r="BH34" s="161">
        <v>1388</v>
      </c>
      <c r="BI34" s="161">
        <v>582</v>
      </c>
      <c r="BJ34" s="161">
        <v>303</v>
      </c>
      <c r="BK34" s="97"/>
      <c r="BL34" s="97"/>
      <c r="BM34" s="97"/>
      <c r="BN34" s="97"/>
    </row>
    <row r="35" spans="1:66" ht="12.75">
      <c r="A35" s="79" t="s">
        <v>217</v>
      </c>
      <c r="B35" s="79" t="s">
        <v>73</v>
      </c>
      <c r="C35" s="79" t="s">
        <v>335</v>
      </c>
      <c r="D35" s="99">
        <v>2980</v>
      </c>
      <c r="E35" s="99">
        <v>674</v>
      </c>
      <c r="F35" s="99" t="s">
        <v>130</v>
      </c>
      <c r="G35" s="99">
        <v>22</v>
      </c>
      <c r="H35" s="99">
        <v>10</v>
      </c>
      <c r="I35" s="99">
        <v>68</v>
      </c>
      <c r="J35" s="99">
        <v>351</v>
      </c>
      <c r="K35" s="99">
        <v>32</v>
      </c>
      <c r="L35" s="99">
        <v>608</v>
      </c>
      <c r="M35" s="99">
        <v>260</v>
      </c>
      <c r="N35" s="99">
        <v>144</v>
      </c>
      <c r="O35" s="99">
        <v>80</v>
      </c>
      <c r="P35" s="158">
        <v>80</v>
      </c>
      <c r="Q35" s="99">
        <v>13</v>
      </c>
      <c r="R35" s="99">
        <v>21</v>
      </c>
      <c r="S35" s="99">
        <v>13</v>
      </c>
      <c r="T35" s="99">
        <v>15</v>
      </c>
      <c r="U35" s="99">
        <v>8</v>
      </c>
      <c r="V35" s="99">
        <v>8</v>
      </c>
      <c r="W35" s="99">
        <v>37</v>
      </c>
      <c r="X35" s="99">
        <v>17</v>
      </c>
      <c r="Y35" s="99">
        <v>30</v>
      </c>
      <c r="Z35" s="99">
        <v>20</v>
      </c>
      <c r="AA35" s="99" t="s">
        <v>825</v>
      </c>
      <c r="AB35" s="99" t="s">
        <v>825</v>
      </c>
      <c r="AC35" s="99" t="s">
        <v>825</v>
      </c>
      <c r="AD35" s="98" t="s">
        <v>108</v>
      </c>
      <c r="AE35" s="100">
        <v>0.22617449664429531</v>
      </c>
      <c r="AF35" s="100">
        <v>0.08</v>
      </c>
      <c r="AG35" s="98">
        <v>738.255033557047</v>
      </c>
      <c r="AH35" s="98">
        <v>335.5704697986577</v>
      </c>
      <c r="AI35" s="100">
        <v>0.022799999999999997</v>
      </c>
      <c r="AJ35" s="100">
        <v>0.756466</v>
      </c>
      <c r="AK35" s="100">
        <v>0.603774</v>
      </c>
      <c r="AL35" s="100">
        <v>0.822733</v>
      </c>
      <c r="AM35" s="100">
        <v>0.628019</v>
      </c>
      <c r="AN35" s="100">
        <v>0.654545</v>
      </c>
      <c r="AO35" s="98">
        <v>2684.5637583892617</v>
      </c>
      <c r="AP35" s="157">
        <v>1.1334</v>
      </c>
      <c r="AQ35" s="100">
        <v>0.1625</v>
      </c>
      <c r="AR35" s="100">
        <v>0.6190476190476191</v>
      </c>
      <c r="AS35" s="98">
        <v>436.241610738255</v>
      </c>
      <c r="AT35" s="98">
        <v>503.3557046979866</v>
      </c>
      <c r="AU35" s="98">
        <v>268.4563758389262</v>
      </c>
      <c r="AV35" s="98">
        <v>268.4563758389262</v>
      </c>
      <c r="AW35" s="98">
        <v>1241.6107382550335</v>
      </c>
      <c r="AX35" s="98">
        <v>570.4697986577181</v>
      </c>
      <c r="AY35" s="98">
        <v>1006.7114093959732</v>
      </c>
      <c r="AZ35" s="98">
        <v>671.1409395973154</v>
      </c>
      <c r="BA35" s="100" t="s">
        <v>825</v>
      </c>
      <c r="BB35" s="100" t="s">
        <v>825</v>
      </c>
      <c r="BC35" s="100" t="s">
        <v>825</v>
      </c>
      <c r="BD35" s="157">
        <v>0.8987</v>
      </c>
      <c r="BE35" s="157">
        <v>1.4106</v>
      </c>
      <c r="BF35" s="161">
        <v>464</v>
      </c>
      <c r="BG35" s="161">
        <v>53</v>
      </c>
      <c r="BH35" s="161">
        <v>739</v>
      </c>
      <c r="BI35" s="161">
        <v>414</v>
      </c>
      <c r="BJ35" s="161">
        <v>220</v>
      </c>
      <c r="BK35" s="97"/>
      <c r="BL35" s="97"/>
      <c r="BM35" s="97"/>
      <c r="BN35" s="97"/>
    </row>
    <row r="36" spans="1:66" ht="12.75">
      <c r="A36" s="79" t="s">
        <v>245</v>
      </c>
      <c r="B36" s="79" t="s">
        <v>105</v>
      </c>
      <c r="C36" s="79" t="s">
        <v>335</v>
      </c>
      <c r="D36" s="99">
        <v>2498</v>
      </c>
      <c r="E36" s="99">
        <v>459</v>
      </c>
      <c r="F36" s="99" t="s">
        <v>129</v>
      </c>
      <c r="G36" s="99">
        <v>14</v>
      </c>
      <c r="H36" s="99" t="s">
        <v>825</v>
      </c>
      <c r="I36" s="99">
        <v>56</v>
      </c>
      <c r="J36" s="99">
        <v>230</v>
      </c>
      <c r="K36" s="99" t="s">
        <v>825</v>
      </c>
      <c r="L36" s="99">
        <v>513</v>
      </c>
      <c r="M36" s="99">
        <v>166</v>
      </c>
      <c r="N36" s="99">
        <v>82</v>
      </c>
      <c r="O36" s="99">
        <v>27</v>
      </c>
      <c r="P36" s="158">
        <v>27</v>
      </c>
      <c r="Q36" s="99">
        <v>6</v>
      </c>
      <c r="R36" s="99">
        <v>13</v>
      </c>
      <c r="S36" s="99" t="s">
        <v>825</v>
      </c>
      <c r="T36" s="99">
        <v>10</v>
      </c>
      <c r="U36" s="99" t="s">
        <v>825</v>
      </c>
      <c r="V36" s="99" t="s">
        <v>825</v>
      </c>
      <c r="W36" s="99">
        <v>29</v>
      </c>
      <c r="X36" s="99">
        <v>14</v>
      </c>
      <c r="Y36" s="99">
        <v>30</v>
      </c>
      <c r="Z36" s="99">
        <v>21</v>
      </c>
      <c r="AA36" s="99" t="s">
        <v>825</v>
      </c>
      <c r="AB36" s="99" t="s">
        <v>825</v>
      </c>
      <c r="AC36" s="99" t="s">
        <v>825</v>
      </c>
      <c r="AD36" s="98" t="s">
        <v>108</v>
      </c>
      <c r="AE36" s="100">
        <v>0.18374699759807847</v>
      </c>
      <c r="AF36" s="100">
        <v>0.14</v>
      </c>
      <c r="AG36" s="98">
        <v>560.4483586869495</v>
      </c>
      <c r="AH36" s="98" t="s">
        <v>825</v>
      </c>
      <c r="AI36" s="100">
        <v>0.022400000000000003</v>
      </c>
      <c r="AJ36" s="100">
        <v>0.754098</v>
      </c>
      <c r="AK36" s="100" t="s">
        <v>825</v>
      </c>
      <c r="AL36" s="100">
        <v>0.839607</v>
      </c>
      <c r="AM36" s="100">
        <v>0.597122</v>
      </c>
      <c r="AN36" s="100">
        <v>0.589928</v>
      </c>
      <c r="AO36" s="98">
        <v>1080.8646917534027</v>
      </c>
      <c r="AP36" s="157">
        <v>0.5268999999999999</v>
      </c>
      <c r="AQ36" s="100">
        <v>0.2222222222222222</v>
      </c>
      <c r="AR36" s="100">
        <v>0.46153846153846156</v>
      </c>
      <c r="AS36" s="98" t="s">
        <v>825</v>
      </c>
      <c r="AT36" s="98">
        <v>400.320256204964</v>
      </c>
      <c r="AU36" s="98" t="s">
        <v>825</v>
      </c>
      <c r="AV36" s="98" t="s">
        <v>825</v>
      </c>
      <c r="AW36" s="98">
        <v>1160.9287429943954</v>
      </c>
      <c r="AX36" s="98">
        <v>560.4483586869495</v>
      </c>
      <c r="AY36" s="98">
        <v>1200.960768614892</v>
      </c>
      <c r="AZ36" s="98">
        <v>840.6725380304243</v>
      </c>
      <c r="BA36" s="100" t="s">
        <v>825</v>
      </c>
      <c r="BB36" s="100" t="s">
        <v>825</v>
      </c>
      <c r="BC36" s="100" t="s">
        <v>825</v>
      </c>
      <c r="BD36" s="157">
        <v>0.3472</v>
      </c>
      <c r="BE36" s="157">
        <v>0.7666</v>
      </c>
      <c r="BF36" s="161">
        <v>305</v>
      </c>
      <c r="BG36" s="161" t="s">
        <v>825</v>
      </c>
      <c r="BH36" s="161">
        <v>611</v>
      </c>
      <c r="BI36" s="161">
        <v>278</v>
      </c>
      <c r="BJ36" s="161">
        <v>139</v>
      </c>
      <c r="BK36" s="97"/>
      <c r="BL36" s="97"/>
      <c r="BM36" s="97"/>
      <c r="BN36" s="97"/>
    </row>
    <row r="37" spans="1:66" ht="12.75">
      <c r="A37" s="79" t="s">
        <v>203</v>
      </c>
      <c r="B37" s="79" t="s">
        <v>57</v>
      </c>
      <c r="C37" s="79" t="s">
        <v>335</v>
      </c>
      <c r="D37" s="99">
        <v>4294</v>
      </c>
      <c r="E37" s="99">
        <v>938</v>
      </c>
      <c r="F37" s="99" t="s">
        <v>130</v>
      </c>
      <c r="G37" s="99">
        <v>27</v>
      </c>
      <c r="H37" s="99">
        <v>20</v>
      </c>
      <c r="I37" s="99">
        <v>94</v>
      </c>
      <c r="J37" s="99">
        <v>445</v>
      </c>
      <c r="K37" s="99">
        <v>57</v>
      </c>
      <c r="L37" s="99">
        <v>820</v>
      </c>
      <c r="M37" s="99">
        <v>310</v>
      </c>
      <c r="N37" s="99">
        <v>165</v>
      </c>
      <c r="O37" s="99">
        <v>171</v>
      </c>
      <c r="P37" s="158">
        <v>171</v>
      </c>
      <c r="Q37" s="99">
        <v>11</v>
      </c>
      <c r="R37" s="99">
        <v>26</v>
      </c>
      <c r="S37" s="99">
        <v>28</v>
      </c>
      <c r="T37" s="99">
        <v>33</v>
      </c>
      <c r="U37" s="99">
        <v>6</v>
      </c>
      <c r="V37" s="99">
        <v>37</v>
      </c>
      <c r="W37" s="99">
        <v>47</v>
      </c>
      <c r="X37" s="99">
        <v>17</v>
      </c>
      <c r="Y37" s="99">
        <v>61</v>
      </c>
      <c r="Z37" s="99">
        <v>25</v>
      </c>
      <c r="AA37" s="99" t="s">
        <v>825</v>
      </c>
      <c r="AB37" s="99">
        <v>13</v>
      </c>
      <c r="AC37" s="99" t="s">
        <v>825</v>
      </c>
      <c r="AD37" s="98" t="s">
        <v>108</v>
      </c>
      <c r="AE37" s="100">
        <v>0.2184443409408477</v>
      </c>
      <c r="AF37" s="100">
        <v>0.05</v>
      </c>
      <c r="AG37" s="98">
        <v>628.7843502561714</v>
      </c>
      <c r="AH37" s="98">
        <v>465.76618537494176</v>
      </c>
      <c r="AI37" s="100">
        <v>0.0219</v>
      </c>
      <c r="AJ37" s="100">
        <v>0.723577</v>
      </c>
      <c r="AK37" s="100">
        <v>0.678571</v>
      </c>
      <c r="AL37" s="100">
        <v>0.773585</v>
      </c>
      <c r="AM37" s="100">
        <v>0.586011</v>
      </c>
      <c r="AN37" s="100">
        <v>0.608856</v>
      </c>
      <c r="AO37" s="98">
        <v>3982.3008849557523</v>
      </c>
      <c r="AP37" s="157">
        <v>1.6882</v>
      </c>
      <c r="AQ37" s="100">
        <v>0.06432748538011696</v>
      </c>
      <c r="AR37" s="100">
        <v>0.4230769230769231</v>
      </c>
      <c r="AS37" s="98">
        <v>652.0726595249184</v>
      </c>
      <c r="AT37" s="98">
        <v>768.5142058686539</v>
      </c>
      <c r="AU37" s="98">
        <v>139.72985561248254</v>
      </c>
      <c r="AV37" s="98">
        <v>861.6674429436423</v>
      </c>
      <c r="AW37" s="98">
        <v>1094.5505356311132</v>
      </c>
      <c r="AX37" s="98">
        <v>395.9012575687005</v>
      </c>
      <c r="AY37" s="98">
        <v>1420.5868653935725</v>
      </c>
      <c r="AZ37" s="98">
        <v>582.2077317186772</v>
      </c>
      <c r="BA37" s="100" t="s">
        <v>825</v>
      </c>
      <c r="BB37" s="100">
        <v>0.6190476190476191</v>
      </c>
      <c r="BC37" s="100" t="s">
        <v>825</v>
      </c>
      <c r="BD37" s="157">
        <v>1.4446</v>
      </c>
      <c r="BE37" s="157">
        <v>1.9611</v>
      </c>
      <c r="BF37" s="161">
        <v>615</v>
      </c>
      <c r="BG37" s="161">
        <v>84</v>
      </c>
      <c r="BH37" s="161">
        <v>1060</v>
      </c>
      <c r="BI37" s="161">
        <v>529</v>
      </c>
      <c r="BJ37" s="161">
        <v>271</v>
      </c>
      <c r="BK37" s="97"/>
      <c r="BL37" s="97"/>
      <c r="BM37" s="97"/>
      <c r="BN37" s="97"/>
    </row>
    <row r="38" spans="1:66" ht="12.75">
      <c r="A38" s="79" t="s">
        <v>234</v>
      </c>
      <c r="B38" s="79" t="s">
        <v>94</v>
      </c>
      <c r="C38" s="79" t="s">
        <v>335</v>
      </c>
      <c r="D38" s="99">
        <v>2587</v>
      </c>
      <c r="E38" s="99">
        <v>390</v>
      </c>
      <c r="F38" s="99" t="s">
        <v>127</v>
      </c>
      <c r="G38" s="99">
        <v>7</v>
      </c>
      <c r="H38" s="99">
        <v>6</v>
      </c>
      <c r="I38" s="99">
        <v>10</v>
      </c>
      <c r="J38" s="99">
        <v>218</v>
      </c>
      <c r="K38" s="99">
        <v>25</v>
      </c>
      <c r="L38" s="99">
        <v>501</v>
      </c>
      <c r="M38" s="99">
        <v>111</v>
      </c>
      <c r="N38" s="99">
        <v>59</v>
      </c>
      <c r="O38" s="99">
        <v>46</v>
      </c>
      <c r="P38" s="158">
        <v>46</v>
      </c>
      <c r="Q38" s="99">
        <v>10</v>
      </c>
      <c r="R38" s="99">
        <v>12</v>
      </c>
      <c r="S38" s="99">
        <v>11</v>
      </c>
      <c r="T38" s="99">
        <v>9</v>
      </c>
      <c r="U38" s="99" t="s">
        <v>825</v>
      </c>
      <c r="V38" s="99" t="s">
        <v>825</v>
      </c>
      <c r="W38" s="99">
        <v>15</v>
      </c>
      <c r="X38" s="99">
        <v>25</v>
      </c>
      <c r="Y38" s="99">
        <v>30</v>
      </c>
      <c r="Z38" s="99">
        <v>18</v>
      </c>
      <c r="AA38" s="99" t="s">
        <v>825</v>
      </c>
      <c r="AB38" s="99" t="s">
        <v>825</v>
      </c>
      <c r="AC38" s="99" t="s">
        <v>825</v>
      </c>
      <c r="AD38" s="98" t="s">
        <v>108</v>
      </c>
      <c r="AE38" s="100">
        <v>0.1507537688442211</v>
      </c>
      <c r="AF38" s="100">
        <v>0.23</v>
      </c>
      <c r="AG38" s="98">
        <v>270.5836876691148</v>
      </c>
      <c r="AH38" s="98">
        <v>231.92887514495555</v>
      </c>
      <c r="AI38" s="100">
        <v>0.0039000000000000003</v>
      </c>
      <c r="AJ38" s="100">
        <v>0.677019</v>
      </c>
      <c r="AK38" s="100">
        <v>0.806452</v>
      </c>
      <c r="AL38" s="100">
        <v>0.776744</v>
      </c>
      <c r="AM38" s="100">
        <v>0.422053</v>
      </c>
      <c r="AN38" s="100">
        <v>0.415493</v>
      </c>
      <c r="AO38" s="98">
        <v>1778.1213761113258</v>
      </c>
      <c r="AP38" s="157">
        <v>0.8998999999999999</v>
      </c>
      <c r="AQ38" s="100">
        <v>0.21739130434782608</v>
      </c>
      <c r="AR38" s="100">
        <v>0.8333333333333334</v>
      </c>
      <c r="AS38" s="98">
        <v>425.2029377657518</v>
      </c>
      <c r="AT38" s="98">
        <v>347.89331271743333</v>
      </c>
      <c r="AU38" s="98" t="s">
        <v>825</v>
      </c>
      <c r="AV38" s="98" t="s">
        <v>825</v>
      </c>
      <c r="AW38" s="98">
        <v>579.8221878623889</v>
      </c>
      <c r="AX38" s="98">
        <v>966.3703131039814</v>
      </c>
      <c r="AY38" s="98">
        <v>1159.6443757247778</v>
      </c>
      <c r="AZ38" s="98">
        <v>695.7866254348667</v>
      </c>
      <c r="BA38" s="100" t="s">
        <v>825</v>
      </c>
      <c r="BB38" s="100" t="s">
        <v>825</v>
      </c>
      <c r="BC38" s="100" t="s">
        <v>825</v>
      </c>
      <c r="BD38" s="157">
        <v>0.6587999999999999</v>
      </c>
      <c r="BE38" s="157">
        <v>1.2003</v>
      </c>
      <c r="BF38" s="161">
        <v>322</v>
      </c>
      <c r="BG38" s="161">
        <v>31</v>
      </c>
      <c r="BH38" s="161">
        <v>645</v>
      </c>
      <c r="BI38" s="161">
        <v>263</v>
      </c>
      <c r="BJ38" s="161">
        <v>142</v>
      </c>
      <c r="BK38" s="97"/>
      <c r="BL38" s="97"/>
      <c r="BM38" s="97"/>
      <c r="BN38" s="97"/>
    </row>
    <row r="39" spans="1:66" ht="12.75">
      <c r="A39" s="79" t="s">
        <v>240</v>
      </c>
      <c r="B39" s="79" t="s">
        <v>100</v>
      </c>
      <c r="C39" s="79" t="s">
        <v>335</v>
      </c>
      <c r="D39" s="99">
        <v>2237</v>
      </c>
      <c r="E39" s="99">
        <v>182</v>
      </c>
      <c r="F39" s="99" t="s">
        <v>127</v>
      </c>
      <c r="G39" s="99">
        <v>11</v>
      </c>
      <c r="H39" s="99" t="s">
        <v>825</v>
      </c>
      <c r="I39" s="99">
        <v>29</v>
      </c>
      <c r="J39" s="99">
        <v>93</v>
      </c>
      <c r="K39" s="99">
        <v>13</v>
      </c>
      <c r="L39" s="99">
        <v>393</v>
      </c>
      <c r="M39" s="99">
        <v>55</v>
      </c>
      <c r="N39" s="99">
        <v>25</v>
      </c>
      <c r="O39" s="99">
        <v>25</v>
      </c>
      <c r="P39" s="158">
        <v>25</v>
      </c>
      <c r="Q39" s="99" t="s">
        <v>825</v>
      </c>
      <c r="R39" s="99">
        <v>7</v>
      </c>
      <c r="S39" s="99" t="s">
        <v>825</v>
      </c>
      <c r="T39" s="99" t="s">
        <v>825</v>
      </c>
      <c r="U39" s="99" t="s">
        <v>825</v>
      </c>
      <c r="V39" s="99" t="s">
        <v>825</v>
      </c>
      <c r="W39" s="99">
        <v>11</v>
      </c>
      <c r="X39" s="99" t="s">
        <v>825</v>
      </c>
      <c r="Y39" s="99">
        <v>10</v>
      </c>
      <c r="Z39" s="99">
        <v>11</v>
      </c>
      <c r="AA39" s="99" t="s">
        <v>825</v>
      </c>
      <c r="AB39" s="99" t="s">
        <v>825</v>
      </c>
      <c r="AC39" s="99" t="s">
        <v>825</v>
      </c>
      <c r="AD39" s="98" t="s">
        <v>108</v>
      </c>
      <c r="AE39" s="100">
        <v>0.0813589628967367</v>
      </c>
      <c r="AF39" s="100">
        <v>0.24</v>
      </c>
      <c r="AG39" s="98">
        <v>491.7299955297273</v>
      </c>
      <c r="AH39" s="98" t="s">
        <v>825</v>
      </c>
      <c r="AI39" s="100">
        <v>0.013000000000000001</v>
      </c>
      <c r="AJ39" s="100">
        <v>0.550296</v>
      </c>
      <c r="AK39" s="100">
        <v>0.684211</v>
      </c>
      <c r="AL39" s="100">
        <v>0.688266</v>
      </c>
      <c r="AM39" s="100">
        <v>0.398551</v>
      </c>
      <c r="AN39" s="100">
        <v>0.347222</v>
      </c>
      <c r="AO39" s="98">
        <v>1117.568171658471</v>
      </c>
      <c r="AP39" s="157">
        <v>0.7585</v>
      </c>
      <c r="AQ39" s="100" t="s">
        <v>825</v>
      </c>
      <c r="AR39" s="100" t="s">
        <v>825</v>
      </c>
      <c r="AS39" s="98" t="s">
        <v>825</v>
      </c>
      <c r="AT39" s="98" t="s">
        <v>825</v>
      </c>
      <c r="AU39" s="98" t="s">
        <v>825</v>
      </c>
      <c r="AV39" s="98" t="s">
        <v>825</v>
      </c>
      <c r="AW39" s="98">
        <v>491.7299955297273</v>
      </c>
      <c r="AX39" s="98" t="s">
        <v>825</v>
      </c>
      <c r="AY39" s="98">
        <v>447.02726866338844</v>
      </c>
      <c r="AZ39" s="98">
        <v>491.7299955297273</v>
      </c>
      <c r="BA39" s="100" t="s">
        <v>825</v>
      </c>
      <c r="BB39" s="100" t="s">
        <v>825</v>
      </c>
      <c r="BC39" s="100" t="s">
        <v>825</v>
      </c>
      <c r="BD39" s="157">
        <v>0.49079999999999996</v>
      </c>
      <c r="BE39" s="157">
        <v>1.1197</v>
      </c>
      <c r="BF39" s="161">
        <v>169</v>
      </c>
      <c r="BG39" s="161">
        <v>19</v>
      </c>
      <c r="BH39" s="161">
        <v>571</v>
      </c>
      <c r="BI39" s="161">
        <v>138</v>
      </c>
      <c r="BJ39" s="161">
        <v>72</v>
      </c>
      <c r="BK39" s="97"/>
      <c r="BL39" s="97"/>
      <c r="BM39" s="97"/>
      <c r="BN39" s="97"/>
    </row>
    <row r="40" spans="1:66" ht="12.75">
      <c r="A40" s="79" t="s">
        <v>210</v>
      </c>
      <c r="B40" s="79" t="s">
        <v>66</v>
      </c>
      <c r="C40" s="79" t="s">
        <v>335</v>
      </c>
      <c r="D40" s="99">
        <v>7197</v>
      </c>
      <c r="E40" s="99">
        <v>911</v>
      </c>
      <c r="F40" s="99" t="s">
        <v>127</v>
      </c>
      <c r="G40" s="99">
        <v>29</v>
      </c>
      <c r="H40" s="99">
        <v>11</v>
      </c>
      <c r="I40" s="99">
        <v>52</v>
      </c>
      <c r="J40" s="99">
        <v>448</v>
      </c>
      <c r="K40" s="99">
        <v>73</v>
      </c>
      <c r="L40" s="99">
        <v>1361</v>
      </c>
      <c r="M40" s="99">
        <v>249</v>
      </c>
      <c r="N40" s="99">
        <v>136</v>
      </c>
      <c r="O40" s="99">
        <v>79</v>
      </c>
      <c r="P40" s="158">
        <v>79</v>
      </c>
      <c r="Q40" s="99">
        <v>10</v>
      </c>
      <c r="R40" s="99">
        <v>26</v>
      </c>
      <c r="S40" s="99">
        <v>17</v>
      </c>
      <c r="T40" s="99">
        <v>6</v>
      </c>
      <c r="U40" s="99" t="s">
        <v>825</v>
      </c>
      <c r="V40" s="99" t="s">
        <v>825</v>
      </c>
      <c r="W40" s="99">
        <v>51</v>
      </c>
      <c r="X40" s="99">
        <v>14</v>
      </c>
      <c r="Y40" s="99">
        <v>78</v>
      </c>
      <c r="Z40" s="99">
        <v>32</v>
      </c>
      <c r="AA40" s="99">
        <v>11</v>
      </c>
      <c r="AB40" s="99">
        <v>11</v>
      </c>
      <c r="AC40" s="99">
        <v>10</v>
      </c>
      <c r="AD40" s="98" t="s">
        <v>108</v>
      </c>
      <c r="AE40" s="100">
        <v>0.12658051966096984</v>
      </c>
      <c r="AF40" s="100">
        <v>0.24</v>
      </c>
      <c r="AG40" s="98">
        <v>402.94567180769764</v>
      </c>
      <c r="AH40" s="98">
        <v>152.8414617201612</v>
      </c>
      <c r="AI40" s="100">
        <v>0.0072</v>
      </c>
      <c r="AJ40" s="100">
        <v>0.631876</v>
      </c>
      <c r="AK40" s="100">
        <v>0.722772</v>
      </c>
      <c r="AL40" s="100">
        <v>0.744122</v>
      </c>
      <c r="AM40" s="100">
        <v>0.433043</v>
      </c>
      <c r="AN40" s="100">
        <v>0.442997</v>
      </c>
      <c r="AO40" s="98">
        <v>1097.6795887175213</v>
      </c>
      <c r="AP40" s="157">
        <v>0.6327</v>
      </c>
      <c r="AQ40" s="100">
        <v>0.12658227848101267</v>
      </c>
      <c r="AR40" s="100">
        <v>0.38461538461538464</v>
      </c>
      <c r="AS40" s="98">
        <v>236.20953174934002</v>
      </c>
      <c r="AT40" s="98">
        <v>83.36807002917882</v>
      </c>
      <c r="AU40" s="98" t="s">
        <v>825</v>
      </c>
      <c r="AV40" s="98" t="s">
        <v>825</v>
      </c>
      <c r="AW40" s="98">
        <v>708.62859524802</v>
      </c>
      <c r="AX40" s="98">
        <v>194.5254967347506</v>
      </c>
      <c r="AY40" s="98">
        <v>1083.7849103793246</v>
      </c>
      <c r="AZ40" s="98">
        <v>444.62970682228706</v>
      </c>
      <c r="BA40" s="100">
        <v>0.34375</v>
      </c>
      <c r="BB40" s="100">
        <v>0.34375</v>
      </c>
      <c r="BC40" s="100">
        <v>0.3125</v>
      </c>
      <c r="BD40" s="157">
        <v>0.5009</v>
      </c>
      <c r="BE40" s="157">
        <v>0.7885</v>
      </c>
      <c r="BF40" s="161">
        <v>709</v>
      </c>
      <c r="BG40" s="161">
        <v>101</v>
      </c>
      <c r="BH40" s="161">
        <v>1829</v>
      </c>
      <c r="BI40" s="161">
        <v>575</v>
      </c>
      <c r="BJ40" s="161">
        <v>307</v>
      </c>
      <c r="BK40" s="97"/>
      <c r="BL40" s="97"/>
      <c r="BM40" s="97"/>
      <c r="BN40" s="97"/>
    </row>
    <row r="41" spans="1:66" ht="12.75">
      <c r="A41" s="79" t="s">
        <v>209</v>
      </c>
      <c r="B41" s="79" t="s">
        <v>65</v>
      </c>
      <c r="C41" s="79" t="s">
        <v>335</v>
      </c>
      <c r="D41" s="99">
        <v>6945</v>
      </c>
      <c r="E41" s="99">
        <v>1111</v>
      </c>
      <c r="F41" s="99" t="s">
        <v>127</v>
      </c>
      <c r="G41" s="99">
        <v>43</v>
      </c>
      <c r="H41" s="99">
        <v>14</v>
      </c>
      <c r="I41" s="99">
        <v>86</v>
      </c>
      <c r="J41" s="99">
        <v>518</v>
      </c>
      <c r="K41" s="99">
        <v>65</v>
      </c>
      <c r="L41" s="99">
        <v>1304</v>
      </c>
      <c r="M41" s="99">
        <v>302</v>
      </c>
      <c r="N41" s="99">
        <v>165</v>
      </c>
      <c r="O41" s="99">
        <v>149</v>
      </c>
      <c r="P41" s="158">
        <v>149</v>
      </c>
      <c r="Q41" s="99">
        <v>12</v>
      </c>
      <c r="R41" s="99">
        <v>25</v>
      </c>
      <c r="S41" s="99">
        <v>25</v>
      </c>
      <c r="T41" s="99">
        <v>12</v>
      </c>
      <c r="U41" s="99">
        <v>9</v>
      </c>
      <c r="V41" s="99">
        <v>24</v>
      </c>
      <c r="W41" s="99">
        <v>64</v>
      </c>
      <c r="X41" s="99">
        <v>35</v>
      </c>
      <c r="Y41" s="99">
        <v>90</v>
      </c>
      <c r="Z41" s="99">
        <v>27</v>
      </c>
      <c r="AA41" s="99" t="s">
        <v>825</v>
      </c>
      <c r="AB41" s="99">
        <v>17</v>
      </c>
      <c r="AC41" s="99" t="s">
        <v>825</v>
      </c>
      <c r="AD41" s="98" t="s">
        <v>108</v>
      </c>
      <c r="AE41" s="100">
        <v>0.1599712023038157</v>
      </c>
      <c r="AF41" s="100">
        <v>0.24</v>
      </c>
      <c r="AG41" s="98">
        <v>619.150467962563</v>
      </c>
      <c r="AH41" s="98">
        <v>201.58387329013678</v>
      </c>
      <c r="AI41" s="100">
        <v>0.0124</v>
      </c>
      <c r="AJ41" s="100">
        <v>0.65404</v>
      </c>
      <c r="AK41" s="100">
        <v>0.755814</v>
      </c>
      <c r="AL41" s="100">
        <v>0.781306</v>
      </c>
      <c r="AM41" s="100">
        <v>0.434532</v>
      </c>
      <c r="AN41" s="100">
        <v>0.444744</v>
      </c>
      <c r="AO41" s="98">
        <v>2145.4283657307415</v>
      </c>
      <c r="AP41" s="157">
        <v>1.1046</v>
      </c>
      <c r="AQ41" s="100">
        <v>0.08053691275167785</v>
      </c>
      <c r="AR41" s="100">
        <v>0.48</v>
      </c>
      <c r="AS41" s="98">
        <v>359.9712023038157</v>
      </c>
      <c r="AT41" s="98">
        <v>172.78617710583154</v>
      </c>
      <c r="AU41" s="98">
        <v>129.58963282937364</v>
      </c>
      <c r="AV41" s="98">
        <v>345.5723542116631</v>
      </c>
      <c r="AW41" s="98">
        <v>921.5262778977682</v>
      </c>
      <c r="AX41" s="98">
        <v>503.95968322534196</v>
      </c>
      <c r="AY41" s="98">
        <v>1295.8963282937366</v>
      </c>
      <c r="AZ41" s="98">
        <v>388.76889848812095</v>
      </c>
      <c r="BA41" s="100" t="s">
        <v>825</v>
      </c>
      <c r="BB41" s="100">
        <v>0.6071428571428571</v>
      </c>
      <c r="BC41" s="100" t="s">
        <v>825</v>
      </c>
      <c r="BD41" s="157">
        <v>0.9344</v>
      </c>
      <c r="BE41" s="157">
        <v>1.2969</v>
      </c>
      <c r="BF41" s="161">
        <v>792</v>
      </c>
      <c r="BG41" s="161">
        <v>86</v>
      </c>
      <c r="BH41" s="161">
        <v>1669</v>
      </c>
      <c r="BI41" s="161">
        <v>695</v>
      </c>
      <c r="BJ41" s="161">
        <v>371</v>
      </c>
      <c r="BK41" s="97"/>
      <c r="BL41" s="97"/>
      <c r="BM41" s="97"/>
      <c r="BN41" s="97"/>
    </row>
    <row r="42" spans="1:66" ht="12.75">
      <c r="A42" s="79" t="s">
        <v>222</v>
      </c>
      <c r="B42" s="79" t="s">
        <v>80</v>
      </c>
      <c r="C42" s="79" t="s">
        <v>335</v>
      </c>
      <c r="D42" s="99">
        <v>1684</v>
      </c>
      <c r="E42" s="99">
        <v>405</v>
      </c>
      <c r="F42" s="99" t="s">
        <v>130</v>
      </c>
      <c r="G42" s="99">
        <v>10</v>
      </c>
      <c r="H42" s="99" t="s">
        <v>825</v>
      </c>
      <c r="I42" s="99">
        <v>45</v>
      </c>
      <c r="J42" s="99">
        <v>196</v>
      </c>
      <c r="K42" s="99">
        <v>14</v>
      </c>
      <c r="L42" s="99">
        <v>286</v>
      </c>
      <c r="M42" s="99">
        <v>170</v>
      </c>
      <c r="N42" s="99">
        <v>91</v>
      </c>
      <c r="O42" s="99">
        <v>55</v>
      </c>
      <c r="P42" s="158">
        <v>55</v>
      </c>
      <c r="Q42" s="99" t="s">
        <v>825</v>
      </c>
      <c r="R42" s="99">
        <v>8</v>
      </c>
      <c r="S42" s="99">
        <v>14</v>
      </c>
      <c r="T42" s="99" t="s">
        <v>825</v>
      </c>
      <c r="U42" s="99" t="s">
        <v>825</v>
      </c>
      <c r="V42" s="99">
        <v>11</v>
      </c>
      <c r="W42" s="99">
        <v>15</v>
      </c>
      <c r="X42" s="99">
        <v>8</v>
      </c>
      <c r="Y42" s="99">
        <v>22</v>
      </c>
      <c r="Z42" s="99">
        <v>11</v>
      </c>
      <c r="AA42" s="99" t="s">
        <v>825</v>
      </c>
      <c r="AB42" s="99" t="s">
        <v>825</v>
      </c>
      <c r="AC42" s="99" t="s">
        <v>825</v>
      </c>
      <c r="AD42" s="98" t="s">
        <v>108</v>
      </c>
      <c r="AE42" s="100">
        <v>0.24049881235154394</v>
      </c>
      <c r="AF42" s="100">
        <v>0.05</v>
      </c>
      <c r="AG42" s="98">
        <v>593.8242280285035</v>
      </c>
      <c r="AH42" s="98" t="s">
        <v>825</v>
      </c>
      <c r="AI42" s="100">
        <v>0.026699999999999998</v>
      </c>
      <c r="AJ42" s="100">
        <v>0.777778</v>
      </c>
      <c r="AK42" s="100">
        <v>0.636364</v>
      </c>
      <c r="AL42" s="100">
        <v>0.764706</v>
      </c>
      <c r="AM42" s="100">
        <v>0.594406</v>
      </c>
      <c r="AN42" s="100">
        <v>0.594771</v>
      </c>
      <c r="AO42" s="98">
        <v>3266.0332541567695</v>
      </c>
      <c r="AP42" s="157">
        <v>1.3516</v>
      </c>
      <c r="AQ42" s="100" t="s">
        <v>825</v>
      </c>
      <c r="AR42" s="100" t="s">
        <v>825</v>
      </c>
      <c r="AS42" s="98">
        <v>831.3539192399049</v>
      </c>
      <c r="AT42" s="98" t="s">
        <v>825</v>
      </c>
      <c r="AU42" s="98" t="s">
        <v>825</v>
      </c>
      <c r="AV42" s="98">
        <v>653.206650831354</v>
      </c>
      <c r="AW42" s="98">
        <v>890.7363420427554</v>
      </c>
      <c r="AX42" s="98">
        <v>475.05938242280286</v>
      </c>
      <c r="AY42" s="98">
        <v>1306.413301662708</v>
      </c>
      <c r="AZ42" s="98">
        <v>653.206650831354</v>
      </c>
      <c r="BA42" s="100" t="s">
        <v>825</v>
      </c>
      <c r="BB42" s="100" t="s">
        <v>825</v>
      </c>
      <c r="BC42" s="100" t="s">
        <v>825</v>
      </c>
      <c r="BD42" s="157">
        <v>1.0182</v>
      </c>
      <c r="BE42" s="157">
        <v>1.7591999999999999</v>
      </c>
      <c r="BF42" s="161">
        <v>252</v>
      </c>
      <c r="BG42" s="161">
        <v>22</v>
      </c>
      <c r="BH42" s="161">
        <v>374</v>
      </c>
      <c r="BI42" s="161">
        <v>286</v>
      </c>
      <c r="BJ42" s="161">
        <v>153</v>
      </c>
      <c r="BK42" s="97"/>
      <c r="BL42" s="97"/>
      <c r="BM42" s="97"/>
      <c r="BN42" s="97"/>
    </row>
    <row r="43" spans="1:66" ht="12.75">
      <c r="A43" s="79" t="s">
        <v>216</v>
      </c>
      <c r="B43" s="79" t="s">
        <v>72</v>
      </c>
      <c r="C43" s="79" t="s">
        <v>335</v>
      </c>
      <c r="D43" s="99">
        <v>10630</v>
      </c>
      <c r="E43" s="99">
        <v>1852</v>
      </c>
      <c r="F43" s="99" t="s">
        <v>126</v>
      </c>
      <c r="G43" s="99">
        <v>53</v>
      </c>
      <c r="H43" s="99">
        <v>40</v>
      </c>
      <c r="I43" s="99">
        <v>139</v>
      </c>
      <c r="J43" s="99">
        <v>988</v>
      </c>
      <c r="K43" s="99">
        <v>423</v>
      </c>
      <c r="L43" s="99">
        <v>1840</v>
      </c>
      <c r="M43" s="99">
        <v>602</v>
      </c>
      <c r="N43" s="99">
        <v>312</v>
      </c>
      <c r="O43" s="99">
        <v>214</v>
      </c>
      <c r="P43" s="158">
        <v>214</v>
      </c>
      <c r="Q43" s="99">
        <v>17</v>
      </c>
      <c r="R43" s="99">
        <v>51</v>
      </c>
      <c r="S43" s="99">
        <v>45</v>
      </c>
      <c r="T43" s="99">
        <v>43</v>
      </c>
      <c r="U43" s="99">
        <v>7</v>
      </c>
      <c r="V43" s="99">
        <v>40</v>
      </c>
      <c r="W43" s="99">
        <v>72</v>
      </c>
      <c r="X43" s="99">
        <v>41</v>
      </c>
      <c r="Y43" s="99">
        <v>109</v>
      </c>
      <c r="Z43" s="99">
        <v>82</v>
      </c>
      <c r="AA43" s="99">
        <v>26</v>
      </c>
      <c r="AB43" s="99">
        <v>28</v>
      </c>
      <c r="AC43" s="99">
        <v>16</v>
      </c>
      <c r="AD43" s="98" t="s">
        <v>108</v>
      </c>
      <c r="AE43" s="100">
        <v>0.1742238946378175</v>
      </c>
      <c r="AF43" s="100">
        <v>0.15</v>
      </c>
      <c r="AG43" s="98">
        <v>498.58889934148635</v>
      </c>
      <c r="AH43" s="98">
        <v>376.29350893697085</v>
      </c>
      <c r="AI43" s="100">
        <v>0.0131</v>
      </c>
      <c r="AJ43" s="100">
        <v>0.735666</v>
      </c>
      <c r="AK43" s="100">
        <v>0.719388</v>
      </c>
      <c r="AL43" s="100">
        <v>0.69121</v>
      </c>
      <c r="AM43" s="100">
        <v>0.518519</v>
      </c>
      <c r="AN43" s="100">
        <v>0.530612</v>
      </c>
      <c r="AO43" s="98">
        <v>2013.1702728127939</v>
      </c>
      <c r="AP43" s="157">
        <v>0.9837</v>
      </c>
      <c r="AQ43" s="100">
        <v>0.0794392523364486</v>
      </c>
      <c r="AR43" s="100">
        <v>0.3333333333333333</v>
      </c>
      <c r="AS43" s="98">
        <v>423.3301975540922</v>
      </c>
      <c r="AT43" s="98">
        <v>404.51552210724367</v>
      </c>
      <c r="AU43" s="98">
        <v>65.8513640639699</v>
      </c>
      <c r="AV43" s="98">
        <v>376.29350893697085</v>
      </c>
      <c r="AW43" s="98">
        <v>677.3283160865475</v>
      </c>
      <c r="AX43" s="98">
        <v>385.7008466603951</v>
      </c>
      <c r="AY43" s="98">
        <v>1025.3998118532456</v>
      </c>
      <c r="AZ43" s="98">
        <v>771.4016933207902</v>
      </c>
      <c r="BA43" s="100">
        <v>0.37142857142857144</v>
      </c>
      <c r="BB43" s="100">
        <v>0.4</v>
      </c>
      <c r="BC43" s="100">
        <v>0.22857142857142856</v>
      </c>
      <c r="BD43" s="157">
        <v>0.8563</v>
      </c>
      <c r="BE43" s="157">
        <v>1.1247</v>
      </c>
      <c r="BF43" s="161">
        <v>1343</v>
      </c>
      <c r="BG43" s="161">
        <v>588</v>
      </c>
      <c r="BH43" s="161">
        <v>2662</v>
      </c>
      <c r="BI43" s="161">
        <v>1161</v>
      </c>
      <c r="BJ43" s="161">
        <v>588</v>
      </c>
      <c r="BK43" s="97"/>
      <c r="BL43" s="97"/>
      <c r="BM43" s="97"/>
      <c r="BN43" s="97"/>
    </row>
    <row r="44" spans="1:66" ht="12.75">
      <c r="A44" s="79" t="s">
        <v>207</v>
      </c>
      <c r="B44" s="79" t="s">
        <v>63</v>
      </c>
      <c r="C44" s="79" t="s">
        <v>335</v>
      </c>
      <c r="D44" s="99">
        <v>10087</v>
      </c>
      <c r="E44" s="99">
        <v>1776</v>
      </c>
      <c r="F44" s="99" t="s">
        <v>129</v>
      </c>
      <c r="G44" s="99">
        <v>54</v>
      </c>
      <c r="H44" s="99">
        <v>30</v>
      </c>
      <c r="I44" s="99">
        <v>96</v>
      </c>
      <c r="J44" s="99">
        <v>784</v>
      </c>
      <c r="K44" s="99">
        <v>105</v>
      </c>
      <c r="L44" s="99">
        <v>1883</v>
      </c>
      <c r="M44" s="99">
        <v>497</v>
      </c>
      <c r="N44" s="99">
        <v>272</v>
      </c>
      <c r="O44" s="99">
        <v>314</v>
      </c>
      <c r="P44" s="158">
        <v>314</v>
      </c>
      <c r="Q44" s="99">
        <v>21</v>
      </c>
      <c r="R44" s="99">
        <v>41</v>
      </c>
      <c r="S44" s="99">
        <v>82</v>
      </c>
      <c r="T44" s="99">
        <v>79</v>
      </c>
      <c r="U44" s="99">
        <v>7</v>
      </c>
      <c r="V44" s="99">
        <v>25</v>
      </c>
      <c r="W44" s="99">
        <v>121</v>
      </c>
      <c r="X44" s="99">
        <v>45</v>
      </c>
      <c r="Y44" s="99">
        <v>162</v>
      </c>
      <c r="Z44" s="99">
        <v>87</v>
      </c>
      <c r="AA44" s="99">
        <v>12</v>
      </c>
      <c r="AB44" s="99">
        <v>14</v>
      </c>
      <c r="AC44" s="99">
        <v>19</v>
      </c>
      <c r="AD44" s="98" t="s">
        <v>108</v>
      </c>
      <c r="AE44" s="100">
        <v>0.17606820660255776</v>
      </c>
      <c r="AF44" s="100">
        <v>0.14</v>
      </c>
      <c r="AG44" s="98">
        <v>535.3425200753445</v>
      </c>
      <c r="AH44" s="98">
        <v>297.41251115296916</v>
      </c>
      <c r="AI44" s="100">
        <v>0.0095</v>
      </c>
      <c r="AJ44" s="100">
        <v>0.698752</v>
      </c>
      <c r="AK44" s="100">
        <v>0.664557</v>
      </c>
      <c r="AL44" s="100">
        <v>0.736986</v>
      </c>
      <c r="AM44" s="100">
        <v>0.511843</v>
      </c>
      <c r="AN44" s="100">
        <v>0.536489</v>
      </c>
      <c r="AO44" s="98">
        <v>3112.917616734411</v>
      </c>
      <c r="AP44" s="157">
        <v>1.5421</v>
      </c>
      <c r="AQ44" s="100">
        <v>0.06687898089171974</v>
      </c>
      <c r="AR44" s="100">
        <v>0.5121951219512195</v>
      </c>
      <c r="AS44" s="98">
        <v>812.9275304847824</v>
      </c>
      <c r="AT44" s="98">
        <v>783.1862793694855</v>
      </c>
      <c r="AU44" s="98">
        <v>69.39625260235947</v>
      </c>
      <c r="AV44" s="98">
        <v>247.84375929414097</v>
      </c>
      <c r="AW44" s="98">
        <v>1199.5637949836423</v>
      </c>
      <c r="AX44" s="98">
        <v>446.11876672945374</v>
      </c>
      <c r="AY44" s="98">
        <v>1606.0275602260335</v>
      </c>
      <c r="AZ44" s="98">
        <v>862.4962823436106</v>
      </c>
      <c r="BA44" s="100">
        <v>0.26666666666666666</v>
      </c>
      <c r="BB44" s="100">
        <v>0.3111111111111111</v>
      </c>
      <c r="BC44" s="100">
        <v>0.4222222222222222</v>
      </c>
      <c r="BD44" s="157">
        <v>1.3762999999999999</v>
      </c>
      <c r="BE44" s="157">
        <v>1.7225</v>
      </c>
      <c r="BF44" s="161">
        <v>1122</v>
      </c>
      <c r="BG44" s="161">
        <v>158</v>
      </c>
      <c r="BH44" s="161">
        <v>2555</v>
      </c>
      <c r="BI44" s="161">
        <v>971</v>
      </c>
      <c r="BJ44" s="161">
        <v>507</v>
      </c>
      <c r="BK44" s="97"/>
      <c r="BL44" s="97"/>
      <c r="BM44" s="97"/>
      <c r="BN44" s="97"/>
    </row>
    <row r="45" spans="1:66" ht="12.75">
      <c r="A45" s="79" t="s">
        <v>204</v>
      </c>
      <c r="B45" s="79" t="s">
        <v>60</v>
      </c>
      <c r="C45" s="79" t="s">
        <v>335</v>
      </c>
      <c r="D45" s="99">
        <v>14692</v>
      </c>
      <c r="E45" s="99">
        <v>2626</v>
      </c>
      <c r="F45" s="99" t="s">
        <v>128</v>
      </c>
      <c r="G45" s="99">
        <v>80</v>
      </c>
      <c r="H45" s="99">
        <v>46</v>
      </c>
      <c r="I45" s="99">
        <v>268</v>
      </c>
      <c r="J45" s="99">
        <v>1546</v>
      </c>
      <c r="K45" s="99">
        <v>120</v>
      </c>
      <c r="L45" s="99">
        <v>2960</v>
      </c>
      <c r="M45" s="99">
        <v>955</v>
      </c>
      <c r="N45" s="99">
        <v>530</v>
      </c>
      <c r="O45" s="99">
        <v>523</v>
      </c>
      <c r="P45" s="158">
        <v>523</v>
      </c>
      <c r="Q45" s="99">
        <v>40</v>
      </c>
      <c r="R45" s="99">
        <v>60</v>
      </c>
      <c r="S45" s="99">
        <v>63</v>
      </c>
      <c r="T45" s="99">
        <v>96</v>
      </c>
      <c r="U45" s="99">
        <v>15</v>
      </c>
      <c r="V45" s="99">
        <v>95</v>
      </c>
      <c r="W45" s="99">
        <v>168</v>
      </c>
      <c r="X45" s="99">
        <v>86</v>
      </c>
      <c r="Y45" s="99">
        <v>207</v>
      </c>
      <c r="Z45" s="99">
        <v>98</v>
      </c>
      <c r="AA45" s="99">
        <v>20</v>
      </c>
      <c r="AB45" s="99">
        <v>40</v>
      </c>
      <c r="AC45" s="99">
        <v>20</v>
      </c>
      <c r="AD45" s="98" t="s">
        <v>108</v>
      </c>
      <c r="AE45" s="100">
        <v>0.17873672747073238</v>
      </c>
      <c r="AF45" s="100">
        <v>0.1</v>
      </c>
      <c r="AG45" s="98">
        <v>544.5140212360468</v>
      </c>
      <c r="AH45" s="98">
        <v>313.09556221072694</v>
      </c>
      <c r="AI45" s="100">
        <v>0.0182</v>
      </c>
      <c r="AJ45" s="100">
        <v>0.730969</v>
      </c>
      <c r="AK45" s="100">
        <v>0.681818</v>
      </c>
      <c r="AL45" s="100">
        <v>0.803474</v>
      </c>
      <c r="AM45" s="100">
        <v>0.561434</v>
      </c>
      <c r="AN45" s="100">
        <v>0.580504</v>
      </c>
      <c r="AO45" s="98">
        <v>3559.760413830656</v>
      </c>
      <c r="AP45" s="157">
        <v>1.6568</v>
      </c>
      <c r="AQ45" s="100">
        <v>0.07648183556405354</v>
      </c>
      <c r="AR45" s="100">
        <v>0.6666666666666666</v>
      </c>
      <c r="AS45" s="98">
        <v>428.80479172338687</v>
      </c>
      <c r="AT45" s="98">
        <v>653.4168254832562</v>
      </c>
      <c r="AU45" s="98">
        <v>102.09637898175878</v>
      </c>
      <c r="AV45" s="98">
        <v>646.6104002178056</v>
      </c>
      <c r="AW45" s="98">
        <v>1143.4794445956984</v>
      </c>
      <c r="AX45" s="98">
        <v>585.3525728287503</v>
      </c>
      <c r="AY45" s="98">
        <v>1408.930029948271</v>
      </c>
      <c r="AZ45" s="98">
        <v>667.0296760141574</v>
      </c>
      <c r="BA45" s="101">
        <v>0.25</v>
      </c>
      <c r="BB45" s="101">
        <v>0.5</v>
      </c>
      <c r="BC45" s="101">
        <v>0.25</v>
      </c>
      <c r="BD45" s="157">
        <v>1.5178</v>
      </c>
      <c r="BE45" s="157">
        <v>1.805</v>
      </c>
      <c r="BF45" s="161">
        <v>2115</v>
      </c>
      <c r="BG45" s="161">
        <v>176</v>
      </c>
      <c r="BH45" s="161">
        <v>3684</v>
      </c>
      <c r="BI45" s="161">
        <v>1701</v>
      </c>
      <c r="BJ45" s="161">
        <v>913</v>
      </c>
      <c r="BK45" s="97"/>
      <c r="BL45" s="97"/>
      <c r="BM45" s="97"/>
      <c r="BN45" s="97"/>
    </row>
    <row r="46" spans="1:66" ht="12.75">
      <c r="A46" s="79" t="s">
        <v>205</v>
      </c>
      <c r="B46" s="79" t="s">
        <v>61</v>
      </c>
      <c r="C46" s="79" t="s">
        <v>335</v>
      </c>
      <c r="D46" s="99">
        <v>12592</v>
      </c>
      <c r="E46" s="99">
        <v>2480</v>
      </c>
      <c r="F46" s="99" t="s">
        <v>129</v>
      </c>
      <c r="G46" s="99">
        <v>64</v>
      </c>
      <c r="H46" s="99">
        <v>31</v>
      </c>
      <c r="I46" s="99">
        <v>295</v>
      </c>
      <c r="J46" s="99">
        <v>1386</v>
      </c>
      <c r="K46" s="99">
        <v>344</v>
      </c>
      <c r="L46" s="99">
        <v>2334</v>
      </c>
      <c r="M46" s="99">
        <v>914</v>
      </c>
      <c r="N46" s="99">
        <v>499</v>
      </c>
      <c r="O46" s="99">
        <v>317</v>
      </c>
      <c r="P46" s="158">
        <v>317</v>
      </c>
      <c r="Q46" s="99">
        <v>36</v>
      </c>
      <c r="R46" s="99">
        <v>68</v>
      </c>
      <c r="S46" s="99">
        <v>29</v>
      </c>
      <c r="T46" s="99">
        <v>55</v>
      </c>
      <c r="U46" s="99">
        <v>17</v>
      </c>
      <c r="V46" s="99">
        <v>29</v>
      </c>
      <c r="W46" s="99">
        <v>112</v>
      </c>
      <c r="X46" s="99">
        <v>52</v>
      </c>
      <c r="Y46" s="99">
        <v>155</v>
      </c>
      <c r="Z46" s="99">
        <v>82</v>
      </c>
      <c r="AA46" s="99">
        <v>14</v>
      </c>
      <c r="AB46" s="99">
        <v>26</v>
      </c>
      <c r="AC46" s="99">
        <v>10</v>
      </c>
      <c r="AD46" s="98" t="s">
        <v>108</v>
      </c>
      <c r="AE46" s="100">
        <v>0.19695044472681067</v>
      </c>
      <c r="AF46" s="100">
        <v>0.12</v>
      </c>
      <c r="AG46" s="98">
        <v>508.2592121982211</v>
      </c>
      <c r="AH46" s="98">
        <v>246.18805590851335</v>
      </c>
      <c r="AI46" s="100">
        <v>0.023399999999999997</v>
      </c>
      <c r="AJ46" s="100">
        <v>0.803478</v>
      </c>
      <c r="AK46" s="100">
        <v>0.796296</v>
      </c>
      <c r="AL46" s="100">
        <v>0.743312</v>
      </c>
      <c r="AM46" s="100">
        <v>0.584773</v>
      </c>
      <c r="AN46" s="100">
        <v>0.59904</v>
      </c>
      <c r="AO46" s="98">
        <v>2517.471410419314</v>
      </c>
      <c r="AP46" s="157">
        <v>1.1551</v>
      </c>
      <c r="AQ46" s="100">
        <v>0.11356466876971609</v>
      </c>
      <c r="AR46" s="100">
        <v>0.5294117647058824</v>
      </c>
      <c r="AS46" s="98">
        <v>230.30495552731892</v>
      </c>
      <c r="AT46" s="98">
        <v>436.78526048284624</v>
      </c>
      <c r="AU46" s="98">
        <v>135.00635324015246</v>
      </c>
      <c r="AV46" s="98">
        <v>230.30495552731892</v>
      </c>
      <c r="AW46" s="98">
        <v>889.453621346887</v>
      </c>
      <c r="AX46" s="98">
        <v>412.96060991105463</v>
      </c>
      <c r="AY46" s="98">
        <v>1230.9402795425667</v>
      </c>
      <c r="AZ46" s="98">
        <v>651.2071156289708</v>
      </c>
      <c r="BA46" s="100">
        <v>0.28</v>
      </c>
      <c r="BB46" s="100">
        <v>0.52</v>
      </c>
      <c r="BC46" s="100">
        <v>0.2</v>
      </c>
      <c r="BD46" s="157">
        <v>1.0314</v>
      </c>
      <c r="BE46" s="157">
        <v>1.2894999999999999</v>
      </c>
      <c r="BF46" s="161">
        <v>1725</v>
      </c>
      <c r="BG46" s="161">
        <v>432</v>
      </c>
      <c r="BH46" s="161">
        <v>3140</v>
      </c>
      <c r="BI46" s="161">
        <v>1563</v>
      </c>
      <c r="BJ46" s="161">
        <v>833</v>
      </c>
      <c r="BK46" s="97"/>
      <c r="BL46" s="97"/>
      <c r="BM46" s="97"/>
      <c r="BN46" s="97"/>
    </row>
    <row r="47" spans="1:66" ht="12.75">
      <c r="A47" s="79" t="s">
        <v>206</v>
      </c>
      <c r="B47" s="79" t="s">
        <v>62</v>
      </c>
      <c r="C47" s="79" t="s">
        <v>335</v>
      </c>
      <c r="D47" s="99">
        <v>5876</v>
      </c>
      <c r="E47" s="99">
        <v>888</v>
      </c>
      <c r="F47" s="99" t="s">
        <v>127</v>
      </c>
      <c r="G47" s="99">
        <v>27</v>
      </c>
      <c r="H47" s="99">
        <v>12</v>
      </c>
      <c r="I47" s="99">
        <v>50</v>
      </c>
      <c r="J47" s="99">
        <v>452</v>
      </c>
      <c r="K47" s="99">
        <v>71</v>
      </c>
      <c r="L47" s="99">
        <v>985</v>
      </c>
      <c r="M47" s="99">
        <v>275</v>
      </c>
      <c r="N47" s="99">
        <v>139</v>
      </c>
      <c r="O47" s="99">
        <v>228</v>
      </c>
      <c r="P47" s="158">
        <v>228</v>
      </c>
      <c r="Q47" s="99">
        <v>13</v>
      </c>
      <c r="R47" s="99">
        <v>30</v>
      </c>
      <c r="S47" s="99">
        <v>31</v>
      </c>
      <c r="T47" s="99">
        <v>30</v>
      </c>
      <c r="U47" s="99">
        <v>13</v>
      </c>
      <c r="V47" s="99">
        <v>37</v>
      </c>
      <c r="W47" s="99">
        <v>54</v>
      </c>
      <c r="X47" s="99">
        <v>33</v>
      </c>
      <c r="Y47" s="99">
        <v>72</v>
      </c>
      <c r="Z47" s="99">
        <v>46</v>
      </c>
      <c r="AA47" s="99" t="s">
        <v>825</v>
      </c>
      <c r="AB47" s="99">
        <v>15</v>
      </c>
      <c r="AC47" s="99" t="s">
        <v>825</v>
      </c>
      <c r="AD47" s="98" t="s">
        <v>108</v>
      </c>
      <c r="AE47" s="100">
        <v>0.15112321307011573</v>
      </c>
      <c r="AF47" s="100">
        <v>0.23</v>
      </c>
      <c r="AG47" s="98">
        <v>459.49625595643295</v>
      </c>
      <c r="AH47" s="98">
        <v>204.22055820285908</v>
      </c>
      <c r="AI47" s="100">
        <v>0.0085</v>
      </c>
      <c r="AJ47" s="100">
        <v>0.672619</v>
      </c>
      <c r="AK47" s="100">
        <v>0.835294</v>
      </c>
      <c r="AL47" s="100">
        <v>0.736724</v>
      </c>
      <c r="AM47" s="100">
        <v>0.462963</v>
      </c>
      <c r="AN47" s="100">
        <v>0.454248</v>
      </c>
      <c r="AO47" s="98">
        <v>3880.1906058543227</v>
      </c>
      <c r="AP47" s="157">
        <v>1.9975</v>
      </c>
      <c r="AQ47" s="100">
        <v>0.05701754385964912</v>
      </c>
      <c r="AR47" s="100">
        <v>0.43333333333333335</v>
      </c>
      <c r="AS47" s="98">
        <v>527.569775357386</v>
      </c>
      <c r="AT47" s="98">
        <v>510.55139550714773</v>
      </c>
      <c r="AU47" s="98">
        <v>221.23893805309734</v>
      </c>
      <c r="AV47" s="98">
        <v>629.6800544588156</v>
      </c>
      <c r="AW47" s="98">
        <v>918.9925119128659</v>
      </c>
      <c r="AX47" s="98">
        <v>561.6065350578625</v>
      </c>
      <c r="AY47" s="98">
        <v>1225.3233492171546</v>
      </c>
      <c r="AZ47" s="98">
        <v>782.8454731109598</v>
      </c>
      <c r="BA47" s="100" t="s">
        <v>825</v>
      </c>
      <c r="BB47" s="100">
        <v>0.5555555555555556</v>
      </c>
      <c r="BC47" s="100" t="s">
        <v>825</v>
      </c>
      <c r="BD47" s="157">
        <v>1.7467</v>
      </c>
      <c r="BE47" s="157">
        <v>2.2744</v>
      </c>
      <c r="BF47" s="161">
        <v>672</v>
      </c>
      <c r="BG47" s="161">
        <v>85</v>
      </c>
      <c r="BH47" s="161">
        <v>1337</v>
      </c>
      <c r="BI47" s="161">
        <v>594</v>
      </c>
      <c r="BJ47" s="161">
        <v>306</v>
      </c>
      <c r="BK47" s="97"/>
      <c r="BL47" s="97"/>
      <c r="BM47" s="97"/>
      <c r="BN47" s="97"/>
    </row>
    <row r="48" spans="1:66" ht="12.75">
      <c r="A48" s="79" t="s">
        <v>241</v>
      </c>
      <c r="B48" s="79" t="s">
        <v>101</v>
      </c>
      <c r="C48" s="79" t="s">
        <v>335</v>
      </c>
      <c r="D48" s="99">
        <v>2527</v>
      </c>
      <c r="E48" s="99">
        <v>394</v>
      </c>
      <c r="F48" s="99" t="s">
        <v>127</v>
      </c>
      <c r="G48" s="99">
        <v>15</v>
      </c>
      <c r="H48" s="99">
        <v>8</v>
      </c>
      <c r="I48" s="99">
        <v>33</v>
      </c>
      <c r="J48" s="99">
        <v>171</v>
      </c>
      <c r="K48" s="99">
        <v>20</v>
      </c>
      <c r="L48" s="99">
        <v>417</v>
      </c>
      <c r="M48" s="99">
        <v>83</v>
      </c>
      <c r="N48" s="99">
        <v>40</v>
      </c>
      <c r="O48" s="99">
        <v>28</v>
      </c>
      <c r="P48" s="158">
        <v>28</v>
      </c>
      <c r="Q48" s="99" t="s">
        <v>825</v>
      </c>
      <c r="R48" s="99">
        <v>12</v>
      </c>
      <c r="S48" s="99" t="s">
        <v>825</v>
      </c>
      <c r="T48" s="99">
        <v>7</v>
      </c>
      <c r="U48" s="99" t="s">
        <v>825</v>
      </c>
      <c r="V48" s="99">
        <v>6</v>
      </c>
      <c r="W48" s="99">
        <v>18</v>
      </c>
      <c r="X48" s="99">
        <v>12</v>
      </c>
      <c r="Y48" s="99">
        <v>34</v>
      </c>
      <c r="Z48" s="99">
        <v>24</v>
      </c>
      <c r="AA48" s="99" t="s">
        <v>825</v>
      </c>
      <c r="AB48" s="99" t="s">
        <v>825</v>
      </c>
      <c r="AC48" s="99" t="s">
        <v>825</v>
      </c>
      <c r="AD48" s="98" t="s">
        <v>108</v>
      </c>
      <c r="AE48" s="100">
        <v>0.1559161060546102</v>
      </c>
      <c r="AF48" s="100">
        <v>0.23</v>
      </c>
      <c r="AG48" s="98">
        <v>593.589236248516</v>
      </c>
      <c r="AH48" s="98">
        <v>316.58092599920855</v>
      </c>
      <c r="AI48" s="100">
        <v>0.0131</v>
      </c>
      <c r="AJ48" s="100">
        <v>0.655172</v>
      </c>
      <c r="AK48" s="100">
        <v>0.625</v>
      </c>
      <c r="AL48" s="100">
        <v>0.726481</v>
      </c>
      <c r="AM48" s="100">
        <v>0.318008</v>
      </c>
      <c r="AN48" s="100">
        <v>0.298507</v>
      </c>
      <c r="AO48" s="98">
        <v>1108.03324099723</v>
      </c>
      <c r="AP48" s="157">
        <v>0.5868</v>
      </c>
      <c r="AQ48" s="100" t="s">
        <v>825</v>
      </c>
      <c r="AR48" s="100" t="s">
        <v>825</v>
      </c>
      <c r="AS48" s="98" t="s">
        <v>825</v>
      </c>
      <c r="AT48" s="98">
        <v>277.0083102493075</v>
      </c>
      <c r="AU48" s="98" t="s">
        <v>825</v>
      </c>
      <c r="AV48" s="98">
        <v>237.43569449940642</v>
      </c>
      <c r="AW48" s="98">
        <v>712.3070834982192</v>
      </c>
      <c r="AX48" s="98">
        <v>474.87138899881285</v>
      </c>
      <c r="AY48" s="98">
        <v>1345.4689354966363</v>
      </c>
      <c r="AZ48" s="98">
        <v>949.7427779976257</v>
      </c>
      <c r="BA48" s="100" t="s">
        <v>825</v>
      </c>
      <c r="BB48" s="100" t="s">
        <v>825</v>
      </c>
      <c r="BC48" s="100" t="s">
        <v>825</v>
      </c>
      <c r="BD48" s="157">
        <v>0.3899</v>
      </c>
      <c r="BE48" s="157">
        <v>0.8481000000000001</v>
      </c>
      <c r="BF48" s="161">
        <v>261</v>
      </c>
      <c r="BG48" s="161">
        <v>32</v>
      </c>
      <c r="BH48" s="161">
        <v>574</v>
      </c>
      <c r="BI48" s="161">
        <v>261</v>
      </c>
      <c r="BJ48" s="161">
        <v>134</v>
      </c>
      <c r="BK48" s="97"/>
      <c r="BL48" s="97"/>
      <c r="BM48" s="97"/>
      <c r="BN48" s="97"/>
    </row>
    <row r="49" spans="1:66" ht="12.75">
      <c r="A49" s="79" t="s">
        <v>430</v>
      </c>
      <c r="B49" s="79" t="s">
        <v>59</v>
      </c>
      <c r="C49" s="79" t="s">
        <v>335</v>
      </c>
      <c r="D49" s="99">
        <v>12076</v>
      </c>
      <c r="E49" s="99">
        <v>2520</v>
      </c>
      <c r="F49" s="99" t="s">
        <v>128</v>
      </c>
      <c r="G49" s="99">
        <v>65</v>
      </c>
      <c r="H49" s="99">
        <v>37</v>
      </c>
      <c r="I49" s="99">
        <v>280</v>
      </c>
      <c r="J49" s="99">
        <v>1273</v>
      </c>
      <c r="K49" s="99">
        <v>189</v>
      </c>
      <c r="L49" s="99">
        <v>2252</v>
      </c>
      <c r="M49" s="99">
        <v>949</v>
      </c>
      <c r="N49" s="99">
        <v>508</v>
      </c>
      <c r="O49" s="99">
        <v>254</v>
      </c>
      <c r="P49" s="158">
        <v>254</v>
      </c>
      <c r="Q49" s="99">
        <v>28</v>
      </c>
      <c r="R49" s="99">
        <v>57</v>
      </c>
      <c r="S49" s="99">
        <v>41</v>
      </c>
      <c r="T49" s="99">
        <v>56</v>
      </c>
      <c r="U49" s="99">
        <v>14</v>
      </c>
      <c r="V49" s="99">
        <v>25</v>
      </c>
      <c r="W49" s="99">
        <v>109</v>
      </c>
      <c r="X49" s="99">
        <v>48</v>
      </c>
      <c r="Y49" s="99">
        <v>123</v>
      </c>
      <c r="Z49" s="99">
        <v>114</v>
      </c>
      <c r="AA49" s="99">
        <v>7</v>
      </c>
      <c r="AB49" s="99">
        <v>42</v>
      </c>
      <c r="AC49" s="99">
        <v>12</v>
      </c>
      <c r="AD49" s="98" t="s">
        <v>108</v>
      </c>
      <c r="AE49" s="100">
        <v>0.20867837032129843</v>
      </c>
      <c r="AF49" s="100">
        <v>0.11</v>
      </c>
      <c r="AG49" s="98">
        <v>538.2577012255714</v>
      </c>
      <c r="AH49" s="98">
        <v>306.3928453130176</v>
      </c>
      <c r="AI49" s="100">
        <v>0.0232</v>
      </c>
      <c r="AJ49" s="100">
        <v>0.743575</v>
      </c>
      <c r="AK49" s="100">
        <v>0.780992</v>
      </c>
      <c r="AL49" s="100">
        <v>0.759016</v>
      </c>
      <c r="AM49" s="100">
        <v>0.589441</v>
      </c>
      <c r="AN49" s="100">
        <v>0.615758</v>
      </c>
      <c r="AO49" s="98">
        <v>2103.3454786353095</v>
      </c>
      <c r="AP49" s="157">
        <v>0.9243000000000001</v>
      </c>
      <c r="AQ49" s="100">
        <v>0.11023622047244094</v>
      </c>
      <c r="AR49" s="100">
        <v>0.49122807017543857</v>
      </c>
      <c r="AS49" s="98">
        <v>339.5163961576681</v>
      </c>
      <c r="AT49" s="98">
        <v>463.72971182510764</v>
      </c>
      <c r="AU49" s="98">
        <v>115.93242795627691</v>
      </c>
      <c r="AV49" s="98">
        <v>207.0221927790659</v>
      </c>
      <c r="AW49" s="98">
        <v>902.6167605167274</v>
      </c>
      <c r="AX49" s="98">
        <v>397.48261013580657</v>
      </c>
      <c r="AY49" s="98">
        <v>1018.5491884730043</v>
      </c>
      <c r="AZ49" s="98">
        <v>944.0211990725405</v>
      </c>
      <c r="BA49" s="100">
        <v>0.11475409836065574</v>
      </c>
      <c r="BB49" s="100">
        <v>0.6885245901639344</v>
      </c>
      <c r="BC49" s="100">
        <v>0.19672131147540983</v>
      </c>
      <c r="BD49" s="157">
        <v>0.8140999999999999</v>
      </c>
      <c r="BE49" s="157">
        <v>1.0453000000000001</v>
      </c>
      <c r="BF49" s="161">
        <v>1712</v>
      </c>
      <c r="BG49" s="161">
        <v>242</v>
      </c>
      <c r="BH49" s="161">
        <v>2967</v>
      </c>
      <c r="BI49" s="161">
        <v>1610</v>
      </c>
      <c r="BJ49" s="161">
        <v>825</v>
      </c>
      <c r="BK49" s="97"/>
      <c r="BL49" s="97"/>
      <c r="BM49" s="97"/>
      <c r="BN49" s="97"/>
    </row>
    <row r="50" spans="1:66" ht="12.75">
      <c r="A50" s="79" t="s">
        <v>213</v>
      </c>
      <c r="B50" s="79" t="s">
        <v>69</v>
      </c>
      <c r="C50" s="79" t="s">
        <v>335</v>
      </c>
      <c r="D50" s="99">
        <v>10065</v>
      </c>
      <c r="E50" s="99">
        <v>1711</v>
      </c>
      <c r="F50" s="99" t="s">
        <v>128</v>
      </c>
      <c r="G50" s="99">
        <v>50</v>
      </c>
      <c r="H50" s="99">
        <v>22</v>
      </c>
      <c r="I50" s="99">
        <v>144</v>
      </c>
      <c r="J50" s="99">
        <v>999</v>
      </c>
      <c r="K50" s="99">
        <v>246</v>
      </c>
      <c r="L50" s="99">
        <v>2013</v>
      </c>
      <c r="M50" s="99">
        <v>655</v>
      </c>
      <c r="N50" s="99">
        <v>354</v>
      </c>
      <c r="O50" s="99">
        <v>298</v>
      </c>
      <c r="P50" s="158">
        <v>298</v>
      </c>
      <c r="Q50" s="99">
        <v>23</v>
      </c>
      <c r="R50" s="99">
        <v>45</v>
      </c>
      <c r="S50" s="99">
        <v>82</v>
      </c>
      <c r="T50" s="99">
        <v>56</v>
      </c>
      <c r="U50" s="99">
        <v>6</v>
      </c>
      <c r="V50" s="99">
        <v>67</v>
      </c>
      <c r="W50" s="99">
        <v>119</v>
      </c>
      <c r="X50" s="99">
        <v>59</v>
      </c>
      <c r="Y50" s="99">
        <v>120</v>
      </c>
      <c r="Z50" s="99">
        <v>59</v>
      </c>
      <c r="AA50" s="99">
        <v>9</v>
      </c>
      <c r="AB50" s="99">
        <v>33</v>
      </c>
      <c r="AC50" s="99">
        <v>14</v>
      </c>
      <c r="AD50" s="98" t="s">
        <v>108</v>
      </c>
      <c r="AE50" s="100">
        <v>0.16999503229011426</v>
      </c>
      <c r="AF50" s="100">
        <v>0.08</v>
      </c>
      <c r="AG50" s="98">
        <v>496.7709885742673</v>
      </c>
      <c r="AH50" s="98">
        <v>218.5792349726776</v>
      </c>
      <c r="AI50" s="100">
        <v>0.0143</v>
      </c>
      <c r="AJ50" s="100">
        <v>0.752259</v>
      </c>
      <c r="AK50" s="100">
        <v>0.736527</v>
      </c>
      <c r="AL50" s="100">
        <v>0.787251</v>
      </c>
      <c r="AM50" s="100">
        <v>0.562715</v>
      </c>
      <c r="AN50" s="100">
        <v>0.594958</v>
      </c>
      <c r="AO50" s="98">
        <v>2960.755091902633</v>
      </c>
      <c r="AP50" s="157">
        <v>1.4391999999999998</v>
      </c>
      <c r="AQ50" s="100">
        <v>0.07718120805369127</v>
      </c>
      <c r="AR50" s="100">
        <v>0.5111111111111111</v>
      </c>
      <c r="AS50" s="98">
        <v>814.7044212617983</v>
      </c>
      <c r="AT50" s="98">
        <v>556.3835072031793</v>
      </c>
      <c r="AU50" s="98">
        <v>59.61251862891207</v>
      </c>
      <c r="AV50" s="98">
        <v>665.6731246895181</v>
      </c>
      <c r="AW50" s="98">
        <v>1182.314952806756</v>
      </c>
      <c r="AX50" s="98">
        <v>586.1897665176353</v>
      </c>
      <c r="AY50" s="98">
        <v>1192.2503725782415</v>
      </c>
      <c r="AZ50" s="98">
        <v>586.1897665176353</v>
      </c>
      <c r="BA50" s="100">
        <v>0.16071428571428573</v>
      </c>
      <c r="BB50" s="100">
        <v>0.5892857142857143</v>
      </c>
      <c r="BC50" s="100">
        <v>0.25</v>
      </c>
      <c r="BD50" s="157">
        <v>1.2804</v>
      </c>
      <c r="BE50" s="157">
        <v>1.6122</v>
      </c>
      <c r="BF50" s="161">
        <v>1328</v>
      </c>
      <c r="BG50" s="161">
        <v>334</v>
      </c>
      <c r="BH50" s="161">
        <v>2557</v>
      </c>
      <c r="BI50" s="161">
        <v>1164</v>
      </c>
      <c r="BJ50" s="161">
        <v>595</v>
      </c>
      <c r="BK50" s="97"/>
      <c r="BL50" s="97"/>
      <c r="BM50" s="97"/>
      <c r="BN50" s="97"/>
    </row>
    <row r="51" spans="1:66" ht="12.75">
      <c r="A51" s="79" t="s">
        <v>827</v>
      </c>
      <c r="B51" s="79" t="s">
        <v>107</v>
      </c>
      <c r="C51" s="79" t="s">
        <v>335</v>
      </c>
      <c r="D51" s="99">
        <v>4317</v>
      </c>
      <c r="E51" s="99">
        <v>428</v>
      </c>
      <c r="F51" s="99" t="s">
        <v>127</v>
      </c>
      <c r="G51" s="99" t="s">
        <v>825</v>
      </c>
      <c r="H51" s="99">
        <v>8</v>
      </c>
      <c r="I51" s="99">
        <v>39</v>
      </c>
      <c r="J51" s="99">
        <v>223</v>
      </c>
      <c r="K51" s="99">
        <v>33</v>
      </c>
      <c r="L51" s="99">
        <v>933</v>
      </c>
      <c r="M51" s="99">
        <v>131</v>
      </c>
      <c r="N51" s="99">
        <v>69</v>
      </c>
      <c r="O51" s="99">
        <v>59</v>
      </c>
      <c r="P51" s="158">
        <v>59</v>
      </c>
      <c r="Q51" s="99">
        <v>6</v>
      </c>
      <c r="R51" s="99">
        <v>11</v>
      </c>
      <c r="S51" s="99">
        <v>16</v>
      </c>
      <c r="T51" s="99">
        <v>9</v>
      </c>
      <c r="U51" s="99">
        <v>6</v>
      </c>
      <c r="V51" s="99" t="s">
        <v>825</v>
      </c>
      <c r="W51" s="99">
        <v>24</v>
      </c>
      <c r="X51" s="99">
        <v>8</v>
      </c>
      <c r="Y51" s="99">
        <v>33</v>
      </c>
      <c r="Z51" s="99">
        <v>30</v>
      </c>
      <c r="AA51" s="99" t="s">
        <v>825</v>
      </c>
      <c r="AB51" s="99" t="s">
        <v>825</v>
      </c>
      <c r="AC51" s="99" t="s">
        <v>825</v>
      </c>
      <c r="AD51" s="98" t="s">
        <v>108</v>
      </c>
      <c r="AE51" s="100">
        <v>0.09914292332638407</v>
      </c>
      <c r="AF51" s="100">
        <v>0.23</v>
      </c>
      <c r="AG51" s="98" t="s">
        <v>825</v>
      </c>
      <c r="AH51" s="98">
        <v>185.31387537641882</v>
      </c>
      <c r="AI51" s="100">
        <v>0.009000000000000001</v>
      </c>
      <c r="AJ51" s="100">
        <v>0.57772</v>
      </c>
      <c r="AK51" s="100">
        <v>0.647059</v>
      </c>
      <c r="AL51" s="100">
        <v>0.794719</v>
      </c>
      <c r="AM51" s="100">
        <v>0.454861</v>
      </c>
      <c r="AN51" s="100">
        <v>0.472603</v>
      </c>
      <c r="AO51" s="98">
        <v>1366.6898309010887</v>
      </c>
      <c r="AP51" s="157">
        <v>0.8687</v>
      </c>
      <c r="AQ51" s="100">
        <v>0.1016949152542373</v>
      </c>
      <c r="AR51" s="100">
        <v>0.5454545454545454</v>
      </c>
      <c r="AS51" s="98">
        <v>370.62775075283764</v>
      </c>
      <c r="AT51" s="98">
        <v>208.47810979847117</v>
      </c>
      <c r="AU51" s="98">
        <v>138.9854065323141</v>
      </c>
      <c r="AV51" s="98" t="s">
        <v>825</v>
      </c>
      <c r="AW51" s="98">
        <v>555.9416261292564</v>
      </c>
      <c r="AX51" s="98">
        <v>185.31387537641882</v>
      </c>
      <c r="AY51" s="98">
        <v>764.4197359277276</v>
      </c>
      <c r="AZ51" s="98">
        <v>694.9270326615705</v>
      </c>
      <c r="BA51" s="100" t="s">
        <v>825</v>
      </c>
      <c r="BB51" s="100" t="s">
        <v>825</v>
      </c>
      <c r="BC51" s="100" t="s">
        <v>825</v>
      </c>
      <c r="BD51" s="157">
        <v>0.6613</v>
      </c>
      <c r="BE51" s="157">
        <v>1.1206</v>
      </c>
      <c r="BF51" s="161">
        <v>386</v>
      </c>
      <c r="BG51" s="161">
        <v>51</v>
      </c>
      <c r="BH51" s="161">
        <v>1174</v>
      </c>
      <c r="BI51" s="161">
        <v>288</v>
      </c>
      <c r="BJ51" s="161">
        <v>146</v>
      </c>
      <c r="BK51" s="97"/>
      <c r="BL51" s="97"/>
      <c r="BM51" s="97"/>
      <c r="BN51" s="97"/>
    </row>
    <row r="52" spans="1:66" ht="12.75">
      <c r="A52" s="79" t="s">
        <v>214</v>
      </c>
      <c r="B52" s="79" t="s">
        <v>70</v>
      </c>
      <c r="C52" s="79" t="s">
        <v>335</v>
      </c>
      <c r="D52" s="99">
        <v>9717</v>
      </c>
      <c r="E52" s="99">
        <v>2078</v>
      </c>
      <c r="F52" s="99" t="s">
        <v>128</v>
      </c>
      <c r="G52" s="99">
        <v>71</v>
      </c>
      <c r="H52" s="99">
        <v>28</v>
      </c>
      <c r="I52" s="99">
        <v>236</v>
      </c>
      <c r="J52" s="99">
        <v>1072</v>
      </c>
      <c r="K52" s="99">
        <v>53</v>
      </c>
      <c r="L52" s="99">
        <v>1843</v>
      </c>
      <c r="M52" s="99">
        <v>747</v>
      </c>
      <c r="N52" s="99">
        <v>406</v>
      </c>
      <c r="O52" s="99">
        <v>257</v>
      </c>
      <c r="P52" s="158">
        <v>257</v>
      </c>
      <c r="Q52" s="99">
        <v>26</v>
      </c>
      <c r="R52" s="99">
        <v>54</v>
      </c>
      <c r="S52" s="99">
        <v>40</v>
      </c>
      <c r="T52" s="99">
        <v>39</v>
      </c>
      <c r="U52" s="99">
        <v>12</v>
      </c>
      <c r="V52" s="99">
        <v>44</v>
      </c>
      <c r="W52" s="99">
        <v>78</v>
      </c>
      <c r="X52" s="99">
        <v>47</v>
      </c>
      <c r="Y52" s="99">
        <v>153</v>
      </c>
      <c r="Z52" s="99">
        <v>86</v>
      </c>
      <c r="AA52" s="99">
        <v>15</v>
      </c>
      <c r="AB52" s="99">
        <v>26</v>
      </c>
      <c r="AC52" s="99">
        <v>6</v>
      </c>
      <c r="AD52" s="98" t="s">
        <v>108</v>
      </c>
      <c r="AE52" s="100">
        <v>0.2138520119378409</v>
      </c>
      <c r="AF52" s="100">
        <v>0.1</v>
      </c>
      <c r="AG52" s="98">
        <v>730.678192857878</v>
      </c>
      <c r="AH52" s="98">
        <v>288.15478028198004</v>
      </c>
      <c r="AI52" s="100">
        <v>0.024300000000000002</v>
      </c>
      <c r="AJ52" s="100">
        <v>0.780204</v>
      </c>
      <c r="AK52" s="100">
        <v>0.646341</v>
      </c>
      <c r="AL52" s="100">
        <v>0.770807</v>
      </c>
      <c r="AM52" s="100">
        <v>0.572853</v>
      </c>
      <c r="AN52" s="100">
        <v>0.577525</v>
      </c>
      <c r="AO52" s="98">
        <v>2644.8492333024597</v>
      </c>
      <c r="AP52" s="157">
        <v>1.1531</v>
      </c>
      <c r="AQ52" s="100">
        <v>0.10116731517509728</v>
      </c>
      <c r="AR52" s="100">
        <v>0.48148148148148145</v>
      </c>
      <c r="AS52" s="98">
        <v>411.64968611711436</v>
      </c>
      <c r="AT52" s="98">
        <v>401.35844396418645</v>
      </c>
      <c r="AU52" s="98">
        <v>123.4949058351343</v>
      </c>
      <c r="AV52" s="98">
        <v>452.81465472882576</v>
      </c>
      <c r="AW52" s="98">
        <v>802.7168879283729</v>
      </c>
      <c r="AX52" s="98">
        <v>483.68838118760937</v>
      </c>
      <c r="AY52" s="98">
        <v>1574.5600493979623</v>
      </c>
      <c r="AZ52" s="98">
        <v>885.0468251517958</v>
      </c>
      <c r="BA52" s="100">
        <v>0.3191489361702128</v>
      </c>
      <c r="BB52" s="100">
        <v>0.5531914893617021</v>
      </c>
      <c r="BC52" s="100">
        <v>0.1276595744680851</v>
      </c>
      <c r="BD52" s="157">
        <v>1.0164</v>
      </c>
      <c r="BE52" s="157">
        <v>1.3030000000000002</v>
      </c>
      <c r="BF52" s="161">
        <v>1374</v>
      </c>
      <c r="BG52" s="161">
        <v>82</v>
      </c>
      <c r="BH52" s="161">
        <v>2391</v>
      </c>
      <c r="BI52" s="161">
        <v>1304</v>
      </c>
      <c r="BJ52" s="161">
        <v>703</v>
      </c>
      <c r="BK52" s="97"/>
      <c r="BL52" s="97"/>
      <c r="BM52" s="97"/>
      <c r="BN52" s="97"/>
    </row>
    <row r="53" spans="1:66" ht="12.75">
      <c r="A53" s="79" t="s">
        <v>228</v>
      </c>
      <c r="B53" s="79" t="s">
        <v>86</v>
      </c>
      <c r="C53" s="79" t="s">
        <v>335</v>
      </c>
      <c r="D53" s="99">
        <v>3052</v>
      </c>
      <c r="E53" s="99">
        <v>699</v>
      </c>
      <c r="F53" s="99" t="s">
        <v>128</v>
      </c>
      <c r="G53" s="99">
        <v>22</v>
      </c>
      <c r="H53" s="99">
        <v>6</v>
      </c>
      <c r="I53" s="99">
        <v>77</v>
      </c>
      <c r="J53" s="99">
        <v>320</v>
      </c>
      <c r="K53" s="99">
        <v>28</v>
      </c>
      <c r="L53" s="99">
        <v>609</v>
      </c>
      <c r="M53" s="99">
        <v>237</v>
      </c>
      <c r="N53" s="99">
        <v>127</v>
      </c>
      <c r="O53" s="99">
        <v>97</v>
      </c>
      <c r="P53" s="158">
        <v>97</v>
      </c>
      <c r="Q53" s="99">
        <v>7</v>
      </c>
      <c r="R53" s="99">
        <v>17</v>
      </c>
      <c r="S53" s="99">
        <v>12</v>
      </c>
      <c r="T53" s="99">
        <v>23</v>
      </c>
      <c r="U53" s="99" t="s">
        <v>825</v>
      </c>
      <c r="V53" s="99">
        <v>22</v>
      </c>
      <c r="W53" s="99">
        <v>46</v>
      </c>
      <c r="X53" s="99">
        <v>19</v>
      </c>
      <c r="Y53" s="99">
        <v>48</v>
      </c>
      <c r="Z53" s="99">
        <v>14</v>
      </c>
      <c r="AA53" s="99" t="s">
        <v>825</v>
      </c>
      <c r="AB53" s="99">
        <v>11</v>
      </c>
      <c r="AC53" s="99" t="s">
        <v>825</v>
      </c>
      <c r="AD53" s="98" t="s">
        <v>108</v>
      </c>
      <c r="AE53" s="100">
        <v>0.22903014416775885</v>
      </c>
      <c r="AF53" s="100">
        <v>0.08</v>
      </c>
      <c r="AG53" s="98">
        <v>720.8387942332896</v>
      </c>
      <c r="AH53" s="98">
        <v>196.5923984272608</v>
      </c>
      <c r="AI53" s="100">
        <v>0.0252</v>
      </c>
      <c r="AJ53" s="100">
        <v>0.778589</v>
      </c>
      <c r="AK53" s="100">
        <v>0.608696</v>
      </c>
      <c r="AL53" s="100">
        <v>0.818548</v>
      </c>
      <c r="AM53" s="100">
        <v>0.612403</v>
      </c>
      <c r="AN53" s="100">
        <v>0.622549</v>
      </c>
      <c r="AO53" s="98">
        <v>3178.24377457405</v>
      </c>
      <c r="AP53" s="157">
        <v>1.3468</v>
      </c>
      <c r="AQ53" s="100">
        <v>0.07216494845360824</v>
      </c>
      <c r="AR53" s="100">
        <v>0.4117647058823529</v>
      </c>
      <c r="AS53" s="98">
        <v>393.1847968545216</v>
      </c>
      <c r="AT53" s="98">
        <v>753.6041939711664</v>
      </c>
      <c r="AU53" s="98" t="s">
        <v>825</v>
      </c>
      <c r="AV53" s="98">
        <v>720.8387942332896</v>
      </c>
      <c r="AW53" s="98">
        <v>1507.2083879423328</v>
      </c>
      <c r="AX53" s="98">
        <v>622.5425950196592</v>
      </c>
      <c r="AY53" s="98">
        <v>1572.7391874180864</v>
      </c>
      <c r="AZ53" s="98">
        <v>458.7155963302752</v>
      </c>
      <c r="BA53" s="100" t="s">
        <v>825</v>
      </c>
      <c r="BB53" s="100">
        <v>0.5</v>
      </c>
      <c r="BC53" s="100" t="s">
        <v>825</v>
      </c>
      <c r="BD53" s="157">
        <v>1.0922</v>
      </c>
      <c r="BE53" s="157">
        <v>1.643</v>
      </c>
      <c r="BF53" s="161">
        <v>411</v>
      </c>
      <c r="BG53" s="161">
        <v>46</v>
      </c>
      <c r="BH53" s="161">
        <v>744</v>
      </c>
      <c r="BI53" s="161">
        <v>387</v>
      </c>
      <c r="BJ53" s="161">
        <v>204</v>
      </c>
      <c r="BK53" s="97"/>
      <c r="BL53" s="97"/>
      <c r="BM53" s="97"/>
      <c r="BN53" s="97"/>
    </row>
    <row r="54" spans="1:66" ht="12.75">
      <c r="A54" s="79" t="s">
        <v>208</v>
      </c>
      <c r="B54" s="79" t="s">
        <v>64</v>
      </c>
      <c r="C54" s="79" t="s">
        <v>335</v>
      </c>
      <c r="D54" s="99">
        <v>15084</v>
      </c>
      <c r="E54" s="99">
        <v>2791</v>
      </c>
      <c r="F54" s="99" t="s">
        <v>128</v>
      </c>
      <c r="G54" s="99">
        <v>78</v>
      </c>
      <c r="H54" s="99">
        <v>40</v>
      </c>
      <c r="I54" s="99">
        <v>222</v>
      </c>
      <c r="J54" s="99">
        <v>1353</v>
      </c>
      <c r="K54" s="99">
        <v>316</v>
      </c>
      <c r="L54" s="99">
        <v>2931</v>
      </c>
      <c r="M54" s="99">
        <v>952</v>
      </c>
      <c r="N54" s="99">
        <v>519</v>
      </c>
      <c r="O54" s="99">
        <v>383</v>
      </c>
      <c r="P54" s="158">
        <v>383</v>
      </c>
      <c r="Q54" s="99">
        <v>39</v>
      </c>
      <c r="R54" s="99">
        <v>67</v>
      </c>
      <c r="S54" s="99">
        <v>47</v>
      </c>
      <c r="T54" s="99">
        <v>93</v>
      </c>
      <c r="U54" s="99">
        <v>8</v>
      </c>
      <c r="V54" s="99">
        <v>67</v>
      </c>
      <c r="W54" s="99">
        <v>177</v>
      </c>
      <c r="X54" s="99">
        <v>66</v>
      </c>
      <c r="Y54" s="99">
        <v>173</v>
      </c>
      <c r="Z54" s="99">
        <v>88</v>
      </c>
      <c r="AA54" s="99">
        <v>12</v>
      </c>
      <c r="AB54" s="99">
        <v>30</v>
      </c>
      <c r="AC54" s="99">
        <v>14</v>
      </c>
      <c r="AD54" s="98" t="s">
        <v>108</v>
      </c>
      <c r="AE54" s="100">
        <v>0.18503049588968443</v>
      </c>
      <c r="AF54" s="100">
        <v>0.1</v>
      </c>
      <c r="AG54" s="98">
        <v>517.104216388226</v>
      </c>
      <c r="AH54" s="98">
        <v>265.1816494298595</v>
      </c>
      <c r="AI54" s="100">
        <v>0.0147</v>
      </c>
      <c r="AJ54" s="100">
        <v>0.758833</v>
      </c>
      <c r="AK54" s="100">
        <v>0.755981</v>
      </c>
      <c r="AL54" s="100">
        <v>0.74885</v>
      </c>
      <c r="AM54" s="100">
        <v>0.587292</v>
      </c>
      <c r="AN54" s="100">
        <v>0.606308</v>
      </c>
      <c r="AO54" s="98">
        <v>2539.1142932909042</v>
      </c>
      <c r="AP54" s="157">
        <v>1.2024</v>
      </c>
      <c r="AQ54" s="100">
        <v>0.10182767624020887</v>
      </c>
      <c r="AR54" s="100">
        <v>0.582089552238806</v>
      </c>
      <c r="AS54" s="98">
        <v>311.58843808008487</v>
      </c>
      <c r="AT54" s="98">
        <v>616.5473349244232</v>
      </c>
      <c r="AU54" s="98">
        <v>53.03632988597189</v>
      </c>
      <c r="AV54" s="98">
        <v>444.1792627950146</v>
      </c>
      <c r="AW54" s="98">
        <v>1173.4287987271282</v>
      </c>
      <c r="AX54" s="98">
        <v>437.5497215592681</v>
      </c>
      <c r="AY54" s="98">
        <v>1146.9106337841422</v>
      </c>
      <c r="AZ54" s="98">
        <v>583.3996287456908</v>
      </c>
      <c r="BA54" s="100">
        <v>0.21428571428571427</v>
      </c>
      <c r="BB54" s="100">
        <v>0.5357142857142857</v>
      </c>
      <c r="BC54" s="100">
        <v>0.25</v>
      </c>
      <c r="BD54" s="157">
        <v>1.085</v>
      </c>
      <c r="BE54" s="157">
        <v>1.3291</v>
      </c>
      <c r="BF54" s="161">
        <v>1783</v>
      </c>
      <c r="BG54" s="161">
        <v>418</v>
      </c>
      <c r="BH54" s="161">
        <v>3914</v>
      </c>
      <c r="BI54" s="161">
        <v>1621</v>
      </c>
      <c r="BJ54" s="161">
        <v>856</v>
      </c>
      <c r="BK54" s="97"/>
      <c r="BL54" s="97"/>
      <c r="BM54" s="97"/>
      <c r="BN54" s="97"/>
    </row>
    <row r="55" spans="1:66" ht="12.75">
      <c r="A55" s="79" t="s">
        <v>215</v>
      </c>
      <c r="B55" s="79" t="s">
        <v>71</v>
      </c>
      <c r="C55" s="79" t="s">
        <v>335</v>
      </c>
      <c r="D55" s="99">
        <v>4907</v>
      </c>
      <c r="E55" s="99">
        <v>901</v>
      </c>
      <c r="F55" s="99" t="s">
        <v>129</v>
      </c>
      <c r="G55" s="99">
        <v>23</v>
      </c>
      <c r="H55" s="99">
        <v>13</v>
      </c>
      <c r="I55" s="99">
        <v>57</v>
      </c>
      <c r="J55" s="99">
        <v>471</v>
      </c>
      <c r="K55" s="99">
        <v>22</v>
      </c>
      <c r="L55" s="99">
        <v>988</v>
      </c>
      <c r="M55" s="99">
        <v>291</v>
      </c>
      <c r="N55" s="99">
        <v>135</v>
      </c>
      <c r="O55" s="99">
        <v>113</v>
      </c>
      <c r="P55" s="158">
        <v>113</v>
      </c>
      <c r="Q55" s="99">
        <v>17</v>
      </c>
      <c r="R55" s="99">
        <v>29</v>
      </c>
      <c r="S55" s="99">
        <v>20</v>
      </c>
      <c r="T55" s="99">
        <v>18</v>
      </c>
      <c r="U55" s="99">
        <v>7</v>
      </c>
      <c r="V55" s="99">
        <v>13</v>
      </c>
      <c r="W55" s="99">
        <v>37</v>
      </c>
      <c r="X55" s="99">
        <v>21</v>
      </c>
      <c r="Y55" s="99">
        <v>42</v>
      </c>
      <c r="Z55" s="99">
        <v>59</v>
      </c>
      <c r="AA55" s="99">
        <v>6</v>
      </c>
      <c r="AB55" s="99">
        <v>9</v>
      </c>
      <c r="AC55" s="99">
        <v>10</v>
      </c>
      <c r="AD55" s="98" t="s">
        <v>108</v>
      </c>
      <c r="AE55" s="100">
        <v>0.18361524352965153</v>
      </c>
      <c r="AF55" s="100">
        <v>0.13</v>
      </c>
      <c r="AG55" s="98">
        <v>468.7181577338496</v>
      </c>
      <c r="AH55" s="98">
        <v>264.9276543713063</v>
      </c>
      <c r="AI55" s="100">
        <v>0.0116</v>
      </c>
      <c r="AJ55" s="100">
        <v>0.768352</v>
      </c>
      <c r="AK55" s="100">
        <v>0.733333</v>
      </c>
      <c r="AL55" s="100">
        <v>0.819917</v>
      </c>
      <c r="AM55" s="100">
        <v>0.587879</v>
      </c>
      <c r="AN55" s="100">
        <v>0.564854</v>
      </c>
      <c r="AO55" s="98">
        <v>2302.8326879967394</v>
      </c>
      <c r="AP55" s="157">
        <v>1.0826</v>
      </c>
      <c r="AQ55" s="100">
        <v>0.1504424778761062</v>
      </c>
      <c r="AR55" s="100">
        <v>0.5862068965517241</v>
      </c>
      <c r="AS55" s="98">
        <v>407.58100672508664</v>
      </c>
      <c r="AT55" s="98">
        <v>366.82290605257793</v>
      </c>
      <c r="AU55" s="98">
        <v>142.65335235378032</v>
      </c>
      <c r="AV55" s="98">
        <v>264.9276543713063</v>
      </c>
      <c r="AW55" s="98">
        <v>754.0248624414103</v>
      </c>
      <c r="AX55" s="98">
        <v>427.96005706134093</v>
      </c>
      <c r="AY55" s="98">
        <v>855.9201141226819</v>
      </c>
      <c r="AZ55" s="98">
        <v>1202.3639698390054</v>
      </c>
      <c r="BA55" s="100">
        <v>0.24</v>
      </c>
      <c r="BB55" s="100">
        <v>0.36</v>
      </c>
      <c r="BC55" s="100">
        <v>0.4</v>
      </c>
      <c r="BD55" s="157">
        <v>0.8922</v>
      </c>
      <c r="BE55" s="157">
        <v>1.3015999999999999</v>
      </c>
      <c r="BF55" s="161">
        <v>613</v>
      </c>
      <c r="BG55" s="161">
        <v>30</v>
      </c>
      <c r="BH55" s="161">
        <v>1205</v>
      </c>
      <c r="BI55" s="161">
        <v>495</v>
      </c>
      <c r="BJ55" s="161">
        <v>239</v>
      </c>
      <c r="BK55" s="97"/>
      <c r="BL55" s="97"/>
      <c r="BM55" s="97"/>
      <c r="BN55" s="97"/>
    </row>
    <row r="56" spans="1:66" ht="12.75">
      <c r="A56" s="79" t="s">
        <v>726</v>
      </c>
      <c r="B56" s="94" t="s">
        <v>335</v>
      </c>
      <c r="C56" s="94" t="s">
        <v>7</v>
      </c>
      <c r="D56" s="99">
        <v>256079</v>
      </c>
      <c r="E56" s="99">
        <v>45885</v>
      </c>
      <c r="F56" s="99">
        <v>33110.759999999995</v>
      </c>
      <c r="G56" s="99">
        <v>1353</v>
      </c>
      <c r="H56" s="99">
        <v>648</v>
      </c>
      <c r="I56" s="99">
        <v>4408</v>
      </c>
      <c r="J56" s="99">
        <v>23240</v>
      </c>
      <c r="K56" s="99">
        <v>3908</v>
      </c>
      <c r="L56" s="99">
        <v>48134</v>
      </c>
      <c r="M56" s="99">
        <v>15181</v>
      </c>
      <c r="N56" s="99">
        <v>8095</v>
      </c>
      <c r="O56" s="99">
        <v>5778</v>
      </c>
      <c r="P56" s="99">
        <v>5778</v>
      </c>
      <c r="Q56" s="99">
        <v>621</v>
      </c>
      <c r="R56" s="99">
        <v>1208</v>
      </c>
      <c r="S56" s="99">
        <v>1100</v>
      </c>
      <c r="T56" s="99">
        <v>1059</v>
      </c>
      <c r="U56" s="99">
        <v>236</v>
      </c>
      <c r="V56" s="99">
        <v>870</v>
      </c>
      <c r="W56" s="99">
        <v>2274</v>
      </c>
      <c r="X56" s="99">
        <v>1130</v>
      </c>
      <c r="Y56" s="99">
        <v>2991</v>
      </c>
      <c r="Z56" s="99">
        <v>1690</v>
      </c>
      <c r="AA56" s="99">
        <v>315</v>
      </c>
      <c r="AB56" s="99">
        <v>641</v>
      </c>
      <c r="AC56" s="99">
        <v>270</v>
      </c>
      <c r="AD56" s="98">
        <v>0</v>
      </c>
      <c r="AE56" s="101">
        <v>0.17918298650025968</v>
      </c>
      <c r="AF56" s="101">
        <v>0.12929900538505693</v>
      </c>
      <c r="AG56" s="98">
        <v>528.3525786964179</v>
      </c>
      <c r="AH56" s="98">
        <v>253.04691130471457</v>
      </c>
      <c r="AI56" s="101">
        <v>0.017213438040604656</v>
      </c>
      <c r="AJ56" s="101">
        <v>0.7302435192458759</v>
      </c>
      <c r="AK56" s="101">
        <v>0.6977325477593287</v>
      </c>
      <c r="AL56" s="101">
        <v>0.7598105761641674</v>
      </c>
      <c r="AM56" s="101">
        <v>0.5444536097263566</v>
      </c>
      <c r="AN56" s="101">
        <v>0.5550984022491943</v>
      </c>
      <c r="AO56" s="98">
        <v>2256.3349591337046</v>
      </c>
      <c r="AP56" s="98">
        <v>0</v>
      </c>
      <c r="AQ56" s="101">
        <v>0.10747663551401869</v>
      </c>
      <c r="AR56" s="101">
        <v>0.5140728476821192</v>
      </c>
      <c r="AS56" s="98">
        <v>429.55494202960807</v>
      </c>
      <c r="AT56" s="98">
        <v>413.5442578266863</v>
      </c>
      <c r="AU56" s="98">
        <v>92.15906028998863</v>
      </c>
      <c r="AV56" s="98">
        <v>339.73890869614456</v>
      </c>
      <c r="AW56" s="98">
        <v>888.007216523026</v>
      </c>
      <c r="AX56" s="98">
        <v>441.2700768122337</v>
      </c>
      <c r="AY56" s="98">
        <v>1167.9989378277796</v>
      </c>
      <c r="AZ56" s="98">
        <v>659.9525927545797</v>
      </c>
      <c r="BA56" s="101">
        <v>0.2569331158238173</v>
      </c>
      <c r="BB56" s="101">
        <v>0.5228384991843393</v>
      </c>
      <c r="BC56" s="101">
        <v>0.22022838499184338</v>
      </c>
      <c r="BD56" s="98">
        <v>0</v>
      </c>
      <c r="BE56" s="98">
        <v>0</v>
      </c>
      <c r="BF56" s="99">
        <v>31825</v>
      </c>
      <c r="BG56" s="99">
        <v>5601</v>
      </c>
      <c r="BH56" s="99">
        <v>63350</v>
      </c>
      <c r="BI56" s="99">
        <v>27883</v>
      </c>
      <c r="BJ56" s="99">
        <v>14583</v>
      </c>
      <c r="BK56" s="97"/>
      <c r="BL56" s="97"/>
      <c r="BM56" s="97"/>
      <c r="BN56" s="97"/>
    </row>
    <row r="57" spans="1:66" ht="12.75">
      <c r="A57" s="79" t="s">
        <v>24</v>
      </c>
      <c r="B57" s="94" t="s">
        <v>7</v>
      </c>
      <c r="C57" s="94" t="s">
        <v>7</v>
      </c>
      <c r="D57" s="99">
        <v>55165362</v>
      </c>
      <c r="E57" s="99">
        <v>9048994</v>
      </c>
      <c r="F57" s="99">
        <v>8305264.179999999</v>
      </c>
      <c r="G57" s="99">
        <v>259770</v>
      </c>
      <c r="H57" s="99">
        <v>128954</v>
      </c>
      <c r="I57" s="99">
        <v>978426</v>
      </c>
      <c r="J57" s="99">
        <v>4727163</v>
      </c>
      <c r="K57" s="99">
        <v>1693161</v>
      </c>
      <c r="L57" s="99">
        <v>10175535</v>
      </c>
      <c r="M57" s="99">
        <v>3358821</v>
      </c>
      <c r="N57" s="99">
        <v>1654961</v>
      </c>
      <c r="O57" s="99">
        <v>1093346</v>
      </c>
      <c r="P57" s="99">
        <v>1093346</v>
      </c>
      <c r="Q57" s="99">
        <v>115539</v>
      </c>
      <c r="R57" s="99">
        <v>248587</v>
      </c>
      <c r="S57" s="99">
        <v>205061</v>
      </c>
      <c r="T57" s="99">
        <v>184806</v>
      </c>
      <c r="U57" s="99">
        <v>42802</v>
      </c>
      <c r="V57" s="99">
        <v>192402</v>
      </c>
      <c r="W57" s="99">
        <v>343839</v>
      </c>
      <c r="X57" s="99">
        <v>238616</v>
      </c>
      <c r="Y57" s="99">
        <v>553576</v>
      </c>
      <c r="Z57" s="99">
        <v>323780</v>
      </c>
      <c r="AA57" s="99">
        <v>58003</v>
      </c>
      <c r="AB57" s="99">
        <v>120283</v>
      </c>
      <c r="AC57" s="99">
        <v>66239</v>
      </c>
      <c r="AD57" s="98">
        <v>0</v>
      </c>
      <c r="AE57" s="101">
        <v>0.16403398204837302</v>
      </c>
      <c r="AF57" s="101">
        <v>0.1505521558981159</v>
      </c>
      <c r="AG57" s="98">
        <v>470.8933116400106</v>
      </c>
      <c r="AH57" s="98">
        <v>233.75900261472046</v>
      </c>
      <c r="AI57" s="101">
        <v>0.017736238185113332</v>
      </c>
      <c r="AJ57" s="101">
        <v>0.7246856648259642</v>
      </c>
      <c r="AK57" s="101">
        <v>0.7425503147315781</v>
      </c>
      <c r="AL57" s="101">
        <v>0.7530641252748632</v>
      </c>
      <c r="AM57" s="101">
        <v>0.5744521249276766</v>
      </c>
      <c r="AN57" s="101">
        <v>0.5565049054289257</v>
      </c>
      <c r="AO57" s="98">
        <v>1981.9429445600304</v>
      </c>
      <c r="AP57" s="98">
        <v>1</v>
      </c>
      <c r="AQ57" s="101">
        <v>0.10567469035419712</v>
      </c>
      <c r="AR57" s="101">
        <v>0.46478295325177904</v>
      </c>
      <c r="AS57" s="98">
        <v>371.7205735004512</v>
      </c>
      <c r="AT57" s="98">
        <v>335.00369307827617</v>
      </c>
      <c r="AU57" s="98">
        <v>77.58854188249504</v>
      </c>
      <c r="AV57" s="98">
        <v>348.7732030109763</v>
      </c>
      <c r="AW57" s="98">
        <v>623.2878522577265</v>
      </c>
      <c r="AX57" s="98">
        <v>432.5467854266958</v>
      </c>
      <c r="AY57" s="98">
        <v>1003.4847591501348</v>
      </c>
      <c r="AZ57" s="98">
        <v>586.9262672471904</v>
      </c>
      <c r="BA57" s="101">
        <v>0.2372068295675289</v>
      </c>
      <c r="BB57" s="101">
        <v>0.4919047132195072</v>
      </c>
      <c r="BC57" s="101">
        <v>0.2708884572129639</v>
      </c>
      <c r="BD57" s="98">
        <v>0</v>
      </c>
      <c r="BE57" s="98">
        <v>0</v>
      </c>
      <c r="BF57" s="99">
        <v>6523053</v>
      </c>
      <c r="BG57" s="99">
        <v>2280197</v>
      </c>
      <c r="BH57" s="99">
        <v>13512176</v>
      </c>
      <c r="BI57" s="99">
        <v>5846999</v>
      </c>
      <c r="BJ57" s="99">
        <v>2973848</v>
      </c>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113</v>
      </c>
      <c r="O4" s="75" t="s">
        <v>112</v>
      </c>
      <c r="P4" s="75" t="s">
        <v>163</v>
      </c>
      <c r="Q4" s="75" t="s">
        <v>164</v>
      </c>
      <c r="R4" s="75" t="s">
        <v>165</v>
      </c>
      <c r="S4" s="75" t="s">
        <v>166</v>
      </c>
      <c r="T4" s="39" t="s">
        <v>53</v>
      </c>
      <c r="U4" s="40" t="s">
        <v>54</v>
      </c>
      <c r="V4" s="41" t="s">
        <v>7</v>
      </c>
      <c r="W4" s="24" t="s">
        <v>2</v>
      </c>
      <c r="X4" s="24" t="s">
        <v>3</v>
      </c>
      <c r="Y4" s="75" t="s">
        <v>252</v>
      </c>
      <c r="Z4" s="75" t="s">
        <v>251</v>
      </c>
      <c r="AA4" s="26" t="s">
        <v>55</v>
      </c>
      <c r="AB4" s="24" t="s">
        <v>5</v>
      </c>
      <c r="AC4" s="75" t="s">
        <v>35</v>
      </c>
      <c r="AD4" s="24" t="s">
        <v>6</v>
      </c>
      <c r="AE4" s="24" t="s">
        <v>56</v>
      </c>
      <c r="AF4" s="24" t="s">
        <v>16</v>
      </c>
      <c r="AG4" s="24" t="s">
        <v>15</v>
      </c>
      <c r="AH4" s="24" t="s">
        <v>14</v>
      </c>
      <c r="AI4" s="25" t="s">
        <v>30</v>
      </c>
      <c r="AJ4" s="47" t="s">
        <v>10</v>
      </c>
      <c r="AK4" s="26" t="s">
        <v>21</v>
      </c>
      <c r="AL4" s="25" t="s">
        <v>22</v>
      </c>
      <c r="AQ4" s="102" t="s">
        <v>153</v>
      </c>
      <c r="AR4" s="102" t="s">
        <v>155</v>
      </c>
      <c r="AS4" s="102" t="s">
        <v>154</v>
      </c>
      <c r="AY4" s="102" t="s">
        <v>801</v>
      </c>
      <c r="AZ4" s="102" t="s">
        <v>802</v>
      </c>
      <c r="BA4" s="102" t="s">
        <v>162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400</v>
      </c>
      <c r="AZ5" s="103" t="s">
        <v>590</v>
      </c>
      <c r="BA5" s="103" t="s">
        <v>108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399</v>
      </c>
      <c r="AZ6" s="103" t="s">
        <v>591</v>
      </c>
      <c r="BA6" s="103" t="s">
        <v>108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422</v>
      </c>
      <c r="E7" s="38">
        <f>IF(LEFT(VLOOKUP($B7,'Indicator chart'!$D$1:$J$36,5,FALSE),1)=" "," ",VLOOKUP($B7,'Indicator chart'!$D$1:$J$36,5,FALSE))</f>
        <v>0.13473818646232438</v>
      </c>
      <c r="F7" s="38">
        <f>IF(LEFT(VLOOKUP($B7,'Indicator chart'!$D$1:$J$36,6,FALSE),1)=" "," ",VLOOKUP($B7,'Indicator chart'!$D$1:$J$36,6,FALSE))</f>
        <v>0.1232264488687371</v>
      </c>
      <c r="G7" s="38">
        <f>IF(LEFT(VLOOKUP($B7,'Indicator chart'!$D$1:$J$36,7,FALSE),1)=" "," ",VLOOKUP($B7,'Indicator chart'!$D$1:$J$36,7,FALSE))</f>
        <v>0.14714486070251162</v>
      </c>
      <c r="H7" s="50">
        <f aca="true" t="shared" si="0" ref="H7:H31">IF(LEFT(F7,1)=" ",4,IF(AND(ABS(N7-E7)&gt;SQRT((E7-G7)^2+(N7-R7)^2),E7&lt;N7),1,IF(AND(ABS(N7-E7)&gt;SQRT((E7-F7)^2+(N7-S7)^2),E7&gt;N7),3,2)))</f>
        <v>1</v>
      </c>
      <c r="I7" s="300" t="s">
        <v>500</v>
      </c>
      <c r="J7" s="300" t="s">
        <v>508</v>
      </c>
      <c r="K7" s="300" t="s">
        <v>531</v>
      </c>
      <c r="L7" s="300" t="s">
        <v>551</v>
      </c>
      <c r="M7" s="300" t="s">
        <v>572</v>
      </c>
      <c r="N7" s="80">
        <f>VLOOKUP('Hide - Control'!B$3,'All practice data'!A:CA,A7+29,FALSE)</f>
        <v>0.17918298650025968</v>
      </c>
      <c r="O7" s="80">
        <f>VLOOKUP('Hide - Control'!C$3,'All practice data'!A:CA,A7+29,FALSE)</f>
        <v>0.16403398204837302</v>
      </c>
      <c r="P7" s="38">
        <f>VLOOKUP('Hide - Control'!$B$4,'All practice data'!B:BC,A7+2,FALSE)</f>
        <v>45885</v>
      </c>
      <c r="Q7" s="38">
        <f>VLOOKUP('Hide - Control'!$B$4,'All practice data'!B:BC,3,FALSE)</f>
        <v>256079</v>
      </c>
      <c r="R7" s="38">
        <f>+((2*P7+1.96^2-1.96*SQRT(1.96^2+4*P7*(1-P7/Q7)))/(2*(Q7+1.96^2)))</f>
        <v>0.1777024120239744</v>
      </c>
      <c r="S7" s="38">
        <f>+((2*P7+1.96^2+1.96*SQRT(1.96^2+4*P7*(1-P7/Q7)))/(2*(Q7+1.96^2)))</f>
        <v>0.18067318638238128</v>
      </c>
      <c r="T7" s="53" t="str">
        <f>IF($C7=1,M7,I7)</f>
        <v>0.262401642</v>
      </c>
      <c r="U7" s="51" t="str">
        <f aca="true" t="shared" si="1" ref="U7:U15">IF($C7=1,I7,M7)</f>
        <v>0.069761129</v>
      </c>
      <c r="V7" s="7">
        <v>1</v>
      </c>
      <c r="W7" s="27" t="str">
        <f aca="true" t="shared" si="2" ref="W7:W31">IF((K7-I7)&gt;(M7-K7),I7,(K7-(M7-K7)))</f>
        <v>0.069761129</v>
      </c>
      <c r="X7" s="27">
        <f aca="true" t="shared" si="3" ref="X7:X31">IF(W7=I7,K7+(K7-I7),M7)</f>
        <v>0.286675703</v>
      </c>
      <c r="Y7" s="27" t="str">
        <f aca="true" t="shared" si="4" ref="Y7:Y31">IF(C7=1,W7,X7)</f>
        <v>0.069761129</v>
      </c>
      <c r="Z7" s="27">
        <f aca="true" t="shared" si="5" ref="Z7:Z31">IF(C7=1,X7,W7)</f>
        <v>0.286675703</v>
      </c>
      <c r="AA7" s="32">
        <f aca="true" t="shared" si="6" ref="AA7:AA31">IF(ISERROR(IF(C7=1,(I7-$Y7)/($Z7-$Y7),(U7-$Y7)/($Z7-$Y7))),"",IF(C7=1,(I7-$Y7)/($Z7-$Y7),(U7-$Y7)/($Z7-$Y7)))</f>
        <v>0</v>
      </c>
      <c r="AB7" s="33">
        <f aca="true" t="shared" si="7" ref="AB7:AB31">IF(ISERROR(IF(C7=1,(J7-$Y7)/($Z7-$Y7),(L7-$Y7)/($Z7-$Y7))),"",IF(C7=1,(J7-$Y7)/($Z7-$Y7),(L7-$Y7)/($Z7-$Y7)))</f>
        <v>0.3746623451866355</v>
      </c>
      <c r="AC7" s="33">
        <v>0.5</v>
      </c>
      <c r="AD7" s="33">
        <f aca="true" t="shared" si="8" ref="AD7:AD31">IF(ISERROR(IF(C7=1,(L7-$Y7)/($Z7-$Y7),(J7-$Y7)/($Z7-$Y7))),"",IF(C7=1,(L7-$Y7)/($Z7-$Y7),(J7-$Y7)/($Z7-$Y7)))</f>
        <v>0.6463864986775854</v>
      </c>
      <c r="AE7" s="33">
        <f aca="true" t="shared" si="9" ref="AE7:AE31">IF(ISERROR(IF(C7=1,(M7-$Y7)/($Z7-$Y7),(I7-$Y7)/($Z7-$Y7))),"",IF(C7=1,(M7-$Y7)/($Z7-$Y7),(I7-$Y7)/($Z7-$Y7)))</f>
        <v>0.8880939138741318</v>
      </c>
      <c r="AF7" s="33">
        <f aca="true" t="shared" si="10" ref="AF7:AF30">IF(E7=" ",-999,IF(H7=4,(E7-$Y7)/($Z7-$Y7),-999))</f>
        <v>-999</v>
      </c>
      <c r="AG7" s="33">
        <f aca="true" t="shared" si="11" ref="AG7:AG31">IF(E7=" ",-999,IF(H7=2,(E7-$Y7)/($Z7-$Y7),-999))</f>
        <v>-999</v>
      </c>
      <c r="AH7" s="33">
        <f aca="true" t="shared" si="12" ref="AH7:AH31">IF(E7=" ",-999,IF(MAX(AK7:AL7)&gt;-999,MAX(AK7:AL7),-999))</f>
        <v>0.2995513683756647</v>
      </c>
      <c r="AI7" s="34">
        <f aca="true" t="shared" si="13" ref="AI7:AI31">IF(ISERROR((O7-$Y7)/($Z7-$Y7)),-999,(O7-$Y7)/($Z7-$Y7))</f>
        <v>0.4346082022518829</v>
      </c>
      <c r="AJ7" s="4">
        <v>2.7020512924389086</v>
      </c>
      <c r="AK7" s="32">
        <f aca="true" t="shared" si="14" ref="AK7:AK31">IF(H7=1,(E7-$Y7)/($Z7-$Y7),-999)</f>
        <v>0.2995513683756647</v>
      </c>
      <c r="AL7" s="34">
        <f aca="true" t="shared" si="15" ref="AL7:AL31">IF(H7=3,(E7-$Y7)/($Z7-$Y7),-999)</f>
        <v>-999</v>
      </c>
      <c r="AQ7" s="103">
        <v>2</v>
      </c>
      <c r="AR7" s="103">
        <v>0.2422</v>
      </c>
      <c r="AS7" s="103">
        <v>7.2247</v>
      </c>
      <c r="AY7" s="103" t="s">
        <v>390</v>
      </c>
      <c r="AZ7" s="103" t="s">
        <v>592</v>
      </c>
      <c r="BA7" s="103" t="s">
        <v>108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0.05220931893153975</v>
      </c>
      <c r="G8" s="38">
        <f>IF(LEFT(VLOOKUP($B8,'Indicator chart'!$D$1:$J$36,7,FALSE),1)=" "," ",VLOOKUP($B8,'Indicator chart'!$D$1:$J$36,7,FALSE))</f>
        <v>0.06886873552121066</v>
      </c>
      <c r="H8" s="50">
        <f t="shared" si="0"/>
        <v>1</v>
      </c>
      <c r="I8" s="300" t="s">
        <v>485</v>
      </c>
      <c r="J8" s="300" t="s">
        <v>490</v>
      </c>
      <c r="K8" s="300" t="s">
        <v>494</v>
      </c>
      <c r="L8" s="300" t="s">
        <v>484</v>
      </c>
      <c r="M8" s="300" t="s">
        <v>486</v>
      </c>
      <c r="N8" s="80">
        <f>VLOOKUP('Hide - Control'!B$3,'All practice data'!A:CA,A8+29,FALSE)</f>
        <v>0.12929900538505693</v>
      </c>
      <c r="O8" s="80">
        <f>VLOOKUP('Hide - Control'!C$3,'All practice data'!A:CA,A8+29,FALSE)</f>
        <v>0.1505521558981159</v>
      </c>
      <c r="P8" s="38">
        <f>VLOOKUP('Hide - Control'!$B$4,'All practice data'!B:BC,A8+2,FALSE)</f>
        <v>33110.759999999995</v>
      </c>
      <c r="Q8" s="38">
        <f>VLOOKUP('Hide - Control'!$B$4,'All practice data'!B:BC,3,FALSE)</f>
        <v>256079</v>
      </c>
      <c r="R8" s="38">
        <f>+((2*P8+1.96^2-1.96*SQRT(1.96^2+4*P8*(1-P8/Q8)))/(2*(Q8+1.96^2)))</f>
        <v>0.12800498970704002</v>
      </c>
      <c r="S8" s="38">
        <f>+((2*P8+1.96^2+1.96*SQRT(1.96^2+4*P8*(1-P8/Q8)))/(2*(Q8+1.96^2)))</f>
        <v>0.13060414312757462</v>
      </c>
      <c r="T8" s="53" t="str">
        <f aca="true" t="shared" si="16" ref="T8:T15">IF($C8=1,M8,I8)</f>
        <v>0.24</v>
      </c>
      <c r="U8" s="51" t="str">
        <f t="shared" si="1"/>
        <v>0.05</v>
      </c>
      <c r="V8" s="7"/>
      <c r="W8" s="27">
        <f t="shared" si="2"/>
        <v>0.010000000000000009</v>
      </c>
      <c r="X8" s="27" t="str">
        <f t="shared" si="3"/>
        <v>0.24</v>
      </c>
      <c r="Y8" s="27">
        <f t="shared" si="4"/>
        <v>0.010000000000000009</v>
      </c>
      <c r="Z8" s="27" t="str">
        <f t="shared" si="5"/>
        <v>0.24</v>
      </c>
      <c r="AA8" s="32">
        <f t="shared" si="6"/>
        <v>0.17391304347826086</v>
      </c>
      <c r="AB8" s="33">
        <f t="shared" si="7"/>
        <v>0.34782608695652173</v>
      </c>
      <c r="AC8" s="33">
        <v>0.5</v>
      </c>
      <c r="AD8" s="33">
        <f t="shared" si="8"/>
        <v>0.6521739130434783</v>
      </c>
      <c r="AE8" s="33">
        <f t="shared" si="9"/>
        <v>1</v>
      </c>
      <c r="AF8" s="33">
        <f t="shared" si="10"/>
        <v>-999</v>
      </c>
      <c r="AG8" s="33">
        <f t="shared" si="11"/>
        <v>-999</v>
      </c>
      <c r="AH8" s="33">
        <f t="shared" si="12"/>
        <v>0.21739130434782605</v>
      </c>
      <c r="AI8" s="34">
        <f t="shared" si="13"/>
        <v>0.6110963299918083</v>
      </c>
      <c r="AJ8" s="4">
        <v>3.778046717820832</v>
      </c>
      <c r="AK8" s="32">
        <f t="shared" si="14"/>
        <v>0.21739130434782605</v>
      </c>
      <c r="AL8" s="34">
        <f t="shared" si="15"/>
        <v>-999</v>
      </c>
      <c r="AQ8" s="103">
        <v>3</v>
      </c>
      <c r="AR8" s="103">
        <v>0.6187</v>
      </c>
      <c r="AS8" s="103">
        <v>8.7673</v>
      </c>
      <c r="AY8" s="103" t="s">
        <v>402</v>
      </c>
      <c r="AZ8" s="103" t="s">
        <v>593</v>
      </c>
      <c r="BA8" s="103" t="s">
        <v>108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542.7841634738187</v>
      </c>
      <c r="F9" s="38">
        <f>IF(LEFT(VLOOKUP($B9,'Indicator chart'!$D$1:$J$36,6,FALSE),1)=" "," ",VLOOKUP($B9,'Indicator chart'!$D$1:$J$36,6,FALSE))</f>
        <v>316.00809617422425</v>
      </c>
      <c r="G9" s="38">
        <f>IF(LEFT(VLOOKUP($B9,'Indicator chart'!$D$1:$J$36,7,FALSE),1)=" "," ",VLOOKUP($B9,'Indicator chart'!$D$1:$J$36,7,FALSE))</f>
        <v>869.1031519034133</v>
      </c>
      <c r="H9" s="50">
        <f t="shared" si="0"/>
        <v>2</v>
      </c>
      <c r="I9" s="300" t="s">
        <v>482</v>
      </c>
      <c r="J9" s="300" t="s">
        <v>509</v>
      </c>
      <c r="K9" s="300" t="s">
        <v>532</v>
      </c>
      <c r="L9" s="300" t="s">
        <v>552</v>
      </c>
      <c r="M9" s="300" t="s">
        <v>573</v>
      </c>
      <c r="N9" s="80">
        <f>VLOOKUP('Hide - Control'!B$3,'All practice data'!A:CA,A9+29,FALSE)</f>
        <v>528.3525786964179</v>
      </c>
      <c r="O9" s="80">
        <f>VLOOKUP('Hide - Control'!C$3,'All practice data'!A:CA,A9+29,FALSE)</f>
        <v>470.8933116400106</v>
      </c>
      <c r="P9" s="38">
        <f>VLOOKUP('Hide - Control'!$B$4,'All practice data'!B:BC,A9+2,FALSE)</f>
        <v>1353</v>
      </c>
      <c r="Q9" s="38">
        <f>VLOOKUP('Hide - Control'!$B$4,'All practice data'!B:BC,3,FALSE)</f>
        <v>256079</v>
      </c>
      <c r="R9" s="38">
        <f>100000*(P9*(1-1/(9*P9)-1.96/(3*SQRT(P9)))^3)/Q9</f>
        <v>500.5706874412387</v>
      </c>
      <c r="S9" s="38">
        <f>100000*((P9+1)*(1-1/(9*(P9+1))+1.96/(3*SQRT(P9+1)))^3)/Q9</f>
        <v>557.2750881869061</v>
      </c>
      <c r="T9" s="53" t="str">
        <f t="shared" si="16"/>
        <v>860.0095557</v>
      </c>
      <c r="U9" s="51" t="str">
        <f t="shared" si="1"/>
        <v>156.098</v>
      </c>
      <c r="V9" s="7"/>
      <c r="W9" s="27" t="str">
        <f t="shared" si="2"/>
        <v>156.098</v>
      </c>
      <c r="X9" s="27">
        <f t="shared" si="3"/>
        <v>917.5022214</v>
      </c>
      <c r="Y9" s="27" t="str">
        <f t="shared" si="4"/>
        <v>156.098</v>
      </c>
      <c r="Z9" s="27">
        <f t="shared" si="5"/>
        <v>917.5022214</v>
      </c>
      <c r="AA9" s="32">
        <f t="shared" si="6"/>
        <v>0</v>
      </c>
      <c r="AB9" s="33">
        <f t="shared" si="7"/>
        <v>0.3962431842645415</v>
      </c>
      <c r="AC9" s="33">
        <v>0.5</v>
      </c>
      <c r="AD9" s="33">
        <f t="shared" si="8"/>
        <v>0.6431784449520782</v>
      </c>
      <c r="AE9" s="33">
        <f t="shared" si="9"/>
        <v>0.9244912700979148</v>
      </c>
      <c r="AF9" s="33">
        <f t="shared" si="10"/>
        <v>-999</v>
      </c>
      <c r="AG9" s="33">
        <f t="shared" si="11"/>
        <v>0.5078592324623782</v>
      </c>
      <c r="AH9" s="33">
        <f t="shared" si="12"/>
        <v>-999</v>
      </c>
      <c r="AI9" s="34">
        <f t="shared" si="13"/>
        <v>0.41344046012930413</v>
      </c>
      <c r="AJ9" s="4">
        <v>4.854042143202755</v>
      </c>
      <c r="AK9" s="32">
        <f t="shared" si="14"/>
        <v>-999</v>
      </c>
      <c r="AL9" s="34">
        <f t="shared" si="15"/>
        <v>-999</v>
      </c>
      <c r="AQ9" s="103">
        <v>4</v>
      </c>
      <c r="AR9" s="103">
        <v>1.0899</v>
      </c>
      <c r="AS9" s="103">
        <v>10.2416</v>
      </c>
      <c r="AY9" s="103" t="s">
        <v>336</v>
      </c>
      <c r="AZ9" s="103" t="s">
        <v>594</v>
      </c>
      <c r="BA9" s="103" t="s">
        <v>108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223.4993614303959</v>
      </c>
      <c r="F10" s="38">
        <f>IF(LEFT(VLOOKUP($B10,'Indicator chart'!$D$1:$J$36,6,FALSE),1)=" "," ",VLOOKUP($B10,'Indicator chart'!$D$1:$J$36,6,FALSE))</f>
        <v>89.53955621259318</v>
      </c>
      <c r="G10" s="38">
        <f>IF(LEFT(VLOOKUP($B10,'Indicator chart'!$D$1:$J$36,7,FALSE),1)=" "," ",VLOOKUP($B10,'Indicator chart'!$D$1:$J$36,7,FALSE))</f>
        <v>460.5176710819975</v>
      </c>
      <c r="H10" s="50">
        <f t="shared" si="0"/>
        <v>2</v>
      </c>
      <c r="I10" s="300" t="s">
        <v>476</v>
      </c>
      <c r="J10" s="300" t="s">
        <v>510</v>
      </c>
      <c r="K10" s="300" t="s">
        <v>533</v>
      </c>
      <c r="L10" s="300" t="s">
        <v>553</v>
      </c>
      <c r="M10" s="300" t="s">
        <v>574</v>
      </c>
      <c r="N10" s="80">
        <f>VLOOKUP('Hide - Control'!B$3,'All practice data'!A:CA,A10+29,FALSE)</f>
        <v>253.04691130471457</v>
      </c>
      <c r="O10" s="80">
        <f>VLOOKUP('Hide - Control'!C$3,'All practice data'!A:CA,A10+29,FALSE)</f>
        <v>233.75900261472046</v>
      </c>
      <c r="P10" s="38">
        <f>VLOOKUP('Hide - Control'!$B$4,'All practice data'!B:BC,A10+2,FALSE)</f>
        <v>648</v>
      </c>
      <c r="Q10" s="38">
        <f>VLOOKUP('Hide - Control'!$B$4,'All practice data'!B:BC,3,FALSE)</f>
        <v>256079</v>
      </c>
      <c r="R10" s="38">
        <f>100000*(P10*(1-1/(9*P10)-1.96/(3*SQRT(P10)))^3)/Q10</f>
        <v>233.93551863215072</v>
      </c>
      <c r="S10" s="38">
        <f>100000*((P10+1)*(1-1/(9*(P10+1))+1.96/(3*SQRT(P10+1)))^3)/Q10</f>
        <v>273.30348314086393</v>
      </c>
      <c r="T10" s="53" t="str">
        <f t="shared" si="16"/>
        <v>478.7552364</v>
      </c>
      <c r="U10" s="51" t="str">
        <f t="shared" si="1"/>
        <v>61.6589</v>
      </c>
      <c r="V10" s="7"/>
      <c r="W10" s="27">
        <f t="shared" si="2"/>
        <v>13.133065199999976</v>
      </c>
      <c r="X10" s="27" t="str">
        <f t="shared" si="3"/>
        <v>478.7552364</v>
      </c>
      <c r="Y10" s="27">
        <f t="shared" si="4"/>
        <v>13.133065199999976</v>
      </c>
      <c r="Z10" s="27" t="str">
        <f t="shared" si="5"/>
        <v>478.7552364</v>
      </c>
      <c r="AA10" s="32">
        <f t="shared" si="6"/>
        <v>0.10421719110784479</v>
      </c>
      <c r="AB10" s="33">
        <f t="shared" si="7"/>
        <v>0.3472595116836653</v>
      </c>
      <c r="AC10" s="33">
        <v>0.5</v>
      </c>
      <c r="AD10" s="33">
        <f t="shared" si="8"/>
        <v>0.6525014986227958</v>
      </c>
      <c r="AE10" s="33">
        <f t="shared" si="9"/>
        <v>1</v>
      </c>
      <c r="AF10" s="33">
        <f t="shared" si="10"/>
        <v>-999</v>
      </c>
      <c r="AG10" s="33">
        <f t="shared" si="11"/>
        <v>0.451796132663186</v>
      </c>
      <c r="AH10" s="33">
        <f t="shared" si="12"/>
        <v>-999</v>
      </c>
      <c r="AI10" s="34">
        <f t="shared" si="13"/>
        <v>0.4738303952454068</v>
      </c>
      <c r="AJ10" s="4">
        <v>5.930037568584676</v>
      </c>
      <c r="AK10" s="32">
        <f t="shared" si="14"/>
        <v>-999</v>
      </c>
      <c r="AL10" s="34">
        <f t="shared" si="15"/>
        <v>-999</v>
      </c>
      <c r="AY10" s="103" t="s">
        <v>401</v>
      </c>
      <c r="AZ10" s="103" t="s">
        <v>595</v>
      </c>
      <c r="BA10" s="103" t="s">
        <v>108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38</v>
      </c>
      <c r="E11" s="38">
        <f>IF(LEFT(VLOOKUP($B11,'Indicator chart'!$D$1:$J$36,5,FALSE),1)=" "," ",VLOOKUP($B11,'Indicator chart'!$D$1:$J$36,5,FALSE))</f>
        <v>0.0121</v>
      </c>
      <c r="F11" s="38">
        <f>IF(LEFT(VLOOKUP($B11,'Indicator chart'!$D$1:$J$36,6,FALSE),1)=" "," ",VLOOKUP($B11,'Indicator chart'!$D$1:$J$36,6,FALSE))</f>
        <v>0.008852303654470694</v>
      </c>
      <c r="G11" s="38">
        <f>IF(LEFT(VLOOKUP($B11,'Indicator chart'!$D$1:$J$36,7,FALSE),1)=" "," ",VLOOKUP($B11,'Indicator chart'!$D$1:$J$36,7,FALSE))</f>
        <v>0.016608676262372044</v>
      </c>
      <c r="H11" s="50">
        <f t="shared" si="0"/>
        <v>1</v>
      </c>
      <c r="I11" s="300" t="s">
        <v>497</v>
      </c>
      <c r="J11" s="300" t="s">
        <v>511</v>
      </c>
      <c r="K11" s="300" t="s">
        <v>534</v>
      </c>
      <c r="L11" s="300" t="s">
        <v>499</v>
      </c>
      <c r="M11" s="300" t="s">
        <v>495</v>
      </c>
      <c r="N11" s="80">
        <f>VLOOKUP('Hide - Control'!B$3,'All practice data'!A:CA,A11+29,FALSE)</f>
        <v>0.017213438040604656</v>
      </c>
      <c r="O11" s="80">
        <f>VLOOKUP('Hide - Control'!C$3,'All practice data'!A:CA,A11+29,FALSE)</f>
        <v>0.017736238185113332</v>
      </c>
      <c r="P11" s="38">
        <f>VLOOKUP('Hide - Control'!$B$4,'All practice data'!B:BC,A11+2,FALSE)</f>
        <v>4408</v>
      </c>
      <c r="Q11" s="38">
        <f>VLOOKUP('Hide - Control'!$B$4,'All practice data'!B:BC,3,FALSE)</f>
        <v>256079</v>
      </c>
      <c r="R11" s="80">
        <f aca="true" t="shared" si="17" ref="R11:R16">+((2*P11+1.96^2-1.96*SQRT(1.96^2+4*P11*(1-P11/Q11)))/(2*(Q11+1.96^2)))</f>
        <v>0.016716861997885885</v>
      </c>
      <c r="S11" s="80">
        <f aca="true" t="shared" si="18" ref="S11:S16">+((2*P11+1.96^2+1.96*SQRT(1.96^2+4*P11*(1-P11/Q11)))/(2*(Q11+1.96^2)))</f>
        <v>0.017724499027686236</v>
      </c>
      <c r="T11" s="53" t="str">
        <f t="shared" si="16"/>
        <v>0.0317</v>
      </c>
      <c r="U11" s="51" t="str">
        <f t="shared" si="1"/>
        <v>0.0039</v>
      </c>
      <c r="V11" s="7"/>
      <c r="W11" s="27">
        <f t="shared" si="2"/>
        <v>0.0034000000000000002</v>
      </c>
      <c r="X11" s="27" t="str">
        <f t="shared" si="3"/>
        <v>0.0317</v>
      </c>
      <c r="Y11" s="27">
        <f t="shared" si="4"/>
        <v>0.0034000000000000002</v>
      </c>
      <c r="Z11" s="27" t="str">
        <f t="shared" si="5"/>
        <v>0.0317</v>
      </c>
      <c r="AA11" s="32">
        <f t="shared" si="6"/>
        <v>0.017667844522968185</v>
      </c>
      <c r="AB11" s="33">
        <f t="shared" si="7"/>
        <v>0.2897526501766784</v>
      </c>
      <c r="AC11" s="33">
        <v>0.5</v>
      </c>
      <c r="AD11" s="33">
        <f t="shared" si="8"/>
        <v>0.696113074204947</v>
      </c>
      <c r="AE11" s="33">
        <f t="shared" si="9"/>
        <v>1</v>
      </c>
      <c r="AF11" s="33">
        <f t="shared" si="10"/>
        <v>-999</v>
      </c>
      <c r="AG11" s="33">
        <f t="shared" si="11"/>
        <v>-999</v>
      </c>
      <c r="AH11" s="33">
        <f t="shared" si="12"/>
        <v>0.30742049469964666</v>
      </c>
      <c r="AI11" s="34">
        <f t="shared" si="13"/>
        <v>0.5065808545976442</v>
      </c>
      <c r="AJ11" s="4">
        <v>7.0060329939666</v>
      </c>
      <c r="AK11" s="32">
        <f t="shared" si="14"/>
        <v>0.30742049469964666</v>
      </c>
      <c r="AL11" s="34">
        <f t="shared" si="15"/>
        <v>-999</v>
      </c>
      <c r="AY11" s="103" t="s">
        <v>253</v>
      </c>
      <c r="AZ11" s="103" t="s">
        <v>596</v>
      </c>
      <c r="BA11" s="103" t="s">
        <v>108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255</v>
      </c>
      <c r="E12" s="38">
        <f>IF(LEFT(VLOOKUP($B12,'Indicator chart'!$D$1:$J$36,5,FALSE),1)=" "," ",VLOOKUP($B12,'Indicator chart'!$D$1:$J$36,5,FALSE))</f>
        <v>0.653846</v>
      </c>
      <c r="F12" s="38">
        <f>IF(LEFT(VLOOKUP($B12,'Indicator chart'!$D$1:$J$36,6,FALSE),1)=" "," ",VLOOKUP($B12,'Indicator chart'!$D$1:$J$36,6,FALSE))</f>
        <v>0.6053356434447278</v>
      </c>
      <c r="G12" s="38">
        <f>IF(LEFT(VLOOKUP($B12,'Indicator chart'!$D$1:$J$36,7,FALSE),1)=" "," ",VLOOKUP($B12,'Indicator chart'!$D$1:$J$36,7,FALSE))</f>
        <v>0.6993553795452255</v>
      </c>
      <c r="H12" s="50">
        <f t="shared" si="0"/>
        <v>1</v>
      </c>
      <c r="I12" s="300" t="s">
        <v>501</v>
      </c>
      <c r="J12" s="300" t="s">
        <v>512</v>
      </c>
      <c r="K12" s="300" t="s">
        <v>535</v>
      </c>
      <c r="L12" s="300" t="s">
        <v>554</v>
      </c>
      <c r="M12" s="300" t="s">
        <v>575</v>
      </c>
      <c r="N12" s="80">
        <f>VLOOKUP('Hide - Control'!B$3,'All practice data'!A:CA,A12+29,FALSE)</f>
        <v>0.7302435192458759</v>
      </c>
      <c r="O12" s="80">
        <f>VLOOKUP('Hide - Control'!C$3,'All practice data'!A:CA,A12+29,FALSE)</f>
        <v>0.7246856648259642</v>
      </c>
      <c r="P12" s="38">
        <f>VLOOKUP('Hide - Control'!$B$4,'All practice data'!B:BC,A12+2,FALSE)</f>
        <v>23240</v>
      </c>
      <c r="Q12" s="38">
        <f>VLOOKUP('Hide - Control'!$B$4,'All practice data'!B:BJ,57,FALSE)</f>
        <v>31825</v>
      </c>
      <c r="R12" s="38">
        <f t="shared" si="17"/>
        <v>0.7253396309572737</v>
      </c>
      <c r="S12" s="38">
        <f t="shared" si="18"/>
        <v>0.7350918287914845</v>
      </c>
      <c r="T12" s="53" t="str">
        <f t="shared" si="16"/>
        <v>0.803478</v>
      </c>
      <c r="U12" s="51" t="str">
        <f t="shared" si="1"/>
        <v>0.550296</v>
      </c>
      <c r="V12" s="7"/>
      <c r="W12" s="27" t="str">
        <f t="shared" si="2"/>
        <v>0.550296</v>
      </c>
      <c r="X12" s="27">
        <f t="shared" si="3"/>
        <v>0.909498</v>
      </c>
      <c r="Y12" s="27" t="str">
        <f t="shared" si="4"/>
        <v>0.550296</v>
      </c>
      <c r="Z12" s="27">
        <f t="shared" si="5"/>
        <v>0.909498</v>
      </c>
      <c r="AA12" s="32">
        <f t="shared" si="6"/>
        <v>0</v>
      </c>
      <c r="AB12" s="33">
        <f t="shared" si="7"/>
        <v>0.4050234965284158</v>
      </c>
      <c r="AC12" s="33">
        <v>0.5</v>
      </c>
      <c r="AD12" s="33">
        <f t="shared" si="8"/>
        <v>0.5697337431306062</v>
      </c>
      <c r="AE12" s="33">
        <f t="shared" si="9"/>
        <v>0.704845741393422</v>
      </c>
      <c r="AF12" s="33">
        <f t="shared" si="10"/>
        <v>-999</v>
      </c>
      <c r="AG12" s="33">
        <f t="shared" si="11"/>
        <v>-999</v>
      </c>
      <c r="AH12" s="33">
        <f t="shared" si="12"/>
        <v>0.2882779049114427</v>
      </c>
      <c r="AI12" s="34">
        <f t="shared" si="13"/>
        <v>0.4854919093600931</v>
      </c>
      <c r="AJ12" s="4">
        <v>8.082028419348523</v>
      </c>
      <c r="AK12" s="32">
        <f t="shared" si="14"/>
        <v>0.2882779049114427</v>
      </c>
      <c r="AL12" s="34">
        <f t="shared" si="15"/>
        <v>-999</v>
      </c>
      <c r="AY12" s="103" t="s">
        <v>333</v>
      </c>
      <c r="AZ12" s="103" t="s">
        <v>597</v>
      </c>
      <c r="BA12" s="103" t="s">
        <v>108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41</v>
      </c>
      <c r="E13" s="38">
        <f>IF(LEFT(VLOOKUP($B13,'Indicator chart'!$D$1:$J$36,5,FALSE),1)=" "," ",VLOOKUP($B13,'Indicator chart'!$D$1:$J$36,5,FALSE))</f>
        <v>0.650794</v>
      </c>
      <c r="F13" s="38">
        <f>IF(LEFT(VLOOKUP($B13,'Indicator chart'!$D$1:$J$36,6,FALSE),1)=" "," ",VLOOKUP($B13,'Indicator chart'!$D$1:$J$36,6,FALSE))</f>
        <v>0.5275123111600184</v>
      </c>
      <c r="G13" s="38">
        <f>IF(LEFT(VLOOKUP($B13,'Indicator chart'!$D$1:$J$36,7,FALSE),1)=" "," ",VLOOKUP($B13,'Indicator chart'!$D$1:$J$36,7,FALSE))</f>
        <v>0.7567418060364581</v>
      </c>
      <c r="H13" s="50">
        <f t="shared" si="0"/>
        <v>2</v>
      </c>
      <c r="I13" s="300" t="s">
        <v>481</v>
      </c>
      <c r="J13" s="300" t="s">
        <v>513</v>
      </c>
      <c r="K13" s="300" t="s">
        <v>536</v>
      </c>
      <c r="L13" s="300" t="s">
        <v>555</v>
      </c>
      <c r="M13" s="300" t="s">
        <v>498</v>
      </c>
      <c r="N13" s="80">
        <f>VLOOKUP('Hide - Control'!B$3,'All practice data'!A:CA,A13+29,FALSE)</f>
        <v>0.6977325477593287</v>
      </c>
      <c r="O13" s="80">
        <f>VLOOKUP('Hide - Control'!C$3,'All practice data'!A:CA,A13+29,FALSE)</f>
        <v>0.7425503147315781</v>
      </c>
      <c r="P13" s="38">
        <f>VLOOKUP('Hide - Control'!$B$4,'All practice data'!B:BC,A13+2,FALSE)</f>
        <v>3908</v>
      </c>
      <c r="Q13" s="38">
        <f>VLOOKUP('Hide - Control'!$B$4,'All practice data'!B:BJ,58,FALSE)</f>
        <v>5601</v>
      </c>
      <c r="R13" s="38">
        <f t="shared" si="17"/>
        <v>0.6855732085043444</v>
      </c>
      <c r="S13" s="38">
        <f t="shared" si="18"/>
        <v>0.7096208323049444</v>
      </c>
      <c r="T13" s="53" t="str">
        <f t="shared" si="16"/>
        <v>0.835294</v>
      </c>
      <c r="U13" s="51" t="str">
        <f t="shared" si="1"/>
        <v>0.333333</v>
      </c>
      <c r="V13" s="7"/>
      <c r="W13" s="27" t="str">
        <f t="shared" si="2"/>
        <v>0.333333</v>
      </c>
      <c r="X13" s="27">
        <f t="shared" si="3"/>
        <v>1.0115120000000002</v>
      </c>
      <c r="Y13" s="27" t="str">
        <f t="shared" si="4"/>
        <v>0.333333</v>
      </c>
      <c r="Z13" s="27">
        <f t="shared" si="5"/>
        <v>1.0115120000000002</v>
      </c>
      <c r="AA13" s="32">
        <f t="shared" si="6"/>
        <v>0</v>
      </c>
      <c r="AB13" s="33">
        <f t="shared" si="7"/>
        <v>0.4110492952450606</v>
      </c>
      <c r="AC13" s="33">
        <v>0.5</v>
      </c>
      <c r="AD13" s="33">
        <f t="shared" si="8"/>
        <v>0.5831130129361126</v>
      </c>
      <c r="AE13" s="33">
        <f t="shared" si="9"/>
        <v>0.7401600462414788</v>
      </c>
      <c r="AF13" s="33">
        <f t="shared" si="10"/>
        <v>-999</v>
      </c>
      <c r="AG13" s="33">
        <f t="shared" si="11"/>
        <v>0.4681079773923992</v>
      </c>
      <c r="AH13" s="33">
        <f t="shared" si="12"/>
        <v>-999</v>
      </c>
      <c r="AI13" s="34">
        <f t="shared" si="13"/>
        <v>0.6034060546427683</v>
      </c>
      <c r="AJ13" s="4">
        <v>9.158023844730446</v>
      </c>
      <c r="AK13" s="32">
        <f t="shared" si="14"/>
        <v>-999</v>
      </c>
      <c r="AL13" s="34">
        <f t="shared" si="15"/>
        <v>-999</v>
      </c>
      <c r="AY13" s="103" t="s">
        <v>254</v>
      </c>
      <c r="AZ13" s="103" t="s">
        <v>598</v>
      </c>
      <c r="BA13" s="103" t="s">
        <v>108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580</v>
      </c>
      <c r="E14" s="38">
        <f>IF(LEFT(VLOOKUP($B14,'Indicator chart'!$D$1:$J$36,5,FALSE),1)=" "," ",VLOOKUP($B14,'Indicator chart'!$D$1:$J$36,5,FALSE))</f>
        <v>0.716934</v>
      </c>
      <c r="F14" s="38">
        <f>IF(LEFT(VLOOKUP($B14,'Indicator chart'!$D$1:$J$36,6,FALSE),1)=" "," ",VLOOKUP($B14,'Indicator chart'!$D$1:$J$36,6,FALSE))</f>
        <v>0.684922606828584</v>
      </c>
      <c r="G14" s="38">
        <f>IF(LEFT(VLOOKUP($B14,'Indicator chart'!$D$1:$J$36,7,FALSE),1)=" "," ",VLOOKUP($B14,'Indicator chart'!$D$1:$J$36,7,FALSE))</f>
        <v>0.7468958434082149</v>
      </c>
      <c r="H14" s="50">
        <f t="shared" si="0"/>
        <v>1</v>
      </c>
      <c r="I14" s="300" t="s">
        <v>502</v>
      </c>
      <c r="J14" s="300" t="s">
        <v>514</v>
      </c>
      <c r="K14" s="300" t="s">
        <v>537</v>
      </c>
      <c r="L14" s="300" t="s">
        <v>556</v>
      </c>
      <c r="M14" s="300" t="s">
        <v>576</v>
      </c>
      <c r="N14" s="80">
        <f>VLOOKUP('Hide - Control'!B$3,'All practice data'!A:CA,A14+29,FALSE)</f>
        <v>0.7598105761641674</v>
      </c>
      <c r="O14" s="80">
        <f>VLOOKUP('Hide - Control'!C$3,'All practice data'!A:CA,A14+29,FALSE)</f>
        <v>0.7530641252748632</v>
      </c>
      <c r="P14" s="38">
        <f>VLOOKUP('Hide - Control'!$B$4,'All practice data'!B:BC,A14+2,FALSE)</f>
        <v>48134</v>
      </c>
      <c r="Q14" s="38">
        <f>VLOOKUP('Hide - Control'!$B$4,'All practice data'!B:BJ,59,FALSE)</f>
        <v>63350</v>
      </c>
      <c r="R14" s="38">
        <f t="shared" si="17"/>
        <v>0.7564681952551683</v>
      </c>
      <c r="S14" s="38">
        <f t="shared" si="18"/>
        <v>0.7631214486978514</v>
      </c>
      <c r="T14" s="53" t="str">
        <f t="shared" si="16"/>
        <v>0.865385</v>
      </c>
      <c r="U14" s="51" t="str">
        <f t="shared" si="1"/>
        <v>0.655754</v>
      </c>
      <c r="V14" s="7"/>
      <c r="W14" s="27" t="str">
        <f t="shared" si="2"/>
        <v>0.655754</v>
      </c>
      <c r="X14" s="27">
        <f t="shared" si="3"/>
        <v>0.8741920000000001</v>
      </c>
      <c r="Y14" s="27" t="str">
        <f t="shared" si="4"/>
        <v>0.655754</v>
      </c>
      <c r="Z14" s="27">
        <f t="shared" si="5"/>
        <v>0.8741920000000001</v>
      </c>
      <c r="AA14" s="32">
        <f t="shared" si="6"/>
        <v>0</v>
      </c>
      <c r="AB14" s="33">
        <f t="shared" si="7"/>
        <v>0.32247937629899576</v>
      </c>
      <c r="AC14" s="33">
        <v>0.5</v>
      </c>
      <c r="AD14" s="33">
        <f t="shared" si="8"/>
        <v>0.6354961133136172</v>
      </c>
      <c r="AE14" s="33">
        <f t="shared" si="9"/>
        <v>0.9596819234748527</v>
      </c>
      <c r="AF14" s="33">
        <f t="shared" si="10"/>
        <v>-999</v>
      </c>
      <c r="AG14" s="33">
        <f t="shared" si="11"/>
        <v>-999</v>
      </c>
      <c r="AH14" s="33">
        <f t="shared" si="12"/>
        <v>0.2800794733517061</v>
      </c>
      <c r="AI14" s="34">
        <f t="shared" si="13"/>
        <v>0.44548167111428966</v>
      </c>
      <c r="AJ14" s="4">
        <v>10.234019270112368</v>
      </c>
      <c r="AK14" s="32">
        <f t="shared" si="14"/>
        <v>0.2800794733517061</v>
      </c>
      <c r="AL14" s="34">
        <f t="shared" si="15"/>
        <v>-999</v>
      </c>
      <c r="AY14" s="103" t="s">
        <v>359</v>
      </c>
      <c r="AZ14" s="103" t="s">
        <v>599</v>
      </c>
      <c r="BA14" s="103" t="s">
        <v>108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139</v>
      </c>
      <c r="E15" s="38">
        <f>IF(LEFT(VLOOKUP($B15,'Indicator chart'!$D$1:$J$36,5,FALSE),1)=" "," ",VLOOKUP($B15,'Indicator chart'!$D$1:$J$36,5,FALSE))</f>
        <v>0.526515</v>
      </c>
      <c r="F15" s="38">
        <f>IF(LEFT(VLOOKUP($B15,'Indicator chart'!$D$1:$J$36,6,FALSE),1)=" "," ",VLOOKUP($B15,'Indicator chart'!$D$1:$J$36,6,FALSE))</f>
        <v>0.4663371720307824</v>
      </c>
      <c r="G15" s="38">
        <f>IF(LEFT(VLOOKUP($B15,'Indicator chart'!$D$1:$J$36,7,FALSE),1)=" "," ",VLOOKUP($B15,'Indicator chart'!$D$1:$J$36,7,FALSE))</f>
        <v>0.5859325276723257</v>
      </c>
      <c r="H15" s="50">
        <f t="shared" si="0"/>
        <v>2</v>
      </c>
      <c r="I15" s="300" t="s">
        <v>503</v>
      </c>
      <c r="J15" s="300" t="s">
        <v>515</v>
      </c>
      <c r="K15" s="300" t="s">
        <v>538</v>
      </c>
      <c r="L15" s="300" t="s">
        <v>557</v>
      </c>
      <c r="M15" s="300" t="s">
        <v>577</v>
      </c>
      <c r="N15" s="80">
        <f>VLOOKUP('Hide - Control'!B$3,'All practice data'!A:CA,A15+29,FALSE)</f>
        <v>0.5444536097263566</v>
      </c>
      <c r="O15" s="80">
        <f>VLOOKUP('Hide - Control'!C$3,'All practice data'!A:CA,A15+29,FALSE)</f>
        <v>0.5744521249276766</v>
      </c>
      <c r="P15" s="38">
        <f>VLOOKUP('Hide - Control'!$B$4,'All practice data'!B:BC,A15+2,FALSE)</f>
        <v>15181</v>
      </c>
      <c r="Q15" s="38">
        <f>VLOOKUP('Hide - Control'!$B$4,'All practice data'!B:BJ,60,FALSE)</f>
        <v>27883</v>
      </c>
      <c r="R15" s="38">
        <f t="shared" si="17"/>
        <v>0.5386022319077122</v>
      </c>
      <c r="S15" s="38">
        <f t="shared" si="18"/>
        <v>0.5502927399775227</v>
      </c>
      <c r="T15" s="53" t="str">
        <f t="shared" si="16"/>
        <v>0.65281</v>
      </c>
      <c r="U15" s="51" t="str">
        <f t="shared" si="1"/>
        <v>0.318008</v>
      </c>
      <c r="V15" s="7"/>
      <c r="W15" s="27" t="str">
        <f t="shared" si="2"/>
        <v>0.318008</v>
      </c>
      <c r="X15" s="27">
        <f t="shared" si="3"/>
        <v>0.7256129999999998</v>
      </c>
      <c r="Y15" s="27" t="str">
        <f t="shared" si="4"/>
        <v>0.318008</v>
      </c>
      <c r="Z15" s="27">
        <f t="shared" si="5"/>
        <v>0.7256129999999998</v>
      </c>
      <c r="AA15" s="32">
        <f t="shared" si="6"/>
        <v>0</v>
      </c>
      <c r="AB15" s="33">
        <f t="shared" si="7"/>
        <v>0.40966315427926564</v>
      </c>
      <c r="AC15" s="33">
        <v>0.5</v>
      </c>
      <c r="AD15" s="33">
        <f t="shared" si="8"/>
        <v>0.6552287140736743</v>
      </c>
      <c r="AE15" s="33">
        <f t="shared" si="9"/>
        <v>0.8213883539210759</v>
      </c>
      <c r="AF15" s="33">
        <f t="shared" si="10"/>
        <v>-999</v>
      </c>
      <c r="AG15" s="33">
        <f t="shared" si="11"/>
        <v>0.5115418113124226</v>
      </c>
      <c r="AH15" s="33">
        <f t="shared" si="12"/>
        <v>-999</v>
      </c>
      <c r="AI15" s="34">
        <f t="shared" si="13"/>
        <v>0.6291486241034254</v>
      </c>
      <c r="AJ15" s="4">
        <v>11.310014695494289</v>
      </c>
      <c r="AK15" s="32">
        <f t="shared" si="14"/>
        <v>-999</v>
      </c>
      <c r="AL15" s="34">
        <f t="shared" si="15"/>
        <v>-999</v>
      </c>
      <c r="AY15" s="103" t="s">
        <v>403</v>
      </c>
      <c r="AZ15" s="103" t="s">
        <v>600</v>
      </c>
      <c r="BA15" s="103" t="s">
        <v>108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72</v>
      </c>
      <c r="E16" s="38">
        <f>IF(LEFT(VLOOKUP($B16,'Indicator chart'!$D$1:$J$36,5,FALSE),1)=" "," ",VLOOKUP($B16,'Indicator chart'!$D$1:$J$36,5,FALSE))</f>
        <v>0.521739</v>
      </c>
      <c r="F16" s="38">
        <f>IF(LEFT(VLOOKUP($B16,'Indicator chart'!$D$1:$J$36,6,FALSE),1)=" "," ",VLOOKUP($B16,'Indicator chart'!$D$1:$J$36,6,FALSE))</f>
        <v>0.4389403763047988</v>
      </c>
      <c r="G16" s="38">
        <f>IF(LEFT(VLOOKUP($B16,'Indicator chart'!$D$1:$J$36,7,FALSE),1)=" "," ",VLOOKUP($B16,'Indicator chart'!$D$1:$J$36,7,FALSE))</f>
        <v>0.6033603309630268</v>
      </c>
      <c r="H16" s="50">
        <f t="shared" si="0"/>
        <v>2</v>
      </c>
      <c r="I16" s="300" t="s">
        <v>504</v>
      </c>
      <c r="J16" s="300" t="s">
        <v>516</v>
      </c>
      <c r="K16" s="300" t="s">
        <v>539</v>
      </c>
      <c r="L16" s="300" t="s">
        <v>558</v>
      </c>
      <c r="M16" s="300" t="s">
        <v>578</v>
      </c>
      <c r="N16" s="80">
        <f>VLOOKUP('Hide - Control'!B$3,'All practice data'!A:CA,A16+29,FALSE)</f>
        <v>0.5550984022491943</v>
      </c>
      <c r="O16" s="80">
        <f>VLOOKUP('Hide - Control'!C$3,'All practice data'!A:CA,A16+29,FALSE)</f>
        <v>0.5565049054289257</v>
      </c>
      <c r="P16" s="38">
        <f>VLOOKUP('Hide - Control'!$B$4,'All practice data'!B:BC,A16+2,FALSE)</f>
        <v>8095</v>
      </c>
      <c r="Q16" s="38">
        <f>VLOOKUP('Hide - Control'!$B$4,'All practice data'!B:BJ,61,FALSE)</f>
        <v>14583</v>
      </c>
      <c r="R16" s="38">
        <f t="shared" si="17"/>
        <v>0.5470191005884993</v>
      </c>
      <c r="S16" s="38">
        <f t="shared" si="18"/>
        <v>0.5631486824084724</v>
      </c>
      <c r="T16" s="53" t="str">
        <f aca="true" t="shared" si="19" ref="T16:T31">IF($C16=1,M16,I16)</f>
        <v>0.681223</v>
      </c>
      <c r="U16" s="51" t="str">
        <f aca="true" t="shared" si="20" ref="U16:U31">IF($C16=1,I16,M16)</f>
        <v>0.298507</v>
      </c>
      <c r="V16" s="7"/>
      <c r="W16" s="27" t="str">
        <f t="shared" si="2"/>
        <v>0.298507</v>
      </c>
      <c r="X16" s="27">
        <f t="shared" si="3"/>
        <v>0.766888</v>
      </c>
      <c r="Y16" s="27" t="str">
        <f t="shared" si="4"/>
        <v>0.298507</v>
      </c>
      <c r="Z16" s="27">
        <f t="shared" si="5"/>
        <v>0.766888</v>
      </c>
      <c r="AA16" s="32">
        <f t="shared" si="6"/>
        <v>0</v>
      </c>
      <c r="AB16" s="33">
        <f t="shared" si="7"/>
        <v>0.4170312203099613</v>
      </c>
      <c r="AC16" s="33">
        <v>0.5</v>
      </c>
      <c r="AD16" s="33">
        <f t="shared" si="8"/>
        <v>0.621893287729434</v>
      </c>
      <c r="AE16" s="33">
        <f t="shared" si="9"/>
        <v>0.8171040242879195</v>
      </c>
      <c r="AF16" s="33">
        <f t="shared" si="10"/>
        <v>-999</v>
      </c>
      <c r="AG16" s="33">
        <f t="shared" si="11"/>
        <v>0.4766034489016419</v>
      </c>
      <c r="AH16" s="33">
        <f t="shared" si="12"/>
        <v>-999</v>
      </c>
      <c r="AI16" s="34">
        <f t="shared" si="13"/>
        <v>0.5508291442840886</v>
      </c>
      <c r="AJ16" s="4">
        <v>12.386010120876215</v>
      </c>
      <c r="AK16" s="32">
        <f t="shared" si="14"/>
        <v>-999</v>
      </c>
      <c r="AL16" s="34">
        <f t="shared" si="15"/>
        <v>-999</v>
      </c>
      <c r="AY16" s="103" t="s">
        <v>302</v>
      </c>
      <c r="AZ16" s="103" t="s">
        <v>601</v>
      </c>
      <c r="BA16" s="103" t="s">
        <v>108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85</v>
      </c>
      <c r="E17" s="38">
        <f>IF(LEFT(VLOOKUP($B17,'Indicator chart'!$D$1:$J$36,5,FALSE),1)=" "," ",VLOOKUP($B17,'Indicator chart'!$D$1:$J$36,5,FALSE))</f>
        <v>2713.920817369093</v>
      </c>
      <c r="F17" s="38">
        <f>IF(LEFT(VLOOKUP($B17,'Indicator chart'!$D$1:$J$36,6,FALSE),1)=" "," ",VLOOKUP($B17,'Indicator chart'!$D$1:$J$36,6,FALSE))</f>
        <v>2167.708121846436</v>
      </c>
      <c r="G17" s="38">
        <f>IF(LEFT(VLOOKUP($B17,'Indicator chart'!$D$1:$J$36,7,FALSE),1)=" "," ",VLOOKUP($B17,'Indicator chart'!$D$1:$J$36,7,FALSE))</f>
        <v>3355.8557783963743</v>
      </c>
      <c r="H17" s="50">
        <f t="shared" si="0"/>
        <v>2</v>
      </c>
      <c r="I17" s="300" t="s">
        <v>505</v>
      </c>
      <c r="J17" s="300" t="s">
        <v>517</v>
      </c>
      <c r="K17" s="300" t="s">
        <v>540</v>
      </c>
      <c r="L17" s="300" t="s">
        <v>559</v>
      </c>
      <c r="M17" s="300" t="s">
        <v>579</v>
      </c>
      <c r="N17" s="80">
        <f>VLOOKUP('Hide - Control'!B$3,'All practice data'!A:CA,A17+29,FALSE)</f>
        <v>2256.3349591337046</v>
      </c>
      <c r="O17" s="80">
        <f>VLOOKUP('Hide - Control'!C$3,'All practice data'!A:CA,A17+29,FALSE)</f>
        <v>1981.9429445600304</v>
      </c>
      <c r="P17" s="38">
        <f>VLOOKUP('Hide - Control'!$B$4,'All practice data'!B:BC,A17+2,FALSE)</f>
        <v>5778</v>
      </c>
      <c r="Q17" s="38">
        <f>VLOOKUP('Hide - Control'!$B$4,'All practice data'!B:BC,3,FALSE)</f>
        <v>256079</v>
      </c>
      <c r="R17" s="38">
        <f>100000*(P17*(1-1/(9*P17)-1.96/(3*SQRT(P17)))^3)/Q17</f>
        <v>2198.526023516715</v>
      </c>
      <c r="S17" s="38">
        <f>100000*((P17+1)*(1-1/(9*(P17+1))+1.96/(3*SQRT(P17+1)))^3)/Q17</f>
        <v>2315.27919116282</v>
      </c>
      <c r="T17" s="53" t="str">
        <f t="shared" si="19"/>
        <v>4734.667938</v>
      </c>
      <c r="U17" s="51" t="str">
        <f t="shared" si="20"/>
        <v>752.980548</v>
      </c>
      <c r="V17" s="7"/>
      <c r="W17" s="27">
        <f t="shared" si="2"/>
        <v>-759.4364979999998</v>
      </c>
      <c r="X17" s="27" t="str">
        <f t="shared" si="3"/>
        <v>4734.667938</v>
      </c>
      <c r="Y17" s="27">
        <f t="shared" si="4"/>
        <v>-759.4364979999998</v>
      </c>
      <c r="Z17" s="27" t="str">
        <f t="shared" si="5"/>
        <v>4734.667938</v>
      </c>
      <c r="AA17" s="32">
        <f t="shared" si="6"/>
        <v>0.27527999578783396</v>
      </c>
      <c r="AB17" s="33">
        <f t="shared" si="7"/>
        <v>0.3441378885357613</v>
      </c>
      <c r="AC17" s="33">
        <v>0.5</v>
      </c>
      <c r="AD17" s="33">
        <f t="shared" si="8"/>
        <v>0.6135122042663697</v>
      </c>
      <c r="AE17" s="33">
        <f t="shared" si="9"/>
        <v>1</v>
      </c>
      <c r="AF17" s="33">
        <f t="shared" si="10"/>
        <v>-999</v>
      </c>
      <c r="AG17" s="33">
        <f t="shared" si="11"/>
        <v>0.6321971771431928</v>
      </c>
      <c r="AH17" s="33">
        <f t="shared" si="12"/>
        <v>-999</v>
      </c>
      <c r="AI17" s="34">
        <f t="shared" si="13"/>
        <v>0.49896747950352033</v>
      </c>
      <c r="AJ17" s="4">
        <v>13.462005546258133</v>
      </c>
      <c r="AK17" s="32">
        <f t="shared" si="14"/>
        <v>-999</v>
      </c>
      <c r="AL17" s="34">
        <f t="shared" si="15"/>
        <v>-999</v>
      </c>
      <c r="AY17" s="103" t="s">
        <v>301</v>
      </c>
      <c r="AZ17" s="103" t="s">
        <v>602</v>
      </c>
      <c r="BA17" s="103" t="s">
        <v>108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85</v>
      </c>
      <c r="E18" s="80">
        <f>IF(LEFT(VLOOKUP($B18,'Indicator chart'!$D$1:$J$36,5,FALSE),1)=" "," ",VLOOKUP($B18,'Indicator chart'!$D$1:$J$36,5,FALSE))</f>
        <v>1.3983</v>
      </c>
      <c r="F18" s="81">
        <f>IF(LEFT(VLOOKUP($B18,'Indicator chart'!$D$1:$J$36,6,FALSE),1)=" "," ",VLOOKUP($B18,'Indicator chart'!$D$1:$J$36,6,FALSE))</f>
        <v>1.1169</v>
      </c>
      <c r="G18" s="38">
        <f>IF(LEFT(VLOOKUP($B18,'Indicator chart'!$D$1:$J$36,7,FALSE),1)=" "," ",VLOOKUP($B18,'Indicator chart'!$D$1:$J$36,7,FALSE))</f>
        <v>1.729</v>
      </c>
      <c r="H18" s="50">
        <f>IF(LEFT(F18,1)=" ",4,IF(AND(ABS(N18-E18)&gt;SQRT((E18-G18)^2+(N18-R18)^2),E18&lt;N18),1,IF(AND(ABS(N18-E18)&gt;SQRT((E18-F18)^2+(N18-S18)^2),E18&gt;N18),3,2)))</f>
        <v>3</v>
      </c>
      <c r="I18" s="300" t="s">
        <v>506</v>
      </c>
      <c r="J18" s="300"/>
      <c r="K18" s="300" t="s">
        <v>249</v>
      </c>
      <c r="L18" s="300"/>
      <c r="M18" s="300" t="s">
        <v>580</v>
      </c>
      <c r="N18" s="80">
        <v>1</v>
      </c>
      <c r="O18" s="80">
        <f>VLOOKUP('Hide - Control'!C$3,'All practice data'!A:CA,A18+29,FALSE)</f>
        <v>1</v>
      </c>
      <c r="P18" s="38">
        <f>VLOOKUP('Hide - Control'!$B$4,'All practice data'!B:BC,A18+2,FALSE)</f>
        <v>5778</v>
      </c>
      <c r="Q18" s="38">
        <f>VLOOKUP('Hide - Control'!$B$4,'All practice data'!B:BC,14,FALSE)</f>
        <v>5778</v>
      </c>
      <c r="R18" s="81">
        <v>1</v>
      </c>
      <c r="S18" s="38">
        <v>1</v>
      </c>
      <c r="T18" s="53" t="str">
        <f t="shared" si="19"/>
        <v>2.0391</v>
      </c>
      <c r="U18" s="51" t="str">
        <f t="shared" si="20"/>
        <v>0.4091</v>
      </c>
      <c r="V18" s="7"/>
      <c r="W18" s="27">
        <f>IF((K18-I18)&gt;(M18-K18),I18,(K18-(M18-K18)))</f>
        <v>-0.03909999999999991</v>
      </c>
      <c r="X18" s="27" t="str">
        <f t="shared" si="3"/>
        <v>2.0391</v>
      </c>
      <c r="Y18" s="27">
        <f t="shared" si="4"/>
        <v>-0.03909999999999991</v>
      </c>
      <c r="Z18" s="27" t="str">
        <f t="shared" si="5"/>
        <v>2.0391</v>
      </c>
      <c r="AA18" s="32" t="s">
        <v>108</v>
      </c>
      <c r="AB18" s="33" t="s">
        <v>108</v>
      </c>
      <c r="AC18" s="33">
        <v>0.5</v>
      </c>
      <c r="AD18" s="33" t="s">
        <v>108</v>
      </c>
      <c r="AE18" s="33" t="s">
        <v>108</v>
      </c>
      <c r="AF18" s="33">
        <f t="shared" si="10"/>
        <v>-999</v>
      </c>
      <c r="AG18" s="33">
        <f t="shared" si="11"/>
        <v>-999</v>
      </c>
      <c r="AH18" s="33">
        <f t="shared" si="12"/>
        <v>0.6916562409777692</v>
      </c>
      <c r="AI18" s="34">
        <v>0.5</v>
      </c>
      <c r="AJ18" s="4">
        <v>14.538000971640056</v>
      </c>
      <c r="AK18" s="32">
        <f t="shared" si="14"/>
        <v>-999</v>
      </c>
      <c r="AL18" s="34">
        <f t="shared" si="15"/>
        <v>0.6916562409777692</v>
      </c>
      <c r="AY18" s="103" t="s">
        <v>307</v>
      </c>
      <c r="AZ18" s="103" t="s">
        <v>603</v>
      </c>
      <c r="BA18" s="103" t="s">
        <v>108</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477</v>
      </c>
      <c r="J19" s="300" t="s">
        <v>518</v>
      </c>
      <c r="K19" s="300" t="s">
        <v>541</v>
      </c>
      <c r="L19" s="300" t="s">
        <v>560</v>
      </c>
      <c r="M19" s="300" t="s">
        <v>481</v>
      </c>
      <c r="N19" s="80">
        <f>VLOOKUP('Hide - Control'!B$3,'All practice data'!A:CA,A19+29,FALSE)</f>
        <v>0.10747663551401869</v>
      </c>
      <c r="O19" s="80">
        <f>VLOOKUP('Hide - Control'!C$3,'All practice data'!A:CA,A19+29,FALSE)</f>
        <v>0.10567469035419712</v>
      </c>
      <c r="P19" s="38">
        <f>VLOOKUP('Hide - Control'!$B$4,'All practice data'!B:BC,A19+2,FALSE)</f>
        <v>621</v>
      </c>
      <c r="Q19" s="38">
        <f>VLOOKUP('Hide - Control'!$B$4,'All practice data'!B:BC,15,FALSE)</f>
        <v>5778</v>
      </c>
      <c r="R19" s="38">
        <f>+((2*P19+1.96^2-1.96*SQRT(1.96^2+4*P19*(1-P19/Q19)))/(2*(Q19+1.96^2)))</f>
        <v>0.09974974383673776</v>
      </c>
      <c r="S19" s="38">
        <f>+((2*P19+1.96^2+1.96*SQRT(1.96^2+4*P19*(1-P19/Q19)))/(2*(Q19+1.96^2)))</f>
        <v>0.11572513184992926</v>
      </c>
      <c r="T19" s="53" t="str">
        <f t="shared" si="19"/>
        <v>0.333333</v>
      </c>
      <c r="U19" s="51" t="str">
        <f t="shared" si="20"/>
        <v>0.0302492</v>
      </c>
      <c r="V19" s="7"/>
      <c r="W19" s="27">
        <f t="shared" si="2"/>
        <v>-0.07591408999999999</v>
      </c>
      <c r="X19" s="27" t="str">
        <f t="shared" si="3"/>
        <v>0.333333</v>
      </c>
      <c r="Y19" s="27">
        <f t="shared" si="4"/>
        <v>-0.07591408999999999</v>
      </c>
      <c r="Z19" s="27" t="str">
        <f t="shared" si="5"/>
        <v>0.333333</v>
      </c>
      <c r="AA19" s="32">
        <f t="shared" si="6"/>
        <v>0.25941122757891816</v>
      </c>
      <c r="AB19" s="33">
        <f t="shared" si="7"/>
        <v>0.3816192999686327</v>
      </c>
      <c r="AC19" s="33">
        <v>0.5</v>
      </c>
      <c r="AD19" s="33">
        <f t="shared" si="8"/>
        <v>0.5779860035168485</v>
      </c>
      <c r="AE19" s="33">
        <f t="shared" si="9"/>
        <v>1</v>
      </c>
      <c r="AF19" s="33">
        <f t="shared" si="10"/>
        <v>-999</v>
      </c>
      <c r="AG19" s="33">
        <f t="shared" si="11"/>
        <v>-999</v>
      </c>
      <c r="AH19" s="33">
        <f t="shared" si="12"/>
        <v>-999</v>
      </c>
      <c r="AI19" s="34">
        <f t="shared" si="13"/>
        <v>0.443714286042198</v>
      </c>
      <c r="AJ19" s="4">
        <v>15.61399639702198</v>
      </c>
      <c r="AK19" s="32">
        <f t="shared" si="14"/>
        <v>-999</v>
      </c>
      <c r="AL19" s="34">
        <f t="shared" si="15"/>
        <v>-999</v>
      </c>
      <c r="AY19" s="103" t="s">
        <v>308</v>
      </c>
      <c r="AZ19" s="103" t="s">
        <v>604</v>
      </c>
      <c r="BA19" s="103" t="s">
        <v>108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14</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478</v>
      </c>
      <c r="J20" s="300" t="s">
        <v>519</v>
      </c>
      <c r="K20" s="300" t="s">
        <v>496</v>
      </c>
      <c r="L20" s="300" t="s">
        <v>561</v>
      </c>
      <c r="M20" s="300" t="s">
        <v>491</v>
      </c>
      <c r="N20" s="80">
        <f>VLOOKUP('Hide - Control'!B$3,'All practice data'!A:CA,A20+29,FALSE)</f>
        <v>0.5140728476821192</v>
      </c>
      <c r="O20" s="80">
        <f>VLOOKUP('Hide - Control'!C$3,'All practice data'!A:CA,A20+29,FALSE)</f>
        <v>0.46478295325177904</v>
      </c>
      <c r="P20" s="38">
        <f>VLOOKUP('Hide - Control'!$B$4,'All practice data'!B:BC,A20+1,FALSE)</f>
        <v>621</v>
      </c>
      <c r="Q20" s="38">
        <f>VLOOKUP('Hide - Control'!$B$4,'All practice data'!B:BC,A20+2,FALSE)</f>
        <v>1208</v>
      </c>
      <c r="R20" s="38">
        <f>+((2*P20+1.96^2-1.96*SQRT(1.96^2+4*P20*(1-P20/Q20)))/(2*(Q20+1.96^2)))</f>
        <v>0.4858877492907228</v>
      </c>
      <c r="S20" s="38">
        <f>+((2*P20+1.96^2+1.96*SQRT(1.96^2+4*P20*(1-P20/Q20)))/(2*(Q20+1.96^2)))</f>
        <v>0.5421687227762536</v>
      </c>
      <c r="T20" s="53" t="str">
        <f t="shared" si="19"/>
        <v>0.833333</v>
      </c>
      <c r="U20" s="51" t="str">
        <f t="shared" si="20"/>
        <v>0.148231</v>
      </c>
      <c r="V20" s="7"/>
      <c r="W20" s="27" t="str">
        <f t="shared" si="2"/>
        <v>0.148231</v>
      </c>
      <c r="X20" s="27">
        <f t="shared" si="3"/>
        <v>0.8750752340000001</v>
      </c>
      <c r="Y20" s="27" t="str">
        <f t="shared" si="4"/>
        <v>0.148231</v>
      </c>
      <c r="Z20" s="27">
        <f t="shared" si="5"/>
        <v>0.8750752340000001</v>
      </c>
      <c r="AA20" s="32">
        <f t="shared" si="6"/>
        <v>0</v>
      </c>
      <c r="AB20" s="33">
        <f t="shared" si="7"/>
        <v>0.34109487893385415</v>
      </c>
      <c r="AC20" s="33">
        <v>0.5</v>
      </c>
      <c r="AD20" s="33">
        <f t="shared" si="8"/>
        <v>0.6477544939841953</v>
      </c>
      <c r="AE20" s="33">
        <f t="shared" si="9"/>
        <v>0.94257059209195</v>
      </c>
      <c r="AF20" s="33">
        <f t="shared" si="10"/>
        <v>-999</v>
      </c>
      <c r="AG20" s="33">
        <f t="shared" si="11"/>
        <v>-999</v>
      </c>
      <c r="AH20" s="33">
        <f t="shared" si="12"/>
        <v>-999</v>
      </c>
      <c r="AI20" s="34">
        <f t="shared" si="13"/>
        <v>0.43551553200018783</v>
      </c>
      <c r="AJ20" s="4">
        <v>16.689991822403904</v>
      </c>
      <c r="AK20" s="32">
        <f t="shared" si="14"/>
        <v>-999</v>
      </c>
      <c r="AL20" s="34">
        <f t="shared" si="15"/>
        <v>-999</v>
      </c>
      <c r="AY20" s="103" t="s">
        <v>310</v>
      </c>
      <c r="AZ20" s="103" t="s">
        <v>605</v>
      </c>
      <c r="BA20" s="103" t="s">
        <v>108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16</v>
      </c>
      <c r="E21" s="38">
        <f>IF(LEFT(VLOOKUP($B21,'Indicator chart'!$D$1:$J$36,5,FALSE),1)=" "," ",VLOOKUP($B21,'Indicator chart'!$D$1:$J$36,5,FALSE))</f>
        <v>510.8556832694764</v>
      </c>
      <c r="F21" s="38">
        <f>IF(LEFT(VLOOKUP($B21,'Indicator chart'!$D$1:$J$36,6,FALSE),1)=" "," ",VLOOKUP($B21,'Indicator chart'!$D$1:$J$36,6,FALSE))</f>
        <v>291.80746297566435</v>
      </c>
      <c r="G21" s="38">
        <f>IF(LEFT(VLOOKUP($B21,'Indicator chart'!$D$1:$J$36,7,FALSE),1)=" "," ",VLOOKUP($B21,'Indicator chart'!$D$1:$J$36,7,FALSE))</f>
        <v>829.6499117321805</v>
      </c>
      <c r="H21" s="50">
        <f t="shared" si="0"/>
        <v>2</v>
      </c>
      <c r="I21" s="300" t="s">
        <v>479</v>
      </c>
      <c r="J21" s="300" t="s">
        <v>520</v>
      </c>
      <c r="K21" s="300" t="s">
        <v>542</v>
      </c>
      <c r="L21" s="300" t="s">
        <v>562</v>
      </c>
      <c r="M21" s="300" t="s">
        <v>581</v>
      </c>
      <c r="N21" s="80">
        <f>VLOOKUP('Hide - Control'!B$3,'All practice data'!A:CA,A21+29,FALSE)</f>
        <v>429.55494202960807</v>
      </c>
      <c r="O21" s="80">
        <f>VLOOKUP('Hide - Control'!C$3,'All practice data'!A:CA,A21+29,FALSE)</f>
        <v>371.7205735004512</v>
      </c>
      <c r="P21" s="38">
        <f>VLOOKUP('Hide - Control'!$B$4,'All practice data'!B:BC,A21+2,FALSE)</f>
        <v>1100</v>
      </c>
      <c r="Q21" s="38">
        <f>VLOOKUP('Hide - Control'!$B$4,'All practice data'!B:BC,3,FALSE)</f>
        <v>256079</v>
      </c>
      <c r="R21" s="38">
        <f aca="true" t="shared" si="21" ref="R21:R27">100000*(P21*(1-1/(9*P21)-1.96/(3*SQRT(P21)))^3)/Q21</f>
        <v>404.54156020749855</v>
      </c>
      <c r="S21" s="38">
        <f aca="true" t="shared" si="22" ref="S21:S27">100000*((P21+1)*(1-1/(9*(P21+1))+1.96/(3*SQRT(P21+1)))^3)/Q21</f>
        <v>455.7100622509748</v>
      </c>
      <c r="T21" s="53" t="str">
        <f t="shared" si="19"/>
        <v>831.3539192</v>
      </c>
      <c r="U21" s="51" t="str">
        <f t="shared" si="20"/>
        <v>91.7192</v>
      </c>
      <c r="V21" s="7"/>
      <c r="W21" s="27">
        <f t="shared" si="2"/>
        <v>-13.235792999999944</v>
      </c>
      <c r="X21" s="27" t="str">
        <f t="shared" si="3"/>
        <v>831.3539192</v>
      </c>
      <c r="Y21" s="27">
        <f t="shared" si="4"/>
        <v>-13.235792999999944</v>
      </c>
      <c r="Z21" s="27" t="str">
        <f t="shared" si="5"/>
        <v>831.3539192</v>
      </c>
      <c r="AA21" s="32">
        <f t="shared" si="6"/>
        <v>0.12426743007159252</v>
      </c>
      <c r="AB21" s="33">
        <f t="shared" si="7"/>
        <v>0.39841620059932337</v>
      </c>
      <c r="AC21" s="33">
        <v>0.5</v>
      </c>
      <c r="AD21" s="33">
        <f t="shared" si="8"/>
        <v>0.6460864575044489</v>
      </c>
      <c r="AE21" s="33">
        <f t="shared" si="9"/>
        <v>1</v>
      </c>
      <c r="AF21" s="33">
        <f t="shared" si="10"/>
        <v>-999</v>
      </c>
      <c r="AG21" s="33">
        <f t="shared" si="11"/>
        <v>0.6205278950229159</v>
      </c>
      <c r="AH21" s="33">
        <f t="shared" si="12"/>
        <v>-999</v>
      </c>
      <c r="AI21" s="34">
        <f t="shared" si="13"/>
        <v>0.4557909727525701</v>
      </c>
      <c r="AJ21" s="4">
        <v>17.765987247785823</v>
      </c>
      <c r="AK21" s="32">
        <f t="shared" si="14"/>
        <v>-999</v>
      </c>
      <c r="AL21" s="34">
        <f t="shared" si="15"/>
        <v>-999</v>
      </c>
      <c r="AY21" s="103" t="s">
        <v>303</v>
      </c>
      <c r="AZ21" s="103" t="s">
        <v>606</v>
      </c>
      <c r="BA21" s="103" t="s">
        <v>108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13</v>
      </c>
      <c r="E22" s="38">
        <f>IF(LEFT(VLOOKUP($B22,'Indicator chart'!$D$1:$J$36,5,FALSE),1)=" "," ",VLOOKUP($B22,'Indicator chart'!$D$1:$J$36,5,FALSE))</f>
        <v>415.0702426564496</v>
      </c>
      <c r="F22" s="38">
        <f>IF(LEFT(VLOOKUP($B22,'Indicator chart'!$D$1:$J$36,6,FALSE),1)=" "," ",VLOOKUP($B22,'Indicator chart'!$D$1:$J$36,6,FALSE))</f>
        <v>220.79041166234126</v>
      </c>
      <c r="G22" s="38">
        <f>IF(LEFT(VLOOKUP($B22,'Indicator chart'!$D$1:$J$36,7,FALSE),1)=" "," ",VLOOKUP($B22,'Indicator chart'!$D$1:$J$36,7,FALSE))</f>
        <v>709.8311121089521</v>
      </c>
      <c r="H22" s="50">
        <f t="shared" si="0"/>
        <v>2</v>
      </c>
      <c r="I22" s="300" t="s">
        <v>470</v>
      </c>
      <c r="J22" s="300" t="s">
        <v>521</v>
      </c>
      <c r="K22" s="300" t="s">
        <v>543</v>
      </c>
      <c r="L22" s="300" t="s">
        <v>563</v>
      </c>
      <c r="M22" s="300" t="s">
        <v>582</v>
      </c>
      <c r="N22" s="80">
        <f>VLOOKUP('Hide - Control'!B$3,'All practice data'!A:CA,A22+29,FALSE)</f>
        <v>413.5442578266863</v>
      </c>
      <c r="O22" s="80">
        <f>VLOOKUP('Hide - Control'!C$3,'All practice data'!A:CA,A22+29,FALSE)</f>
        <v>335.00369307827617</v>
      </c>
      <c r="P22" s="38">
        <f>VLOOKUP('Hide - Control'!$B$4,'All practice data'!B:BC,A22+2,FALSE)</f>
        <v>1059</v>
      </c>
      <c r="Q22" s="38">
        <f>VLOOKUP('Hide - Control'!$B$4,'All practice data'!B:BC,3,FALSE)</f>
        <v>256079</v>
      </c>
      <c r="R22" s="38">
        <f t="shared" si="21"/>
        <v>389.0084878182535</v>
      </c>
      <c r="S22" s="38">
        <f t="shared" si="22"/>
        <v>439.221984482592</v>
      </c>
      <c r="T22" s="53" t="str">
        <f t="shared" si="19"/>
        <v>783.1862794</v>
      </c>
      <c r="U22" s="51" t="str">
        <f t="shared" si="20"/>
        <v>46.7199</v>
      </c>
      <c r="V22" s="7"/>
      <c r="W22" s="27">
        <f t="shared" si="2"/>
        <v>-95.23952980000001</v>
      </c>
      <c r="X22" s="27" t="str">
        <f t="shared" si="3"/>
        <v>783.1862794</v>
      </c>
      <c r="Y22" s="27">
        <f t="shared" si="4"/>
        <v>-95.23952980000001</v>
      </c>
      <c r="Z22" s="27" t="str">
        <f t="shared" si="5"/>
        <v>783.1862794</v>
      </c>
      <c r="AA22" s="32">
        <f t="shared" si="6"/>
        <v>0.1616066243878755</v>
      </c>
      <c r="AB22" s="33">
        <f t="shared" si="7"/>
        <v>0.3102643977961116</v>
      </c>
      <c r="AC22" s="33">
        <v>0.5</v>
      </c>
      <c r="AD22" s="33">
        <f t="shared" si="8"/>
        <v>0.6903780829849506</v>
      </c>
      <c r="AE22" s="33">
        <f t="shared" si="9"/>
        <v>1</v>
      </c>
      <c r="AF22" s="33">
        <f t="shared" si="10"/>
        <v>-999</v>
      </c>
      <c r="AG22" s="33">
        <f t="shared" si="11"/>
        <v>0.5809366791274029</v>
      </c>
      <c r="AH22" s="33">
        <f t="shared" si="12"/>
        <v>-999</v>
      </c>
      <c r="AI22" s="34">
        <f t="shared" si="13"/>
        <v>0.4897889137275091</v>
      </c>
      <c r="AJ22" s="4">
        <v>18.841982673167745</v>
      </c>
      <c r="AK22" s="32">
        <f t="shared" si="14"/>
        <v>-999</v>
      </c>
      <c r="AL22" s="34">
        <f t="shared" si="15"/>
        <v>-999</v>
      </c>
      <c r="AY22" s="103" t="s">
        <v>312</v>
      </c>
      <c r="AZ22" s="103" t="s">
        <v>607</v>
      </c>
      <c r="BA22" s="103" t="s">
        <v>108</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471</v>
      </c>
      <c r="J23" s="300" t="s">
        <v>522</v>
      </c>
      <c r="K23" s="300" t="s">
        <v>544</v>
      </c>
      <c r="L23" s="300" t="s">
        <v>564</v>
      </c>
      <c r="M23" s="300" t="s">
        <v>583</v>
      </c>
      <c r="N23" s="80">
        <f>VLOOKUP('Hide - Control'!B$3,'All practice data'!A:CA,A23+29,FALSE)</f>
        <v>92.15906028998863</v>
      </c>
      <c r="O23" s="80">
        <f>VLOOKUP('Hide - Control'!C$3,'All practice data'!A:CA,A23+29,FALSE)</f>
        <v>77.58854188249504</v>
      </c>
      <c r="P23" s="38">
        <f>VLOOKUP('Hide - Control'!$B$4,'All practice data'!B:BC,A23+2,FALSE)</f>
        <v>236</v>
      </c>
      <c r="Q23" s="38">
        <f>VLOOKUP('Hide - Control'!$B$4,'All practice data'!B:BC,3,FALSE)</f>
        <v>256079</v>
      </c>
      <c r="R23" s="38">
        <f t="shared" si="21"/>
        <v>80.77462629440593</v>
      </c>
      <c r="S23" s="38">
        <f t="shared" si="22"/>
        <v>104.69831625878415</v>
      </c>
      <c r="T23" s="53" t="str">
        <f t="shared" si="19"/>
        <v>268.4563758</v>
      </c>
      <c r="U23" s="51" t="str">
        <f t="shared" si="20"/>
        <v>4.27442</v>
      </c>
      <c r="V23" s="7"/>
      <c r="W23" s="27">
        <f t="shared" si="2"/>
        <v>-73.00205174</v>
      </c>
      <c r="X23" s="27" t="str">
        <f t="shared" si="3"/>
        <v>268.4563758</v>
      </c>
      <c r="Y23" s="27">
        <f t="shared" si="4"/>
        <v>-73.00205174</v>
      </c>
      <c r="Z23" s="27" t="str">
        <f t="shared" si="5"/>
        <v>268.4563758</v>
      </c>
      <c r="AA23" s="32">
        <f t="shared" si="6"/>
        <v>0.22631297255343766</v>
      </c>
      <c r="AB23" s="33">
        <f t="shared" si="7"/>
        <v>0.3304647202968256</v>
      </c>
      <c r="AC23" s="33">
        <v>0.5</v>
      </c>
      <c r="AD23" s="33">
        <f t="shared" si="8"/>
        <v>0.5966211553414805</v>
      </c>
      <c r="AE23" s="33">
        <f t="shared" si="9"/>
        <v>1</v>
      </c>
      <c r="AF23" s="33">
        <f t="shared" si="10"/>
        <v>-999</v>
      </c>
      <c r="AG23" s="33">
        <f t="shared" si="11"/>
        <v>-999</v>
      </c>
      <c r="AH23" s="33">
        <f t="shared" si="12"/>
        <v>-999</v>
      </c>
      <c r="AI23" s="34">
        <f t="shared" si="13"/>
        <v>0.44102175104421504</v>
      </c>
      <c r="AJ23" s="4">
        <v>19.917978098549675</v>
      </c>
      <c r="AK23" s="32">
        <f t="shared" si="14"/>
        <v>-999</v>
      </c>
      <c r="AL23" s="34">
        <f t="shared" si="15"/>
        <v>-999</v>
      </c>
      <c r="AY23" s="103" t="s">
        <v>300</v>
      </c>
      <c r="AZ23" s="103" t="s">
        <v>608</v>
      </c>
      <c r="BA23" s="103" t="s">
        <v>108</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20</v>
      </c>
      <c r="E24" s="38">
        <f>IF(LEFT(VLOOKUP($B24,'Indicator chart'!$D$1:$J$36,5,FALSE),1)=" "," ",VLOOKUP($B24,'Indicator chart'!$D$1:$J$36,5,FALSE))</f>
        <v>638.5696040868455</v>
      </c>
      <c r="F24" s="38">
        <f>IF(LEFT(VLOOKUP($B24,'Indicator chart'!$D$1:$J$36,6,FALSE),1)=" "," ",VLOOKUP($B24,'Indicator chart'!$D$1:$J$36,6,FALSE))</f>
        <v>389.8886626556688</v>
      </c>
      <c r="G24" s="38">
        <f>IF(LEFT(VLOOKUP($B24,'Indicator chart'!$D$1:$J$36,7,FALSE),1)=" "," ",VLOOKUP($B24,'Indicator chart'!$D$1:$J$36,7,FALSE))</f>
        <v>986.2737495617142</v>
      </c>
      <c r="H24" s="50">
        <f t="shared" si="0"/>
        <v>3</v>
      </c>
      <c r="I24" s="300" t="s">
        <v>472</v>
      </c>
      <c r="J24" s="300" t="s">
        <v>523</v>
      </c>
      <c r="K24" s="300" t="s">
        <v>545</v>
      </c>
      <c r="L24" s="300" t="s">
        <v>565</v>
      </c>
      <c r="M24" s="300" t="s">
        <v>584</v>
      </c>
      <c r="N24" s="80">
        <f>VLOOKUP('Hide - Control'!B$3,'All practice data'!A:CA,A24+29,FALSE)</f>
        <v>339.73890869614456</v>
      </c>
      <c r="O24" s="80">
        <f>VLOOKUP('Hide - Control'!C$3,'All practice data'!A:CA,A24+29,FALSE)</f>
        <v>348.7732030109763</v>
      </c>
      <c r="P24" s="38">
        <f>VLOOKUP('Hide - Control'!$B$4,'All practice data'!B:BC,A24+2,FALSE)</f>
        <v>870</v>
      </c>
      <c r="Q24" s="38">
        <f>VLOOKUP('Hide - Control'!$B$4,'All practice data'!B:BC,3,FALSE)</f>
        <v>256079</v>
      </c>
      <c r="R24" s="38">
        <f t="shared" si="21"/>
        <v>317.5350949691195</v>
      </c>
      <c r="S24" s="38">
        <f t="shared" si="22"/>
        <v>363.0858762203951</v>
      </c>
      <c r="T24" s="53" t="str">
        <f t="shared" si="19"/>
        <v>1525.262154</v>
      </c>
      <c r="U24" s="51" t="str">
        <f t="shared" si="20"/>
        <v>51.2058</v>
      </c>
      <c r="V24" s="7"/>
      <c r="W24" s="27">
        <f t="shared" si="2"/>
        <v>-1064.6871546000002</v>
      </c>
      <c r="X24" s="27" t="str">
        <f t="shared" si="3"/>
        <v>1525.262154</v>
      </c>
      <c r="Y24" s="27">
        <f t="shared" si="4"/>
        <v>-1064.6871546000002</v>
      </c>
      <c r="Z24" s="27" t="str">
        <f t="shared" si="5"/>
        <v>1525.262154</v>
      </c>
      <c r="AA24" s="32">
        <f t="shared" si="6"/>
        <v>0.43085513330112135</v>
      </c>
      <c r="AB24" s="33">
        <f t="shared" si="7"/>
        <v>0.454861772617784</v>
      </c>
      <c r="AC24" s="33">
        <v>0.5</v>
      </c>
      <c r="AD24" s="33">
        <f t="shared" si="8"/>
        <v>0.5812971730376515</v>
      </c>
      <c r="AE24" s="33">
        <f t="shared" si="9"/>
        <v>1</v>
      </c>
      <c r="AF24" s="33">
        <f t="shared" si="10"/>
        <v>-999</v>
      </c>
      <c r="AG24" s="33">
        <f t="shared" si="11"/>
        <v>-999</v>
      </c>
      <c r="AH24" s="33">
        <f t="shared" si="12"/>
        <v>0.6576409634857074</v>
      </c>
      <c r="AI24" s="34">
        <f t="shared" si="13"/>
        <v>0.5457482711794943</v>
      </c>
      <c r="AJ24" s="4">
        <v>20.99397352393159</v>
      </c>
      <c r="AK24" s="32">
        <f t="shared" si="14"/>
        <v>-999</v>
      </c>
      <c r="AL24" s="34">
        <f t="shared" si="15"/>
        <v>0.6576409634857074</v>
      </c>
      <c r="AY24" s="103" t="s">
        <v>288</v>
      </c>
      <c r="AZ24" s="103" t="s">
        <v>609</v>
      </c>
      <c r="BA24" s="103" t="s">
        <v>108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39</v>
      </c>
      <c r="E25" s="38">
        <f>IF(LEFT(VLOOKUP($B25,'Indicator chart'!$D$1:$J$36,5,FALSE),1)=" "," ",VLOOKUP($B25,'Indicator chart'!$D$1:$J$36,5,FALSE))</f>
        <v>1245.2107279693487</v>
      </c>
      <c r="F25" s="38">
        <f>IF(LEFT(VLOOKUP($B25,'Indicator chart'!$D$1:$J$36,6,FALSE),1)=" "," ",VLOOKUP($B25,'Indicator chart'!$D$1:$J$36,6,FALSE))</f>
        <v>885.3542334056715</v>
      </c>
      <c r="G25" s="38">
        <f>IF(LEFT(VLOOKUP($B25,'Indicator chart'!$D$1:$J$36,7,FALSE),1)=" "," ",VLOOKUP($B25,'Indicator chart'!$D$1:$J$36,7,FALSE))</f>
        <v>1702.299432194387</v>
      </c>
      <c r="H25" s="50">
        <f t="shared" si="0"/>
        <v>2</v>
      </c>
      <c r="I25" s="300" t="s">
        <v>480</v>
      </c>
      <c r="J25" s="300" t="s">
        <v>524</v>
      </c>
      <c r="K25" s="300" t="s">
        <v>546</v>
      </c>
      <c r="L25" s="300" t="s">
        <v>566</v>
      </c>
      <c r="M25" s="300" t="s">
        <v>585</v>
      </c>
      <c r="N25" s="80">
        <f>VLOOKUP('Hide - Control'!B$3,'All practice data'!A:CA,A25+29,FALSE)</f>
        <v>888.007216523026</v>
      </c>
      <c r="O25" s="80">
        <f>VLOOKUP('Hide - Control'!C$3,'All practice data'!A:CA,A25+29,FALSE)</f>
        <v>623.2878522577265</v>
      </c>
      <c r="P25" s="38">
        <f>VLOOKUP('Hide - Control'!$B$4,'All practice data'!B:BC,A25+2,FALSE)</f>
        <v>2274</v>
      </c>
      <c r="Q25" s="38">
        <f>VLOOKUP('Hide - Control'!$B$4,'All practice data'!B:BC,3,FALSE)</f>
        <v>256079</v>
      </c>
      <c r="R25" s="38">
        <f t="shared" si="21"/>
        <v>851.8796723298537</v>
      </c>
      <c r="S25" s="38">
        <f t="shared" si="22"/>
        <v>925.2730254000436</v>
      </c>
      <c r="T25" s="53" t="str">
        <f t="shared" si="19"/>
        <v>1507.208388</v>
      </c>
      <c r="U25" s="51" t="str">
        <f t="shared" si="20"/>
        <v>240.818</v>
      </c>
      <c r="V25" s="7"/>
      <c r="W25" s="27" t="str">
        <f t="shared" si="2"/>
        <v>240.818</v>
      </c>
      <c r="X25" s="27">
        <f t="shared" si="3"/>
        <v>1509.6442314</v>
      </c>
      <c r="Y25" s="27" t="str">
        <f t="shared" si="4"/>
        <v>240.818</v>
      </c>
      <c r="Z25" s="27">
        <f t="shared" si="5"/>
        <v>1509.6442314</v>
      </c>
      <c r="AA25" s="32">
        <f t="shared" si="6"/>
        <v>0</v>
      </c>
      <c r="AB25" s="33">
        <f t="shared" si="7"/>
        <v>0.2993913948175961</v>
      </c>
      <c r="AC25" s="33">
        <v>0.5</v>
      </c>
      <c r="AD25" s="33">
        <f t="shared" si="8"/>
        <v>0.6280310205446782</v>
      </c>
      <c r="AE25" s="33">
        <f t="shared" si="9"/>
        <v>0.99808023877524</v>
      </c>
      <c r="AF25" s="33">
        <f t="shared" si="10"/>
        <v>-999</v>
      </c>
      <c r="AG25" s="33">
        <f t="shared" si="11"/>
        <v>0.7915920266411263</v>
      </c>
      <c r="AH25" s="33">
        <f t="shared" si="12"/>
        <v>-999</v>
      </c>
      <c r="AI25" s="34">
        <f t="shared" si="13"/>
        <v>0.3014359593084044</v>
      </c>
      <c r="AJ25" s="4">
        <v>22.06996894931352</v>
      </c>
      <c r="AK25" s="32">
        <f t="shared" si="14"/>
        <v>-999</v>
      </c>
      <c r="AL25" s="34">
        <f t="shared" si="15"/>
        <v>-999</v>
      </c>
      <c r="AY25" s="103" t="s">
        <v>313</v>
      </c>
      <c r="AZ25" s="103" t="s">
        <v>610</v>
      </c>
      <c r="BA25" s="103" t="s">
        <v>108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11</v>
      </c>
      <c r="E26" s="38">
        <f>IF(LEFT(VLOOKUP($B26,'Indicator chart'!$D$1:$J$36,5,FALSE),1)=" "," ",VLOOKUP($B26,'Indicator chart'!$D$1:$J$36,5,FALSE))</f>
        <v>351.213282247765</v>
      </c>
      <c r="F26" s="38">
        <f>IF(LEFT(VLOOKUP($B26,'Indicator chart'!$D$1:$J$36,6,FALSE),1)=" "," ",VLOOKUP($B26,'Indicator chart'!$D$1:$J$36,6,FALSE))</f>
        <v>175.08349613635968</v>
      </c>
      <c r="G26" s="38">
        <f>IF(LEFT(VLOOKUP($B26,'Indicator chart'!$D$1:$J$36,7,FALSE),1)=" "," ",VLOOKUP($B26,'Indicator chart'!$D$1:$J$36,7,FALSE))</f>
        <v>628.4613869544644</v>
      </c>
      <c r="H26" s="50">
        <f t="shared" si="0"/>
        <v>2</v>
      </c>
      <c r="I26" s="300" t="s">
        <v>483</v>
      </c>
      <c r="J26" s="300" t="s">
        <v>525</v>
      </c>
      <c r="K26" s="300" t="s">
        <v>547</v>
      </c>
      <c r="L26" s="300" t="s">
        <v>567</v>
      </c>
      <c r="M26" s="300" t="s">
        <v>586</v>
      </c>
      <c r="N26" s="80">
        <f>VLOOKUP('Hide - Control'!B$3,'All practice data'!A:CA,A26+29,FALSE)</f>
        <v>441.2700768122337</v>
      </c>
      <c r="O26" s="80">
        <f>VLOOKUP('Hide - Control'!C$3,'All practice data'!A:CA,A26+29,FALSE)</f>
        <v>432.5467854266958</v>
      </c>
      <c r="P26" s="38">
        <f>VLOOKUP('Hide - Control'!$B$4,'All practice data'!B:BC,A26+2,FALSE)</f>
        <v>1130</v>
      </c>
      <c r="Q26" s="38">
        <f>VLOOKUP('Hide - Control'!$B$4,'All practice data'!B:BC,3,FALSE)</f>
        <v>256079</v>
      </c>
      <c r="R26" s="38">
        <f t="shared" si="21"/>
        <v>415.91283976348734</v>
      </c>
      <c r="S26" s="38">
        <f t="shared" si="22"/>
        <v>467.76890011437183</v>
      </c>
      <c r="T26" s="53" t="str">
        <f t="shared" si="19"/>
        <v>966.3703131</v>
      </c>
      <c r="U26" s="51" t="str">
        <f t="shared" si="20"/>
        <v>156.947</v>
      </c>
      <c r="V26" s="7"/>
      <c r="W26" s="27">
        <f t="shared" si="2"/>
        <v>-83.30488549999995</v>
      </c>
      <c r="X26" s="27" t="str">
        <f t="shared" si="3"/>
        <v>966.3703131</v>
      </c>
      <c r="Y26" s="27">
        <f t="shared" si="4"/>
        <v>-83.30488549999995</v>
      </c>
      <c r="Z26" s="27" t="str">
        <f t="shared" si="5"/>
        <v>966.3703131</v>
      </c>
      <c r="AA26" s="32">
        <f t="shared" si="6"/>
        <v>0.22888212069832167</v>
      </c>
      <c r="AB26" s="33">
        <f t="shared" si="7"/>
        <v>0.388939559917692</v>
      </c>
      <c r="AC26" s="33">
        <v>0.5</v>
      </c>
      <c r="AD26" s="33">
        <f t="shared" si="8"/>
        <v>0.567722814633338</v>
      </c>
      <c r="AE26" s="33">
        <f t="shared" si="9"/>
        <v>1</v>
      </c>
      <c r="AF26" s="33">
        <f t="shared" si="10"/>
        <v>-999</v>
      </c>
      <c r="AG26" s="33">
        <f t="shared" si="11"/>
        <v>0.41395487702034095</v>
      </c>
      <c r="AH26" s="33">
        <f t="shared" si="12"/>
        <v>-999</v>
      </c>
      <c r="AI26" s="34">
        <f t="shared" si="13"/>
        <v>0.49143932486421593</v>
      </c>
      <c r="AJ26" s="4">
        <v>23.145964374695435</v>
      </c>
      <c r="AK26" s="32">
        <f t="shared" si="14"/>
        <v>-999</v>
      </c>
      <c r="AL26" s="34">
        <f t="shared" si="15"/>
        <v>-999</v>
      </c>
      <c r="AY26" s="103" t="s">
        <v>305</v>
      </c>
      <c r="AZ26" s="103" t="s">
        <v>611</v>
      </c>
      <c r="BA26" s="103" t="s">
        <v>108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47</v>
      </c>
      <c r="E27" s="38">
        <f>IF(LEFT(VLOOKUP($B27,'Indicator chart'!$D$1:$J$36,5,FALSE),1)=" "," ",VLOOKUP($B27,'Indicator chart'!$D$1:$J$36,5,FALSE))</f>
        <v>1500.6385696040868</v>
      </c>
      <c r="F27" s="38">
        <f>IF(LEFT(VLOOKUP($B27,'Indicator chart'!$D$1:$J$36,6,FALSE),1)=" "," ",VLOOKUP($B27,'Indicator chart'!$D$1:$J$36,6,FALSE))</f>
        <v>1102.511389213426</v>
      </c>
      <c r="G27" s="38">
        <f>IF(LEFT(VLOOKUP($B27,'Indicator chart'!$D$1:$J$36,7,FALSE),1)=" "," ",VLOOKUP($B27,'Indicator chart'!$D$1:$J$36,7,FALSE))</f>
        <v>1995.5856494293598</v>
      </c>
      <c r="H27" s="50">
        <f t="shared" si="0"/>
        <v>2</v>
      </c>
      <c r="I27" s="300" t="s">
        <v>507</v>
      </c>
      <c r="J27" s="300" t="s">
        <v>526</v>
      </c>
      <c r="K27" s="300" t="s">
        <v>548</v>
      </c>
      <c r="L27" s="300" t="s">
        <v>568</v>
      </c>
      <c r="M27" s="300" t="s">
        <v>587</v>
      </c>
      <c r="N27" s="80">
        <f>VLOOKUP('Hide - Control'!B$3,'All practice data'!A:CA,A27+29,FALSE)</f>
        <v>1167.9989378277796</v>
      </c>
      <c r="O27" s="80">
        <f>VLOOKUP('Hide - Control'!C$3,'All practice data'!A:CA,A27+29,FALSE)</f>
        <v>1003.4847591501348</v>
      </c>
      <c r="P27" s="38">
        <f>VLOOKUP('Hide - Control'!$B$4,'All practice data'!B:BC,A27+2,FALSE)</f>
        <v>2991</v>
      </c>
      <c r="Q27" s="38">
        <f>VLOOKUP('Hide - Control'!$B$4,'All practice data'!B:BC,3,FALSE)</f>
        <v>256079</v>
      </c>
      <c r="R27" s="38">
        <f t="shared" si="21"/>
        <v>1126.5107875786014</v>
      </c>
      <c r="S27" s="38">
        <f t="shared" si="22"/>
        <v>1210.624333922088</v>
      </c>
      <c r="T27" s="53" t="str">
        <f t="shared" si="19"/>
        <v>1839.503334</v>
      </c>
      <c r="U27" s="51" t="str">
        <f t="shared" si="20"/>
        <v>422.5352113</v>
      </c>
      <c r="V27" s="7"/>
      <c r="W27" s="27">
        <f t="shared" si="2"/>
        <v>391.19221000000016</v>
      </c>
      <c r="X27" s="27" t="str">
        <f t="shared" si="3"/>
        <v>1839.503334</v>
      </c>
      <c r="Y27" s="27">
        <f t="shared" si="4"/>
        <v>391.19221000000016</v>
      </c>
      <c r="Z27" s="27" t="str">
        <f t="shared" si="5"/>
        <v>1839.503334</v>
      </c>
      <c r="AA27" s="32">
        <f t="shared" si="6"/>
        <v>0.021641069229265866</v>
      </c>
      <c r="AB27" s="33">
        <f t="shared" si="7"/>
        <v>0.3834368521359226</v>
      </c>
      <c r="AC27" s="33">
        <v>0.5</v>
      </c>
      <c r="AD27" s="33">
        <f t="shared" si="8"/>
        <v>0.6549141888659552</v>
      </c>
      <c r="AE27" s="33">
        <f t="shared" si="9"/>
        <v>1</v>
      </c>
      <c r="AF27" s="33">
        <f t="shared" si="10"/>
        <v>-999</v>
      </c>
      <c r="AG27" s="33">
        <f t="shared" si="11"/>
        <v>0.7660276450407811</v>
      </c>
      <c r="AH27" s="33">
        <f t="shared" si="12"/>
        <v>-999</v>
      </c>
      <c r="AI27" s="34">
        <f t="shared" si="13"/>
        <v>0.4227631335586805</v>
      </c>
      <c r="AJ27" s="4">
        <v>24.221959800077364</v>
      </c>
      <c r="AK27" s="32">
        <f t="shared" si="14"/>
        <v>-999</v>
      </c>
      <c r="AL27" s="34">
        <f t="shared" si="15"/>
        <v>-999</v>
      </c>
      <c r="AY27" s="103" t="s">
        <v>291</v>
      </c>
      <c r="AZ27" s="103" t="s">
        <v>612</v>
      </c>
      <c r="BA27" s="103" t="s">
        <v>108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39</v>
      </c>
      <c r="E28" s="38">
        <f>IF(LEFT(VLOOKUP($B28,'Indicator chart'!$D$1:$J$36,5,FALSE),1)=" "," ",VLOOKUP($B28,'Indicator chart'!$D$1:$J$36,5,FALSE))</f>
        <v>1245.2107279693487</v>
      </c>
      <c r="F28" s="38">
        <f>IF(LEFT(VLOOKUP($B28,'Indicator chart'!$D$1:$J$36,6,FALSE),1)=" "," ",VLOOKUP($B28,'Indicator chart'!$D$1:$J$36,6,FALSE))</f>
        <v>885.3542334056715</v>
      </c>
      <c r="G28" s="38">
        <f>IF(LEFT(VLOOKUP($B28,'Indicator chart'!$D$1:$J$36,7,FALSE),1)=" "," ",VLOOKUP($B28,'Indicator chart'!$D$1:$J$36,7,FALSE))</f>
        <v>1702.299432194387</v>
      </c>
      <c r="H28" s="50">
        <f t="shared" si="0"/>
        <v>3</v>
      </c>
      <c r="I28" s="300" t="s">
        <v>488</v>
      </c>
      <c r="J28" s="300" t="s">
        <v>527</v>
      </c>
      <c r="K28" s="300" t="s">
        <v>549</v>
      </c>
      <c r="L28" s="300" t="s">
        <v>569</v>
      </c>
      <c r="M28" s="300" t="s">
        <v>588</v>
      </c>
      <c r="N28" s="80">
        <f>VLOOKUP('Hide - Control'!B$3,'All practice data'!A:CA,A28+29,FALSE)</f>
        <v>659.9525927545797</v>
      </c>
      <c r="O28" s="80">
        <f>VLOOKUP('Hide - Control'!C$3,'All practice data'!A:CA,A28+29,FALSE)</f>
        <v>586.9262672471904</v>
      </c>
      <c r="P28" s="38">
        <f>VLOOKUP('Hide - Control'!$B$4,'All practice data'!B:BC,A28+2,FALSE)</f>
        <v>1690</v>
      </c>
      <c r="Q28" s="38">
        <f>VLOOKUP('Hide - Control'!$B$4,'All practice data'!B:BC,3,FALSE)</f>
        <v>256079</v>
      </c>
      <c r="R28" s="38">
        <f>100000*(P28*(1-1/(9*P28)-1.96/(3*SQRT(P28)))^3)/Q28</f>
        <v>628.8591075267221</v>
      </c>
      <c r="S28" s="38">
        <f>100000*((P28+1)*(1-1/(9*(P28+1))+1.96/(3*SQRT(P28+1)))^3)/Q28</f>
        <v>692.1856137491988</v>
      </c>
      <c r="T28" s="53" t="str">
        <f t="shared" si="19"/>
        <v>1481.127568</v>
      </c>
      <c r="U28" s="51" t="str">
        <f t="shared" si="20"/>
        <v>193.926</v>
      </c>
      <c r="V28" s="7"/>
      <c r="W28" s="27">
        <f t="shared" si="2"/>
        <v>-176.71380160000012</v>
      </c>
      <c r="X28" s="27" t="str">
        <f t="shared" si="3"/>
        <v>1481.127568</v>
      </c>
      <c r="Y28" s="27">
        <f t="shared" si="4"/>
        <v>-176.71380160000012</v>
      </c>
      <c r="Z28" s="27" t="str">
        <f t="shared" si="5"/>
        <v>1481.127568</v>
      </c>
      <c r="AA28" s="32">
        <f t="shared" si="6"/>
        <v>0.22356771184291724</v>
      </c>
      <c r="AB28" s="33">
        <f t="shared" si="7"/>
        <v>0.3983977410090563</v>
      </c>
      <c r="AC28" s="33">
        <v>0.5</v>
      </c>
      <c r="AD28" s="33">
        <f t="shared" si="8"/>
        <v>0.5551316195722952</v>
      </c>
      <c r="AE28" s="33">
        <f t="shared" si="9"/>
        <v>1</v>
      </c>
      <c r="AF28" s="33">
        <f t="shared" si="10"/>
        <v>-999</v>
      </c>
      <c r="AG28" s="33">
        <f t="shared" si="11"/>
        <v>-999</v>
      </c>
      <c r="AH28" s="33">
        <f t="shared" si="12"/>
        <v>0.8576963729119796</v>
      </c>
      <c r="AI28" s="34">
        <f t="shared" si="13"/>
        <v>0.4606231228452452</v>
      </c>
      <c r="AJ28" s="4">
        <v>25.297955225459287</v>
      </c>
      <c r="AK28" s="32">
        <f t="shared" si="14"/>
        <v>-999</v>
      </c>
      <c r="AL28" s="34">
        <f t="shared" si="15"/>
        <v>0.8576963729119796</v>
      </c>
      <c r="AY28" s="103" t="s">
        <v>314</v>
      </c>
      <c r="AZ28" s="103" t="s">
        <v>613</v>
      </c>
      <c r="BA28" s="103" t="s">
        <v>108</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473</v>
      </c>
      <c r="J29" s="300" t="s">
        <v>528</v>
      </c>
      <c r="K29" s="300" t="s">
        <v>489</v>
      </c>
      <c r="L29" s="300" t="s">
        <v>570</v>
      </c>
      <c r="M29" s="300" t="s">
        <v>492</v>
      </c>
      <c r="N29" s="80">
        <f>VLOOKUP('Hide - Control'!B$3,'All practice data'!A:CA,A29+29,FALSE)</f>
        <v>0.2569331158238173</v>
      </c>
      <c r="O29" s="80">
        <f>VLOOKUP('Hide - Control'!C$3,'All practice data'!A:CA,A29+29,FALSE)</f>
        <v>0.2372068295675289</v>
      </c>
      <c r="P29" s="38">
        <f>VLOOKUP('Hide - Control'!$B$4,'All practice data'!B:BC,A29+2,FALSE)</f>
        <v>315</v>
      </c>
      <c r="Q29" s="38">
        <f>VLOOKUP('Hide - Control'!$B$4,'All practice data'!B:BC,26,FALSE)+VLOOKUP('Hide - Control'!$B$4,'All practice data'!B:BC,27,FALSE)+VLOOKUP('Hide - Control'!$B$4,'All practice data'!B:BC,28,FALSE)</f>
        <v>1226</v>
      </c>
      <c r="R29" s="38">
        <f>+((2*P29+1.96^2-1.96*SQRT(1.96^2+4*P29*(1-P29/Q29)))/(2*(Q29+1.96^2)))</f>
        <v>0.23326002057463477</v>
      </c>
      <c r="S29" s="38">
        <f>+((2*P29+1.96^2+1.96*SQRT(1.96^2+4*P29*(1-P29/Q29)))/(2*(Q29+1.96^2)))</f>
        <v>0.28212472490803553</v>
      </c>
      <c r="T29" s="53" t="str">
        <f t="shared" si="19"/>
        <v>0.5</v>
      </c>
      <c r="U29" s="51" t="str">
        <f t="shared" si="20"/>
        <v>0.0350981</v>
      </c>
      <c r="V29" s="7"/>
      <c r="W29" s="27">
        <f t="shared" si="2"/>
        <v>-0.010000000000000009</v>
      </c>
      <c r="X29" s="27" t="str">
        <f t="shared" si="3"/>
        <v>0.5</v>
      </c>
      <c r="Y29" s="27">
        <f t="shared" si="4"/>
        <v>-0.010000000000000009</v>
      </c>
      <c r="Z29" s="27" t="str">
        <f t="shared" si="5"/>
        <v>0.5</v>
      </c>
      <c r="AA29" s="32">
        <f t="shared" si="6"/>
        <v>0.08842764705882354</v>
      </c>
      <c r="AB29" s="33">
        <f t="shared" si="7"/>
        <v>0.36082276078431375</v>
      </c>
      <c r="AC29" s="33">
        <v>0.5</v>
      </c>
      <c r="AD29" s="33">
        <f t="shared" si="8"/>
        <v>0.6470722803921568</v>
      </c>
      <c r="AE29" s="33">
        <f t="shared" si="9"/>
        <v>1</v>
      </c>
      <c r="AF29" s="33">
        <f t="shared" si="10"/>
        <v>-999</v>
      </c>
      <c r="AG29" s="33">
        <f t="shared" si="11"/>
        <v>-999</v>
      </c>
      <c r="AH29" s="33">
        <f t="shared" si="12"/>
        <v>-999</v>
      </c>
      <c r="AI29" s="34">
        <f t="shared" si="13"/>
        <v>0.4847192736618214</v>
      </c>
      <c r="AJ29" s="4">
        <v>26.373950650841206</v>
      </c>
      <c r="AK29" s="32">
        <f t="shared" si="14"/>
        <v>-999</v>
      </c>
      <c r="AL29" s="34">
        <f t="shared" si="15"/>
        <v>-999</v>
      </c>
      <c r="AY29" s="103" t="s">
        <v>255</v>
      </c>
      <c r="AZ29" s="103" t="s">
        <v>614</v>
      </c>
      <c r="BA29" s="103" t="s">
        <v>108</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474</v>
      </c>
      <c r="J30" s="300" t="s">
        <v>529</v>
      </c>
      <c r="K30" s="300" t="s">
        <v>550</v>
      </c>
      <c r="L30" s="300" t="s">
        <v>571</v>
      </c>
      <c r="M30" s="300" t="s">
        <v>249</v>
      </c>
      <c r="N30" s="80">
        <f>VLOOKUP('Hide - Control'!B$3,'All practice data'!A:CA,A30+29,FALSE)</f>
        <v>0.5228384991843393</v>
      </c>
      <c r="O30" s="80">
        <f>VLOOKUP('Hide - Control'!C$3,'All practice data'!A:CA,A30+29,FALSE)</f>
        <v>0.4919047132195072</v>
      </c>
      <c r="P30" s="38">
        <f>VLOOKUP('Hide - Control'!$B$4,'All practice data'!B:BC,A30+2,FALSE)</f>
        <v>641</v>
      </c>
      <c r="Q30" s="38">
        <f>VLOOKUP('Hide - Control'!$B$4,'All practice data'!B:BC,26,FALSE)+VLOOKUP('Hide - Control'!$B$4,'All practice data'!B:BC,27,FALSE)+VLOOKUP('Hide - Control'!$B$4,'All practice data'!B:BC,28,FALSE)</f>
        <v>1226</v>
      </c>
      <c r="R30" s="38">
        <f>+((2*P30+1.96^2-1.96*SQRT(1.96^2+4*P30*(1-P30/Q30)))/(2*(Q30+1.96^2)))</f>
        <v>0.49485140464715854</v>
      </c>
      <c r="S30" s="38">
        <f>+((2*P30+1.96^2+1.96*SQRT(1.96^2+4*P30*(1-P30/Q30)))/(2*(Q30+1.96^2)))</f>
        <v>0.5506829145692348</v>
      </c>
      <c r="T30" s="53" t="str">
        <f t="shared" si="19"/>
        <v>1</v>
      </c>
      <c r="U30" s="51" t="str">
        <f t="shared" si="20"/>
        <v>0.178051</v>
      </c>
      <c r="V30" s="7"/>
      <c r="W30" s="27">
        <f t="shared" si="2"/>
        <v>0.07417582399999989</v>
      </c>
      <c r="X30" s="27" t="str">
        <f t="shared" si="3"/>
        <v>1</v>
      </c>
      <c r="Y30" s="27">
        <f t="shared" si="4"/>
        <v>0.07417582399999989</v>
      </c>
      <c r="Z30" s="27" t="str">
        <f t="shared" si="5"/>
        <v>1</v>
      </c>
      <c r="AA30" s="32">
        <f t="shared" si="6"/>
        <v>0.11219751945643736</v>
      </c>
      <c r="AB30" s="33">
        <f t="shared" si="7"/>
        <v>0.4464391692445932</v>
      </c>
      <c r="AC30" s="33">
        <v>0.5</v>
      </c>
      <c r="AD30" s="33">
        <f t="shared" si="8"/>
        <v>0.5778931754748216</v>
      </c>
      <c r="AE30" s="33">
        <f t="shared" si="9"/>
        <v>1</v>
      </c>
      <c r="AF30" s="33">
        <f t="shared" si="10"/>
        <v>-999</v>
      </c>
      <c r="AG30" s="33">
        <f t="shared" si="11"/>
        <v>-999</v>
      </c>
      <c r="AH30" s="33">
        <f t="shared" si="12"/>
        <v>-999</v>
      </c>
      <c r="AI30" s="34">
        <f t="shared" si="13"/>
        <v>0.4511967823353829</v>
      </c>
      <c r="AJ30" s="4">
        <v>27.44994607622313</v>
      </c>
      <c r="AK30" s="32">
        <f t="shared" si="14"/>
        <v>-999</v>
      </c>
      <c r="AL30" s="34">
        <f t="shared" si="15"/>
        <v>-999</v>
      </c>
      <c r="AY30" s="103" t="s">
        <v>295</v>
      </c>
      <c r="AZ30" s="103" t="s">
        <v>615</v>
      </c>
      <c r="BA30" s="103" t="s">
        <v>108</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475</v>
      </c>
      <c r="J31" s="300" t="s">
        <v>530</v>
      </c>
      <c r="K31" s="300" t="s">
        <v>493</v>
      </c>
      <c r="L31" s="300" t="s">
        <v>487</v>
      </c>
      <c r="M31" s="300" t="s">
        <v>589</v>
      </c>
      <c r="N31" s="80">
        <f>VLOOKUP('Hide - Control'!B$3,'All practice data'!A:CA,A31+29,FALSE)</f>
        <v>0.22022838499184338</v>
      </c>
      <c r="O31" s="80">
        <f>VLOOKUP('Hide - Control'!C$3,'All practice data'!A:CA,A31+29,FALSE)</f>
        <v>0.2708884572129639</v>
      </c>
      <c r="P31" s="38">
        <f>VLOOKUP('Hide - Control'!$B$4,'All practice data'!B:BC,A31+2,FALSE)</f>
        <v>270</v>
      </c>
      <c r="Q31" s="38">
        <f>VLOOKUP('Hide - Control'!$B$4,'All practice data'!B:BC,26,FALSE)+VLOOKUP('Hide - Control'!$B$4,'All practice data'!B:BC,27,FALSE)+VLOOKUP('Hide - Control'!$B$4,'All practice data'!B:BC,28,FALSE)</f>
        <v>1226</v>
      </c>
      <c r="R31" s="38">
        <f>+((2*P31+1.96^2-1.96*SQRT(1.96^2+4*P31*(1-P31/Q31)))/(2*(Q31+1.96^2)))</f>
        <v>0.19792510483556847</v>
      </c>
      <c r="S31" s="38">
        <f>+((2*P31+1.96^2+1.96*SQRT(1.96^2+4*P31*(1-P31/Q31)))/(2*(Q31+1.96^2)))</f>
        <v>0.24427948476361244</v>
      </c>
      <c r="T31" s="53" t="str">
        <f t="shared" si="19"/>
        <v>0.422222</v>
      </c>
      <c r="U31" s="51" t="str">
        <f t="shared" si="20"/>
        <v>0.0521808</v>
      </c>
      <c r="V31" s="7"/>
      <c r="W31" s="27">
        <f t="shared" si="2"/>
        <v>0.00634942799999999</v>
      </c>
      <c r="X31" s="27" t="str">
        <f t="shared" si="3"/>
        <v>0.422222</v>
      </c>
      <c r="Y31" s="27">
        <f t="shared" si="4"/>
        <v>0.00634942799999999</v>
      </c>
      <c r="Z31" s="27" t="str">
        <f t="shared" si="5"/>
        <v>0.422222</v>
      </c>
      <c r="AA31" s="32">
        <f t="shared" si="6"/>
        <v>0.1102053251061722</v>
      </c>
      <c r="AB31" s="33">
        <f t="shared" si="7"/>
        <v>0.3191081401732837</v>
      </c>
      <c r="AC31" s="33">
        <v>0.5</v>
      </c>
      <c r="AD31" s="33">
        <f t="shared" si="8"/>
        <v>0.5858779549424097</v>
      </c>
      <c r="AE31" s="33">
        <f t="shared" si="9"/>
        <v>1</v>
      </c>
      <c r="AF31" s="33">
        <f>IF(E31=" ",-999,IF(H31=4,(E31-$Y31)/($Z31-$Y31),-999))</f>
        <v>-999</v>
      </c>
      <c r="AG31" s="33">
        <f t="shared" si="11"/>
        <v>-999</v>
      </c>
      <c r="AH31" s="33">
        <f t="shared" si="12"/>
        <v>-999</v>
      </c>
      <c r="AI31" s="34">
        <f t="shared" si="13"/>
        <v>0.6361059781864237</v>
      </c>
      <c r="AJ31" s="4">
        <v>28.525941501605054</v>
      </c>
      <c r="AK31" s="32">
        <f t="shared" si="14"/>
        <v>-999</v>
      </c>
      <c r="AL31" s="34">
        <f t="shared" si="15"/>
        <v>-999</v>
      </c>
      <c r="AY31" s="103" t="s">
        <v>299</v>
      </c>
      <c r="AZ31" s="103" t="s">
        <v>616</v>
      </c>
      <c r="BA31" s="103" t="s">
        <v>108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309</v>
      </c>
      <c r="AZ32" s="103" t="s">
        <v>617</v>
      </c>
      <c r="BA32" s="103" t="s">
        <v>108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311</v>
      </c>
      <c r="AZ33" s="103" t="s">
        <v>618</v>
      </c>
      <c r="BA33" s="103" t="s">
        <v>108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287</v>
      </c>
      <c r="AZ34" s="103" t="s">
        <v>619</v>
      </c>
      <c r="BA34" s="103" t="s">
        <v>108</v>
      </c>
      <c r="BB34" s="298">
        <v>174182</v>
      </c>
      <c r="BE34" s="77"/>
      <c r="BF34" s="250"/>
    </row>
    <row r="35" spans="2:58" ht="12.75">
      <c r="B35" s="17" t="s">
        <v>41</v>
      </c>
      <c r="C35" s="18"/>
      <c r="H35" s="287" t="s">
        <v>250</v>
      </c>
      <c r="I35" s="288"/>
      <c r="Y35" s="43"/>
      <c r="Z35" s="44"/>
      <c r="AA35" s="44"/>
      <c r="AB35" s="43"/>
      <c r="AC35" s="43"/>
      <c r="AY35" s="103" t="s">
        <v>296</v>
      </c>
      <c r="AZ35" s="103" t="s">
        <v>620</v>
      </c>
      <c r="BA35" s="103" t="s">
        <v>108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297</v>
      </c>
      <c r="AZ36" s="103" t="s">
        <v>621</v>
      </c>
      <c r="BA36" s="103" t="s">
        <v>108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315</v>
      </c>
      <c r="AZ37" s="103" t="s">
        <v>622</v>
      </c>
      <c r="BA37" s="103" t="s">
        <v>108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294</v>
      </c>
      <c r="AZ38" s="103" t="s">
        <v>623</v>
      </c>
      <c r="BA38" s="103" t="s">
        <v>108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316</v>
      </c>
      <c r="AZ39" s="103" t="s">
        <v>624</v>
      </c>
      <c r="BA39" s="103" t="s">
        <v>108</v>
      </c>
      <c r="BB39" s="298">
        <v>240654</v>
      </c>
      <c r="BE39" s="70"/>
      <c r="BF39" s="238"/>
    </row>
    <row r="40" spans="1:58" ht="12.75">
      <c r="A40" s="3"/>
      <c r="B40" s="71"/>
      <c r="C40" s="3"/>
      <c r="T40" s="13"/>
      <c r="U40" s="2"/>
      <c r="W40" s="2"/>
      <c r="X40" s="10"/>
      <c r="Y40" s="44"/>
      <c r="Z40" s="44"/>
      <c r="AA40" s="44"/>
      <c r="AB40" s="44"/>
      <c r="AC40" s="44"/>
      <c r="AD40" s="2"/>
      <c r="AE40" s="2"/>
      <c r="AY40" s="103" t="s">
        <v>317</v>
      </c>
      <c r="AZ40" s="103" t="s">
        <v>625</v>
      </c>
      <c r="BA40" s="103" t="s">
        <v>108</v>
      </c>
      <c r="BB40" s="298">
        <v>231440</v>
      </c>
      <c r="BF40" s="249"/>
    </row>
    <row r="41" spans="1:58" ht="12.75">
      <c r="A41" s="3"/>
      <c r="B41" s="71"/>
      <c r="C41" s="3"/>
      <c r="T41" s="13"/>
      <c r="U41" s="2"/>
      <c r="W41" s="2"/>
      <c r="X41" s="10"/>
      <c r="Y41" s="44"/>
      <c r="Z41" s="44"/>
      <c r="AA41" s="44"/>
      <c r="AB41" s="44"/>
      <c r="AC41" s="44"/>
      <c r="AD41" s="2"/>
      <c r="AE41" s="2"/>
      <c r="AY41" s="103" t="s">
        <v>292</v>
      </c>
      <c r="AZ41" s="103" t="s">
        <v>626</v>
      </c>
      <c r="BA41" s="103" t="s">
        <v>108</v>
      </c>
      <c r="BB41" s="298">
        <v>102110</v>
      </c>
      <c r="BE41" s="70"/>
      <c r="BF41" s="238"/>
    </row>
    <row r="42" spans="1:58" ht="12.75">
      <c r="A42" s="3"/>
      <c r="B42" s="45"/>
      <c r="C42" s="3"/>
      <c r="T42" s="13"/>
      <c r="U42" s="2"/>
      <c r="W42" s="2"/>
      <c r="X42" s="10"/>
      <c r="Y42" s="44"/>
      <c r="Z42" s="44"/>
      <c r="AA42" s="44"/>
      <c r="AB42" s="44"/>
      <c r="AC42" s="44"/>
      <c r="AD42" s="2"/>
      <c r="AE42" s="2"/>
      <c r="AY42" s="103" t="s">
        <v>290</v>
      </c>
      <c r="AZ42" s="103" t="s">
        <v>627</v>
      </c>
      <c r="BA42" s="103" t="s">
        <v>108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289</v>
      </c>
      <c r="AZ43" s="103" t="s">
        <v>628</v>
      </c>
      <c r="BA43" s="103" t="s">
        <v>108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304</v>
      </c>
      <c r="AZ44" s="103" t="s">
        <v>629</v>
      </c>
      <c r="BA44" s="103" t="s">
        <v>108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318</v>
      </c>
      <c r="AZ45" s="103" t="s">
        <v>630</v>
      </c>
      <c r="BA45" s="103" t="s">
        <v>108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306</v>
      </c>
      <c r="AZ46" s="103" t="s">
        <v>631</v>
      </c>
      <c r="BA46" s="103" t="s">
        <v>108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407</v>
      </c>
      <c r="AZ47" s="103" t="s">
        <v>632</v>
      </c>
      <c r="BA47" s="103" t="s">
        <v>108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353</v>
      </c>
      <c r="AZ48" s="103" t="s">
        <v>633</v>
      </c>
      <c r="BA48" s="103" t="s">
        <v>108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420</v>
      </c>
      <c r="AZ49" s="103" t="s">
        <v>634</v>
      </c>
      <c r="BA49" s="103" t="s">
        <v>108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364</v>
      </c>
      <c r="AZ50" s="103" t="s">
        <v>635</v>
      </c>
      <c r="BA50" s="103" t="s">
        <v>108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386</v>
      </c>
      <c r="AZ51" s="103" t="s">
        <v>636</v>
      </c>
      <c r="BA51" s="103" t="s">
        <v>108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377</v>
      </c>
      <c r="AZ52" s="103" t="s">
        <v>637</v>
      </c>
      <c r="BA52" s="103" t="s">
        <v>108</v>
      </c>
      <c r="BB52" s="298">
        <v>201657</v>
      </c>
      <c r="BF52" s="249"/>
    </row>
    <row r="53" spans="1:58" ht="12.75">
      <c r="A53" s="3"/>
      <c r="B53" s="12"/>
      <c r="C53" s="3"/>
      <c r="I53" s="11"/>
      <c r="J53" s="11"/>
      <c r="K53" s="11"/>
      <c r="L53" s="11"/>
      <c r="S53" s="11"/>
      <c r="U53" s="2"/>
      <c r="X53" s="2"/>
      <c r="Y53" s="2"/>
      <c r="Z53" s="2"/>
      <c r="AA53" s="2"/>
      <c r="AB53" s="2"/>
      <c r="AY53" s="103" t="s">
        <v>409</v>
      </c>
      <c r="AZ53" s="103" t="s">
        <v>638</v>
      </c>
      <c r="BA53" s="103" t="s">
        <v>108</v>
      </c>
      <c r="BB53" s="298">
        <v>118636</v>
      </c>
      <c r="BF53" s="249"/>
    </row>
    <row r="54" spans="1:58" ht="12.75">
      <c r="A54" s="3"/>
      <c r="B54" s="12"/>
      <c r="C54" s="3"/>
      <c r="I54" s="11"/>
      <c r="J54" s="11"/>
      <c r="K54" s="11"/>
      <c r="L54" s="11"/>
      <c r="S54" s="11"/>
      <c r="U54" s="2"/>
      <c r="X54" s="2"/>
      <c r="Y54" s="2"/>
      <c r="Z54" s="2"/>
      <c r="AA54" s="2"/>
      <c r="AB54" s="2"/>
      <c r="AY54" s="103" t="s">
        <v>424</v>
      </c>
      <c r="AZ54" s="103" t="s">
        <v>639</v>
      </c>
      <c r="BA54" s="103" t="s">
        <v>108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389</v>
      </c>
      <c r="AZ55" s="103" t="s">
        <v>640</v>
      </c>
      <c r="BA55" s="103" t="s">
        <v>108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410</v>
      </c>
      <c r="AZ56" s="103" t="s">
        <v>641</v>
      </c>
      <c r="BA56" s="103" t="s">
        <v>108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411</v>
      </c>
      <c r="AZ57" s="103" t="s">
        <v>642</v>
      </c>
      <c r="BA57" s="103" t="s">
        <v>108</v>
      </c>
      <c r="BB57" s="298">
        <v>359415</v>
      </c>
      <c r="BF57" s="249"/>
    </row>
    <row r="58" spans="1:58" ht="12.75">
      <c r="A58" s="3"/>
      <c r="B58" s="12"/>
      <c r="C58" s="3"/>
      <c r="E58" s="2"/>
      <c r="F58" s="2"/>
      <c r="G58" s="2"/>
      <c r="I58" s="11"/>
      <c r="J58" s="11"/>
      <c r="K58" s="11"/>
      <c r="L58" s="11"/>
      <c r="S58" s="11"/>
      <c r="T58" s="2"/>
      <c r="U58" s="2"/>
      <c r="X58" s="2"/>
      <c r="Y58" s="2"/>
      <c r="Z58" s="2"/>
      <c r="AA58" s="2"/>
      <c r="AB58" s="2"/>
      <c r="AY58" s="103" t="s">
        <v>408</v>
      </c>
      <c r="AZ58" s="103" t="s">
        <v>643</v>
      </c>
      <c r="BA58" s="103" t="s">
        <v>108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406</v>
      </c>
      <c r="AZ59" s="103" t="s">
        <v>644</v>
      </c>
      <c r="BA59" s="103" t="s">
        <v>108</v>
      </c>
      <c r="BB59" s="298">
        <v>159597</v>
      </c>
      <c r="BE59" s="70"/>
      <c r="BF59" s="236"/>
    </row>
    <row r="60" spans="1:58" ht="12.75">
      <c r="A60" s="3"/>
      <c r="B60" s="12"/>
      <c r="C60" s="3"/>
      <c r="G60" s="2"/>
      <c r="I60" s="11"/>
      <c r="J60" s="11"/>
      <c r="K60" s="11"/>
      <c r="L60" s="11"/>
      <c r="S60" s="11"/>
      <c r="T60" s="2"/>
      <c r="U60" s="2"/>
      <c r="X60" s="2"/>
      <c r="Y60" s="2"/>
      <c r="Z60" s="2"/>
      <c r="AA60" s="2"/>
      <c r="AB60" s="2"/>
      <c r="AY60" s="103" t="s">
        <v>360</v>
      </c>
      <c r="AZ60" s="103" t="s">
        <v>645</v>
      </c>
      <c r="BA60" s="103" t="s">
        <v>108</v>
      </c>
      <c r="BB60" s="298">
        <v>290050</v>
      </c>
      <c r="BE60" s="70"/>
      <c r="BF60" s="236"/>
    </row>
    <row r="61" spans="1:58" ht="12.75">
      <c r="A61" s="3"/>
      <c r="B61" s="12"/>
      <c r="C61" s="3"/>
      <c r="G61" s="2"/>
      <c r="I61" s="11"/>
      <c r="J61" s="2"/>
      <c r="K61" s="2"/>
      <c r="L61" s="2"/>
      <c r="S61" s="2"/>
      <c r="T61" s="2"/>
      <c r="U61" s="2"/>
      <c r="X61" s="2"/>
      <c r="Y61" s="2"/>
      <c r="Z61" s="2"/>
      <c r="AA61" s="2"/>
      <c r="AB61" s="2"/>
      <c r="AY61" s="103" t="s">
        <v>320</v>
      </c>
      <c r="AZ61" s="103" t="s">
        <v>646</v>
      </c>
      <c r="BA61" s="103" t="s">
        <v>108</v>
      </c>
      <c r="BB61" s="298">
        <v>258661</v>
      </c>
      <c r="BE61" s="70"/>
      <c r="BF61" s="236"/>
    </row>
    <row r="62" spans="1:58" ht="12.75">
      <c r="A62" s="3"/>
      <c r="B62" s="12"/>
      <c r="C62" s="3"/>
      <c r="G62" s="2"/>
      <c r="I62" s="11"/>
      <c r="J62" s="2"/>
      <c r="K62" s="2"/>
      <c r="L62" s="2"/>
      <c r="S62" s="2"/>
      <c r="T62" s="2"/>
      <c r="U62" s="2"/>
      <c r="X62" s="2"/>
      <c r="Y62" s="2"/>
      <c r="Z62" s="2"/>
      <c r="AA62" s="2"/>
      <c r="AB62" s="2"/>
      <c r="AY62" s="103" t="s">
        <v>393</v>
      </c>
      <c r="AZ62" s="103" t="s">
        <v>647</v>
      </c>
      <c r="BA62" s="103" t="s">
        <v>108</v>
      </c>
      <c r="BB62" s="298">
        <v>166624</v>
      </c>
      <c r="BE62" s="70"/>
      <c r="BF62" s="236"/>
    </row>
    <row r="63" spans="1:58" ht="12.75">
      <c r="A63" s="3"/>
      <c r="B63" s="12"/>
      <c r="C63" s="3"/>
      <c r="G63" s="2"/>
      <c r="I63" s="11"/>
      <c r="J63" s="2"/>
      <c r="K63" s="2"/>
      <c r="L63" s="2"/>
      <c r="S63" s="2"/>
      <c r="T63" s="2"/>
      <c r="U63" s="2"/>
      <c r="V63" s="13"/>
      <c r="X63" s="2"/>
      <c r="Y63" s="2"/>
      <c r="Z63" s="2"/>
      <c r="AA63" s="2"/>
      <c r="AB63" s="2"/>
      <c r="AY63" s="103" t="s">
        <v>375</v>
      </c>
      <c r="AZ63" s="103" t="s">
        <v>648</v>
      </c>
      <c r="BA63" s="103" t="s">
        <v>108</v>
      </c>
      <c r="BB63" s="298">
        <v>185008</v>
      </c>
      <c r="BE63" s="70"/>
      <c r="BF63" s="236"/>
    </row>
    <row r="64" spans="1:58" ht="12.75">
      <c r="A64" s="3"/>
      <c r="B64" s="12"/>
      <c r="C64" s="3"/>
      <c r="I64" s="11"/>
      <c r="V64" s="3"/>
      <c r="AY64" s="103" t="s">
        <v>404</v>
      </c>
      <c r="AZ64" s="103" t="s">
        <v>649</v>
      </c>
      <c r="BA64" s="103" t="s">
        <v>108</v>
      </c>
      <c r="BB64" s="298">
        <v>166721</v>
      </c>
      <c r="BE64" s="70"/>
      <c r="BF64" s="238"/>
    </row>
    <row r="65" spans="1:58" ht="12.75">
      <c r="A65" s="3"/>
      <c r="B65" s="12"/>
      <c r="C65" s="3"/>
      <c r="AY65" s="103" t="s">
        <v>388</v>
      </c>
      <c r="AZ65" s="103" t="s">
        <v>650</v>
      </c>
      <c r="BA65" s="103" t="s">
        <v>108</v>
      </c>
      <c r="BB65" s="298">
        <v>254708</v>
      </c>
      <c r="BE65" s="70"/>
      <c r="BF65" s="238"/>
    </row>
    <row r="66" spans="1:58" ht="12.75">
      <c r="A66" s="3"/>
      <c r="B66" s="12"/>
      <c r="C66" s="3"/>
      <c r="E66" s="2"/>
      <c r="F66" s="2"/>
      <c r="G66" s="2"/>
      <c r="V66" s="2"/>
      <c r="AY66" s="103" t="s">
        <v>391</v>
      </c>
      <c r="AZ66" s="103" t="s">
        <v>651</v>
      </c>
      <c r="BA66" s="103" t="s">
        <v>108</v>
      </c>
      <c r="BB66" s="298">
        <v>118017</v>
      </c>
      <c r="BE66" s="70"/>
      <c r="BF66" s="236"/>
    </row>
    <row r="67" spans="1:58" ht="12.75">
      <c r="A67" s="3"/>
      <c r="B67" s="12"/>
      <c r="C67" s="3"/>
      <c r="AY67" s="103" t="s">
        <v>385</v>
      </c>
      <c r="AZ67" s="103" t="s">
        <v>652</v>
      </c>
      <c r="BA67" s="103" t="s">
        <v>108</v>
      </c>
      <c r="BB67" s="298">
        <v>565185</v>
      </c>
      <c r="BE67" s="70"/>
      <c r="BF67" s="236"/>
    </row>
    <row r="68" spans="1:58" ht="12.75">
      <c r="A68" s="3"/>
      <c r="B68" s="12"/>
      <c r="C68" s="3"/>
      <c r="AY68" s="103" t="s">
        <v>405</v>
      </c>
      <c r="AZ68" s="103" t="s">
        <v>653</v>
      </c>
      <c r="BA68" s="103" t="s">
        <v>108</v>
      </c>
      <c r="BB68" s="298">
        <v>339389</v>
      </c>
      <c r="BF68" s="249"/>
    </row>
    <row r="69" spans="1:58" ht="12.75">
      <c r="A69" s="3"/>
      <c r="B69" s="12"/>
      <c r="C69" s="3"/>
      <c r="AY69" s="103" t="s">
        <v>412</v>
      </c>
      <c r="AZ69" s="103" t="s">
        <v>654</v>
      </c>
      <c r="BA69" s="103" t="s">
        <v>108</v>
      </c>
      <c r="BB69" s="298">
        <v>352792</v>
      </c>
      <c r="BE69" s="70"/>
      <c r="BF69" s="238"/>
    </row>
    <row r="70" spans="1:58" ht="12.75">
      <c r="A70" s="3"/>
      <c r="B70" s="12"/>
      <c r="C70" s="3"/>
      <c r="AY70" s="103" t="s">
        <v>419</v>
      </c>
      <c r="AZ70" s="103" t="s">
        <v>655</v>
      </c>
      <c r="BA70" s="103" t="s">
        <v>108</v>
      </c>
      <c r="BB70" s="298">
        <v>241613</v>
      </c>
      <c r="BE70" s="70"/>
      <c r="BF70" s="236"/>
    </row>
    <row r="71" spans="1:58" ht="12.75">
      <c r="A71" s="3"/>
      <c r="B71" s="12"/>
      <c r="C71" s="3"/>
      <c r="AY71" s="103" t="s">
        <v>468</v>
      </c>
      <c r="AZ71" s="103" t="s">
        <v>656</v>
      </c>
      <c r="BA71" s="103" t="s">
        <v>108</v>
      </c>
      <c r="BB71" s="298">
        <v>67686</v>
      </c>
      <c r="BE71" s="70"/>
      <c r="BF71" s="236"/>
    </row>
    <row r="72" spans="1:58" ht="12.75">
      <c r="A72" s="3"/>
      <c r="B72" s="12"/>
      <c r="C72" s="3"/>
      <c r="AY72" s="103" t="s">
        <v>415</v>
      </c>
      <c r="AZ72" s="103" t="s">
        <v>657</v>
      </c>
      <c r="BA72" s="103" t="s">
        <v>108</v>
      </c>
      <c r="BB72" s="298">
        <v>314664</v>
      </c>
      <c r="BE72" s="247"/>
      <c r="BF72" s="236"/>
    </row>
    <row r="73" spans="1:58" ht="12.75">
      <c r="A73" s="3"/>
      <c r="B73" s="12"/>
      <c r="C73" s="3"/>
      <c r="AY73" s="103" t="s">
        <v>387</v>
      </c>
      <c r="AZ73" s="103" t="s">
        <v>658</v>
      </c>
      <c r="BA73" s="103" t="s">
        <v>108</v>
      </c>
      <c r="BB73" s="298">
        <v>97292</v>
      </c>
      <c r="BE73" s="70"/>
      <c r="BF73" s="236"/>
    </row>
    <row r="74" spans="1:58" ht="12.75">
      <c r="A74" s="3"/>
      <c r="B74" s="12"/>
      <c r="C74" s="3"/>
      <c r="AY74" s="103" t="s">
        <v>414</v>
      </c>
      <c r="AZ74" s="103" t="s">
        <v>659</v>
      </c>
      <c r="BA74" s="103" t="s">
        <v>108</v>
      </c>
      <c r="BB74" s="298">
        <v>102317</v>
      </c>
      <c r="BE74" s="70"/>
      <c r="BF74" s="238"/>
    </row>
    <row r="75" spans="1:58" ht="12.75">
      <c r="A75" s="3"/>
      <c r="B75" s="12"/>
      <c r="C75" s="3"/>
      <c r="AY75" s="103" t="s">
        <v>332</v>
      </c>
      <c r="AZ75" s="103" t="s">
        <v>660</v>
      </c>
      <c r="BA75" s="103" t="s">
        <v>108</v>
      </c>
      <c r="BB75" s="298">
        <v>371595</v>
      </c>
      <c r="BE75" s="70"/>
      <c r="BF75" s="238"/>
    </row>
    <row r="76" spans="1:58" ht="12.75">
      <c r="A76" s="3"/>
      <c r="B76" s="12"/>
      <c r="C76" s="3"/>
      <c r="AY76" s="103" t="s">
        <v>417</v>
      </c>
      <c r="AZ76" s="103" t="s">
        <v>661</v>
      </c>
      <c r="BA76" s="103" t="s">
        <v>108</v>
      </c>
      <c r="BB76" s="298">
        <v>226047</v>
      </c>
      <c r="BE76" s="70"/>
      <c r="BF76" s="238"/>
    </row>
    <row r="77" spans="1:58" ht="12.75">
      <c r="A77" s="3"/>
      <c r="B77" s="12"/>
      <c r="C77" s="3"/>
      <c r="AY77" s="103" t="s">
        <v>379</v>
      </c>
      <c r="AZ77" s="103" t="s">
        <v>662</v>
      </c>
      <c r="BA77" s="103" t="s">
        <v>108</v>
      </c>
      <c r="BB77" s="298">
        <v>183762</v>
      </c>
      <c r="BE77" s="70"/>
      <c r="BF77" s="246"/>
    </row>
    <row r="78" spans="1:58" ht="12.75">
      <c r="A78" s="3"/>
      <c r="B78" s="12"/>
      <c r="C78" s="3"/>
      <c r="AY78" s="103" t="s">
        <v>397</v>
      </c>
      <c r="AZ78" s="103" t="s">
        <v>663</v>
      </c>
      <c r="BA78" s="103" t="s">
        <v>108</v>
      </c>
      <c r="BB78" s="298">
        <v>265437</v>
      </c>
      <c r="BE78" s="70"/>
      <c r="BF78" s="236"/>
    </row>
    <row r="79" spans="1:58" ht="12.75">
      <c r="A79" s="3"/>
      <c r="B79" s="12"/>
      <c r="C79" s="3"/>
      <c r="AY79" s="103" t="s">
        <v>322</v>
      </c>
      <c r="AZ79" s="103" t="s">
        <v>664</v>
      </c>
      <c r="BA79" s="103" t="s">
        <v>108</v>
      </c>
      <c r="BB79" s="298">
        <v>628635</v>
      </c>
      <c r="BF79" s="236"/>
    </row>
    <row r="80" spans="1:58" ht="12.75">
      <c r="A80" s="3"/>
      <c r="B80" s="12"/>
      <c r="C80" s="3"/>
      <c r="AY80" s="103" t="s">
        <v>423</v>
      </c>
      <c r="AZ80" s="103" t="s">
        <v>665</v>
      </c>
      <c r="BA80" s="103" t="s">
        <v>108</v>
      </c>
      <c r="BB80" s="298">
        <v>128014</v>
      </c>
      <c r="BF80" s="249"/>
    </row>
    <row r="81" spans="1:58" ht="12.75">
      <c r="A81" s="3"/>
      <c r="B81" s="12"/>
      <c r="C81" s="3"/>
      <c r="AY81" s="103" t="s">
        <v>413</v>
      </c>
      <c r="AZ81" s="103" t="s">
        <v>666</v>
      </c>
      <c r="BA81" s="103" t="s">
        <v>108</v>
      </c>
      <c r="BB81" s="298">
        <v>262238</v>
      </c>
      <c r="BF81" s="249"/>
    </row>
    <row r="82" spans="1:58" ht="12.75">
      <c r="A82" s="3"/>
      <c r="B82" s="12"/>
      <c r="C82" s="3"/>
      <c r="AY82" s="103" t="s">
        <v>422</v>
      </c>
      <c r="AZ82" s="103" t="s">
        <v>667</v>
      </c>
      <c r="BA82" s="103" t="s">
        <v>108</v>
      </c>
      <c r="BB82" s="298">
        <v>342743</v>
      </c>
      <c r="BF82" s="249"/>
    </row>
    <row r="83" spans="1:58" ht="12.75">
      <c r="A83" s="3"/>
      <c r="B83" s="12"/>
      <c r="C83" s="3"/>
      <c r="AY83" s="103" t="s">
        <v>321</v>
      </c>
      <c r="AZ83" s="103" t="s">
        <v>668</v>
      </c>
      <c r="BA83" s="103" t="s">
        <v>108</v>
      </c>
      <c r="BB83" s="298">
        <v>144732</v>
      </c>
      <c r="BE83" s="70"/>
      <c r="BF83" s="238"/>
    </row>
    <row r="84" spans="1:58" ht="12.75">
      <c r="A84" s="3"/>
      <c r="B84" s="12"/>
      <c r="C84" s="3"/>
      <c r="AY84" s="103" t="s">
        <v>421</v>
      </c>
      <c r="AZ84" s="103" t="s">
        <v>669</v>
      </c>
      <c r="BA84" s="103" t="s">
        <v>108</v>
      </c>
      <c r="BB84" s="298">
        <v>93461</v>
      </c>
      <c r="BE84" s="70"/>
      <c r="BF84" s="238"/>
    </row>
    <row r="85" spans="1:58" ht="12.75">
      <c r="A85" s="3"/>
      <c r="B85" s="12"/>
      <c r="C85" s="3"/>
      <c r="AY85" s="103" t="s">
        <v>416</v>
      </c>
      <c r="AZ85" s="103" t="s">
        <v>670</v>
      </c>
      <c r="BA85" s="103" t="s">
        <v>108</v>
      </c>
      <c r="BB85" s="298">
        <v>121763</v>
      </c>
      <c r="BE85" s="70"/>
      <c r="BF85" s="238"/>
    </row>
    <row r="86" spans="1:58" ht="12.75">
      <c r="A86" s="3"/>
      <c r="B86" s="12"/>
      <c r="C86" s="3"/>
      <c r="AY86" s="103" t="s">
        <v>371</v>
      </c>
      <c r="AZ86" s="103" t="s">
        <v>671</v>
      </c>
      <c r="BA86" s="103" t="s">
        <v>108</v>
      </c>
      <c r="BB86" s="298">
        <v>129209</v>
      </c>
      <c r="BE86" s="70"/>
      <c r="BF86" s="246"/>
    </row>
    <row r="87" spans="1:58" ht="12.75">
      <c r="A87" s="3"/>
      <c r="B87" s="12"/>
      <c r="C87" s="3"/>
      <c r="AY87" s="103" t="s">
        <v>374</v>
      </c>
      <c r="AZ87" s="103" t="s">
        <v>672</v>
      </c>
      <c r="BA87" s="103" t="s">
        <v>108</v>
      </c>
      <c r="BB87" s="298">
        <v>522776</v>
      </c>
      <c r="BE87" s="70"/>
      <c r="BF87" s="246"/>
    </row>
    <row r="88" spans="1:58" ht="12.75">
      <c r="A88" s="3"/>
      <c r="B88" s="12"/>
      <c r="C88" s="3"/>
      <c r="AY88" s="103" t="s">
        <v>343</v>
      </c>
      <c r="AZ88" s="103" t="s">
        <v>673</v>
      </c>
      <c r="BA88" s="103" t="s">
        <v>108</v>
      </c>
      <c r="BB88" s="298">
        <v>368905</v>
      </c>
      <c r="BE88" s="70"/>
      <c r="BF88" s="238"/>
    </row>
    <row r="89" spans="1:58" ht="12.75">
      <c r="A89" s="3"/>
      <c r="B89" s="12"/>
      <c r="C89" s="3"/>
      <c r="AY89" s="103" t="s">
        <v>269</v>
      </c>
      <c r="AZ89" s="103" t="s">
        <v>674</v>
      </c>
      <c r="BA89" s="103" t="s">
        <v>108</v>
      </c>
      <c r="BB89" s="298">
        <v>239319</v>
      </c>
      <c r="BE89" s="70"/>
      <c r="BF89" s="238"/>
    </row>
    <row r="90" spans="1:58" ht="12.75">
      <c r="A90" s="3"/>
      <c r="B90" s="12"/>
      <c r="C90" s="3"/>
      <c r="AY90" s="103" t="s">
        <v>272</v>
      </c>
      <c r="AZ90" s="103" t="s">
        <v>675</v>
      </c>
      <c r="BA90" s="103" t="s">
        <v>108</v>
      </c>
      <c r="BB90" s="298">
        <v>131791</v>
      </c>
      <c r="BE90" s="70"/>
      <c r="BF90" s="238"/>
    </row>
    <row r="91" spans="1:58" ht="12.75">
      <c r="A91" s="3"/>
      <c r="B91" s="12"/>
      <c r="C91" s="3"/>
      <c r="AY91" s="103" t="s">
        <v>280</v>
      </c>
      <c r="AZ91" s="103" t="s">
        <v>676</v>
      </c>
      <c r="BA91" s="103" t="s">
        <v>108</v>
      </c>
      <c r="BB91" s="298">
        <v>461070</v>
      </c>
      <c r="BE91" s="244"/>
      <c r="BF91" s="246"/>
    </row>
    <row r="92" spans="1:58" ht="12.75">
      <c r="A92" s="3"/>
      <c r="B92" s="12"/>
      <c r="C92" s="3"/>
      <c r="AY92" s="103" t="s">
        <v>284</v>
      </c>
      <c r="AZ92" s="103" t="s">
        <v>677</v>
      </c>
      <c r="BA92" s="103" t="s">
        <v>108</v>
      </c>
      <c r="BB92" s="298">
        <v>312763</v>
      </c>
      <c r="BE92" s="244"/>
      <c r="BF92" s="246"/>
    </row>
    <row r="93" spans="1:58" ht="12.75">
      <c r="A93" s="3"/>
      <c r="B93" s="12"/>
      <c r="C93" s="3"/>
      <c r="AY93" s="103" t="s">
        <v>277</v>
      </c>
      <c r="AZ93" s="103" t="s">
        <v>678</v>
      </c>
      <c r="BA93" s="103" t="s">
        <v>108</v>
      </c>
      <c r="BB93" s="298">
        <v>133795</v>
      </c>
      <c r="BF93" s="249"/>
    </row>
    <row r="94" spans="1:58" ht="12.75">
      <c r="A94" s="3"/>
      <c r="B94" s="12"/>
      <c r="C94" s="3"/>
      <c r="AY94" s="103" t="s">
        <v>266</v>
      </c>
      <c r="AZ94" s="103" t="s">
        <v>679</v>
      </c>
      <c r="BA94" s="103" t="s">
        <v>108</v>
      </c>
      <c r="BB94" s="298">
        <v>181868</v>
      </c>
      <c r="BE94" s="70"/>
      <c r="BF94" s="238"/>
    </row>
    <row r="95" spans="1:58" ht="12.75">
      <c r="A95" s="3"/>
      <c r="B95" s="12"/>
      <c r="C95" s="3"/>
      <c r="AY95" s="103" t="s">
        <v>274</v>
      </c>
      <c r="AZ95" s="103" t="s">
        <v>680</v>
      </c>
      <c r="BA95" s="103" t="s">
        <v>108</v>
      </c>
      <c r="BB95" s="298">
        <v>204306</v>
      </c>
      <c r="BE95" s="244"/>
      <c r="BF95" s="246"/>
    </row>
    <row r="96" spans="1:58" ht="12.75">
      <c r="A96" s="3"/>
      <c r="B96" s="12"/>
      <c r="C96" s="3"/>
      <c r="AY96" s="103" t="s">
        <v>278</v>
      </c>
      <c r="AZ96" s="103" t="s">
        <v>681</v>
      </c>
      <c r="BA96" s="103" t="s">
        <v>108</v>
      </c>
      <c r="BB96" s="298">
        <v>183653</v>
      </c>
      <c r="BE96" s="240"/>
      <c r="BF96" s="235"/>
    </row>
    <row r="97" spans="1:58" ht="12.75">
      <c r="A97" s="3"/>
      <c r="B97" s="12"/>
      <c r="C97" s="3"/>
      <c r="AY97" s="103" t="s">
        <v>265</v>
      </c>
      <c r="AZ97" s="103" t="s">
        <v>682</v>
      </c>
      <c r="BA97" s="103" t="s">
        <v>108</v>
      </c>
      <c r="BB97" s="298">
        <v>171390</v>
      </c>
      <c r="BE97" s="240"/>
      <c r="BF97" s="235"/>
    </row>
    <row r="98" spans="1:58" ht="12.75">
      <c r="A98" s="3"/>
      <c r="B98" s="12"/>
      <c r="C98" s="3"/>
      <c r="AY98" s="103" t="s">
        <v>282</v>
      </c>
      <c r="AZ98" s="103" t="s">
        <v>683</v>
      </c>
      <c r="BA98" s="103" t="s">
        <v>108</v>
      </c>
      <c r="BB98" s="298">
        <v>530073</v>
      </c>
      <c r="BE98" s="245"/>
      <c r="BF98" s="238"/>
    </row>
    <row r="99" spans="1:58" ht="12.75">
      <c r="A99" s="3"/>
      <c r="B99" s="12"/>
      <c r="C99" s="3"/>
      <c r="AY99" s="103" t="s">
        <v>271</v>
      </c>
      <c r="AZ99" s="103" t="s">
        <v>684</v>
      </c>
      <c r="BA99" s="103" t="s">
        <v>108</v>
      </c>
      <c r="BB99" s="298">
        <v>296370</v>
      </c>
      <c r="BE99" s="70"/>
      <c r="BF99" s="246"/>
    </row>
    <row r="100" spans="1:58" ht="12.75">
      <c r="A100" s="3"/>
      <c r="B100" s="12"/>
      <c r="C100" s="3"/>
      <c r="AY100" s="103" t="s">
        <v>283</v>
      </c>
      <c r="AZ100" s="103" t="s">
        <v>685</v>
      </c>
      <c r="BA100" s="103" t="s">
        <v>108</v>
      </c>
      <c r="BB100" s="298">
        <v>235280</v>
      </c>
      <c r="BE100" s="70"/>
      <c r="BF100" s="246"/>
    </row>
    <row r="101" spans="51:58" ht="12.75">
      <c r="AY101" s="103" t="s">
        <v>275</v>
      </c>
      <c r="AZ101" s="103" t="s">
        <v>686</v>
      </c>
      <c r="BA101" s="103" t="s">
        <v>108</v>
      </c>
      <c r="BB101" s="298">
        <v>208299</v>
      </c>
      <c r="BE101" s="234"/>
      <c r="BF101" s="235"/>
    </row>
    <row r="102" spans="51:58" ht="12.75">
      <c r="AY102" s="103" t="s">
        <v>279</v>
      </c>
      <c r="AZ102" s="103" t="s">
        <v>687</v>
      </c>
      <c r="BA102" s="103" t="s">
        <v>108</v>
      </c>
      <c r="BB102" s="298">
        <v>271512</v>
      </c>
      <c r="BE102" s="234"/>
      <c r="BF102" s="235"/>
    </row>
    <row r="103" spans="51:58" ht="12.75">
      <c r="AY103" s="103" t="s">
        <v>267</v>
      </c>
      <c r="AZ103" s="103" t="s">
        <v>688</v>
      </c>
      <c r="BA103" s="103" t="s">
        <v>108</v>
      </c>
      <c r="BB103" s="298">
        <v>292433</v>
      </c>
      <c r="BE103" s="70"/>
      <c r="BF103" s="236"/>
    </row>
    <row r="104" spans="51:58" ht="12.75">
      <c r="AY104" s="103" t="s">
        <v>276</v>
      </c>
      <c r="AZ104" s="103" t="s">
        <v>689</v>
      </c>
      <c r="BA104" s="103" t="s">
        <v>108</v>
      </c>
      <c r="BB104" s="298">
        <v>144593</v>
      </c>
      <c r="BF104" s="249"/>
    </row>
    <row r="105" spans="51:58" ht="12.75">
      <c r="AY105" s="103" t="s">
        <v>273</v>
      </c>
      <c r="AZ105" s="103" t="s">
        <v>690</v>
      </c>
      <c r="BA105" s="103" t="s">
        <v>108</v>
      </c>
      <c r="BB105" s="298">
        <v>278090</v>
      </c>
      <c r="BE105" s="234"/>
      <c r="BF105" s="235"/>
    </row>
    <row r="106" spans="51:58" ht="12.75">
      <c r="AY106" s="103" t="s">
        <v>270</v>
      </c>
      <c r="AZ106" s="103" t="s">
        <v>691</v>
      </c>
      <c r="BA106" s="103" t="s">
        <v>108</v>
      </c>
      <c r="BB106" s="298">
        <v>172024</v>
      </c>
      <c r="BF106" s="249"/>
    </row>
    <row r="107" spans="51:58" ht="12.75">
      <c r="AY107" s="103" t="s">
        <v>285</v>
      </c>
      <c r="AZ107" s="103" t="s">
        <v>692</v>
      </c>
      <c r="BA107" s="103" t="s">
        <v>108</v>
      </c>
      <c r="BB107" s="298">
        <v>268758</v>
      </c>
      <c r="BF107" s="249"/>
    </row>
    <row r="108" spans="51:58" ht="12.75">
      <c r="AY108" s="103" t="s">
        <v>286</v>
      </c>
      <c r="AZ108" s="103" t="s">
        <v>693</v>
      </c>
      <c r="BA108" s="103" t="s">
        <v>108</v>
      </c>
      <c r="BB108" s="298">
        <v>260354</v>
      </c>
      <c r="BE108" s="70"/>
      <c r="BF108" s="236"/>
    </row>
    <row r="109" spans="51:58" ht="12.75">
      <c r="AY109" s="103" t="s">
        <v>268</v>
      </c>
      <c r="AZ109" s="103" t="s">
        <v>694</v>
      </c>
      <c r="BA109" s="103" t="s">
        <v>108</v>
      </c>
      <c r="BB109" s="298">
        <v>112154</v>
      </c>
      <c r="BE109" s="234"/>
      <c r="BF109" s="235"/>
    </row>
    <row r="110" spans="51:58" ht="12.75">
      <c r="AY110" s="103" t="s">
        <v>344</v>
      </c>
      <c r="AZ110" s="103" t="s">
        <v>695</v>
      </c>
      <c r="BA110" s="103" t="s">
        <v>108</v>
      </c>
      <c r="BB110" s="298">
        <v>430680</v>
      </c>
      <c r="BE110" s="70"/>
      <c r="BF110" s="246"/>
    </row>
    <row r="111" spans="51:58" ht="12.75">
      <c r="AY111" s="103" t="s">
        <v>337</v>
      </c>
      <c r="AZ111" s="103" t="s">
        <v>696</v>
      </c>
      <c r="BA111" s="103" t="s">
        <v>108</v>
      </c>
      <c r="BB111" s="298">
        <v>861759</v>
      </c>
      <c r="BE111" s="70"/>
      <c r="BF111" s="236"/>
    </row>
    <row r="112" spans="51:58" ht="12.75">
      <c r="AY112" s="103" t="s">
        <v>425</v>
      </c>
      <c r="AZ112" s="103" t="s">
        <v>697</v>
      </c>
      <c r="BA112" s="103" t="s">
        <v>108</v>
      </c>
      <c r="BB112" s="298">
        <v>563052</v>
      </c>
      <c r="BE112" s="247"/>
      <c r="BF112" s="246"/>
    </row>
    <row r="113" spans="51:58" ht="12.75">
      <c r="AY113" s="103" t="s">
        <v>373</v>
      </c>
      <c r="AZ113" s="103" t="s">
        <v>698</v>
      </c>
      <c r="BA113" s="103" t="s">
        <v>108</v>
      </c>
      <c r="BB113" s="298">
        <v>387143</v>
      </c>
      <c r="BE113" s="70"/>
      <c r="BF113" s="238"/>
    </row>
    <row r="114" spans="51:58" ht="12.75">
      <c r="AY114" s="103" t="s">
        <v>334</v>
      </c>
      <c r="AZ114" s="103" t="s">
        <v>699</v>
      </c>
      <c r="BA114" s="103" t="s">
        <v>108</v>
      </c>
      <c r="BB114" s="298">
        <v>230830</v>
      </c>
      <c r="BF114" s="238"/>
    </row>
    <row r="115" spans="51:58" ht="12.75">
      <c r="AY115" s="103" t="s">
        <v>366</v>
      </c>
      <c r="AZ115" s="103" t="s">
        <v>700</v>
      </c>
      <c r="BA115" s="103" t="s">
        <v>108</v>
      </c>
      <c r="BB115" s="298">
        <v>597224</v>
      </c>
      <c r="BE115" s="245"/>
      <c r="BF115" s="238"/>
    </row>
    <row r="116" spans="51:58" ht="12.75">
      <c r="AY116" s="103" t="s">
        <v>381</v>
      </c>
      <c r="AZ116" s="103" t="s">
        <v>701</v>
      </c>
      <c r="BA116" s="103" t="s">
        <v>108</v>
      </c>
      <c r="BB116" s="298">
        <v>213020</v>
      </c>
      <c r="BE116" s="70"/>
      <c r="BF116" s="236"/>
    </row>
    <row r="117" spans="51:58" ht="12.75">
      <c r="AY117" s="103" t="s">
        <v>347</v>
      </c>
      <c r="AZ117" s="103" t="s">
        <v>702</v>
      </c>
      <c r="BA117" s="103" t="s">
        <v>108</v>
      </c>
      <c r="BB117" s="298">
        <v>379032</v>
      </c>
      <c r="BE117" s="234"/>
      <c r="BF117" s="235"/>
    </row>
    <row r="118" spans="51:58" ht="12.75">
      <c r="AY118" s="103" t="s">
        <v>356</v>
      </c>
      <c r="AZ118" s="103" t="s">
        <v>703</v>
      </c>
      <c r="BA118" s="103" t="s">
        <v>108</v>
      </c>
      <c r="BB118" s="298">
        <v>327531</v>
      </c>
      <c r="BE118" s="70"/>
      <c r="BF118" s="236"/>
    </row>
    <row r="119" spans="51:58" ht="12.75">
      <c r="AY119" s="103" t="s">
        <v>426</v>
      </c>
      <c r="AZ119" s="103" t="s">
        <v>704</v>
      </c>
      <c r="BA119" s="103" t="s">
        <v>108</v>
      </c>
      <c r="BB119" s="298">
        <v>167483</v>
      </c>
      <c r="BE119" s="70"/>
      <c r="BF119" s="236"/>
    </row>
    <row r="120" spans="51:58" ht="12.75">
      <c r="AY120" s="103" t="s">
        <v>428</v>
      </c>
      <c r="AZ120" s="103" t="s">
        <v>705</v>
      </c>
      <c r="BA120" s="103" t="s">
        <v>108</v>
      </c>
      <c r="BB120" s="298">
        <v>204270</v>
      </c>
      <c r="BE120" s="70"/>
      <c r="BF120" s="236"/>
    </row>
    <row r="121" spans="51:58" ht="12.75">
      <c r="AY121" s="103" t="s">
        <v>427</v>
      </c>
      <c r="AZ121" s="103" t="s">
        <v>706</v>
      </c>
      <c r="BA121" s="103" t="s">
        <v>108</v>
      </c>
      <c r="BB121" s="298">
        <v>220178</v>
      </c>
      <c r="BE121" s="234"/>
      <c r="BF121" s="235"/>
    </row>
    <row r="122" spans="51:58" ht="12.75">
      <c r="AY122" s="103" t="s">
        <v>323</v>
      </c>
      <c r="AZ122" s="103" t="s">
        <v>707</v>
      </c>
      <c r="BA122" s="103" t="s">
        <v>108</v>
      </c>
      <c r="BB122" s="298">
        <v>151526</v>
      </c>
      <c r="BE122" s="70"/>
      <c r="BF122" s="246"/>
    </row>
    <row r="123" spans="51:58" ht="12.75">
      <c r="AY123" s="103" t="s">
        <v>346</v>
      </c>
      <c r="AZ123" s="103" t="s">
        <v>708</v>
      </c>
      <c r="BA123" s="103" t="s">
        <v>108</v>
      </c>
      <c r="BB123" s="298">
        <v>291230</v>
      </c>
      <c r="BF123" s="249"/>
    </row>
    <row r="124" spans="51:58" ht="12.75">
      <c r="AY124" s="103" t="s">
        <v>348</v>
      </c>
      <c r="AZ124" s="103" t="s">
        <v>709</v>
      </c>
      <c r="BA124" s="103" t="s">
        <v>108</v>
      </c>
      <c r="BB124" s="298">
        <v>164506</v>
      </c>
      <c r="BF124" s="249"/>
    </row>
    <row r="125" spans="51:58" ht="12.75">
      <c r="AY125" s="103" t="s">
        <v>357</v>
      </c>
      <c r="AZ125" s="103" t="s">
        <v>710</v>
      </c>
      <c r="BA125" s="103" t="s">
        <v>108</v>
      </c>
      <c r="BB125" s="298">
        <v>235721</v>
      </c>
      <c r="BE125" s="70"/>
      <c r="BF125" s="246"/>
    </row>
    <row r="126" spans="51:58" ht="12.75">
      <c r="AY126" s="103" t="s">
        <v>369</v>
      </c>
      <c r="AZ126" s="103" t="s">
        <v>711</v>
      </c>
      <c r="BA126" s="103" t="s">
        <v>108</v>
      </c>
      <c r="BB126" s="298">
        <v>201601</v>
      </c>
      <c r="BE126" s="70"/>
      <c r="BF126" s="236"/>
    </row>
    <row r="127" spans="51:58" ht="12.75">
      <c r="AY127" s="103" t="s">
        <v>331</v>
      </c>
      <c r="AZ127" s="103" t="s">
        <v>712</v>
      </c>
      <c r="BA127" s="103" t="s">
        <v>108</v>
      </c>
      <c r="BB127" s="298">
        <v>376153</v>
      </c>
      <c r="BF127" s="249"/>
    </row>
    <row r="128" spans="51:58" ht="12.75">
      <c r="AY128" s="103" t="s">
        <v>444</v>
      </c>
      <c r="AZ128" s="103" t="s">
        <v>713</v>
      </c>
      <c r="BA128" s="103" t="s">
        <v>108</v>
      </c>
      <c r="BB128" s="298">
        <v>228448</v>
      </c>
      <c r="BE128" s="247"/>
      <c r="BF128" s="246"/>
    </row>
    <row r="129" spans="51:58" ht="12.75">
      <c r="AY129" s="103" t="s">
        <v>340</v>
      </c>
      <c r="AZ129" s="103" t="s">
        <v>714</v>
      </c>
      <c r="BA129" s="103" t="s">
        <v>108</v>
      </c>
      <c r="BB129" s="298">
        <v>328780</v>
      </c>
      <c r="BE129" s="70"/>
      <c r="BF129" s="246"/>
    </row>
    <row r="130" spans="51:58" ht="12.75">
      <c r="AY130" s="103" t="s">
        <v>445</v>
      </c>
      <c r="AZ130" s="103" t="s">
        <v>715</v>
      </c>
      <c r="BA130" s="103" t="s">
        <v>108</v>
      </c>
      <c r="BB130" s="298">
        <v>314214</v>
      </c>
      <c r="BE130" s="70"/>
      <c r="BF130" s="246"/>
    </row>
    <row r="131" spans="51:58" ht="12.75">
      <c r="AY131" s="103" t="s">
        <v>436</v>
      </c>
      <c r="AZ131" s="103" t="s">
        <v>716</v>
      </c>
      <c r="BA131" s="103" t="s">
        <v>108</v>
      </c>
      <c r="BB131" s="298">
        <v>253416</v>
      </c>
      <c r="BE131" s="244"/>
      <c r="BF131" s="246"/>
    </row>
    <row r="132" spans="51:58" ht="12.75">
      <c r="AY132" s="103" t="s">
        <v>352</v>
      </c>
      <c r="AZ132" s="103" t="s">
        <v>717</v>
      </c>
      <c r="BA132" s="103" t="s">
        <v>108</v>
      </c>
      <c r="BB132" s="298">
        <v>285838</v>
      </c>
      <c r="BE132" s="244"/>
      <c r="BF132" s="246"/>
    </row>
    <row r="133" spans="51:58" ht="12.75">
      <c r="AY133" s="103" t="s">
        <v>454</v>
      </c>
      <c r="AZ133" s="103" t="s">
        <v>718</v>
      </c>
      <c r="BA133" s="103" t="s">
        <v>108</v>
      </c>
      <c r="BB133" s="298">
        <v>379319</v>
      </c>
      <c r="BE133" s="244"/>
      <c r="BF133" s="248"/>
    </row>
    <row r="134" spans="51:58" ht="12.75">
      <c r="AY134" s="103" t="s">
        <v>368</v>
      </c>
      <c r="AZ134" s="103" t="s">
        <v>719</v>
      </c>
      <c r="BA134" s="103" t="s">
        <v>108</v>
      </c>
      <c r="BB134" s="298">
        <v>386580</v>
      </c>
      <c r="BE134" s="240"/>
      <c r="BF134" s="235"/>
    </row>
    <row r="135" spans="51:58" ht="12.75">
      <c r="AY135" s="103" t="s">
        <v>324</v>
      </c>
      <c r="AZ135" s="103" t="s">
        <v>720</v>
      </c>
      <c r="BA135" t="s">
        <v>108</v>
      </c>
      <c r="BB135" s="298">
        <v>287939</v>
      </c>
      <c r="BE135" s="247"/>
      <c r="BF135" s="246"/>
    </row>
    <row r="136" spans="51:58" ht="12.75">
      <c r="AY136" s="103" t="s">
        <v>392</v>
      </c>
      <c r="AZ136" s="103" t="s">
        <v>721</v>
      </c>
      <c r="BA136" s="103" t="s">
        <v>108</v>
      </c>
      <c r="BB136" s="298">
        <v>278666</v>
      </c>
      <c r="BE136" s="234"/>
      <c r="BF136" s="235"/>
    </row>
    <row r="137" spans="51:58" ht="12.75">
      <c r="AY137" s="103" t="s">
        <v>380</v>
      </c>
      <c r="AZ137" s="103" t="s">
        <v>722</v>
      </c>
      <c r="BA137" s="103" t="s">
        <v>108</v>
      </c>
      <c r="BB137" s="298">
        <v>274754</v>
      </c>
      <c r="BF137" s="249"/>
    </row>
    <row r="138" spans="51:58" ht="12.75">
      <c r="AY138" s="103" t="s">
        <v>398</v>
      </c>
      <c r="AZ138" s="103" t="s">
        <v>723</v>
      </c>
      <c r="BA138" s="103" t="s">
        <v>108</v>
      </c>
      <c r="BB138" s="298">
        <v>194613</v>
      </c>
      <c r="BE138" s="70"/>
      <c r="BF138" s="236"/>
    </row>
    <row r="139" spans="51:58" ht="12.75">
      <c r="AY139" s="103" t="s">
        <v>372</v>
      </c>
      <c r="AZ139" s="103" t="s">
        <v>724</v>
      </c>
      <c r="BA139" s="103" t="s">
        <v>108</v>
      </c>
      <c r="BB139" s="298">
        <v>260695</v>
      </c>
      <c r="BE139" s="234"/>
      <c r="BF139" s="235"/>
    </row>
    <row r="140" spans="51:58" ht="12.75">
      <c r="AY140" s="103" t="s">
        <v>429</v>
      </c>
      <c r="AZ140" s="103" t="s">
        <v>725</v>
      </c>
      <c r="BA140" s="103" t="s">
        <v>108</v>
      </c>
      <c r="BB140" s="298">
        <v>224682</v>
      </c>
      <c r="BE140" s="70"/>
      <c r="BF140" s="236"/>
    </row>
    <row r="141" spans="51:58" ht="12.75">
      <c r="AY141" s="103" t="s">
        <v>335</v>
      </c>
      <c r="AZ141" s="103" t="s">
        <v>726</v>
      </c>
      <c r="BA141" s="103" t="s">
        <v>108</v>
      </c>
      <c r="BB141" s="298">
        <v>256079</v>
      </c>
      <c r="BE141" s="70"/>
      <c r="BF141" s="236"/>
    </row>
    <row r="142" spans="51:58" ht="12.75">
      <c r="AY142" s="103" t="s">
        <v>351</v>
      </c>
      <c r="AZ142" s="103" t="s">
        <v>727</v>
      </c>
      <c r="BA142" s="103" t="s">
        <v>108</v>
      </c>
      <c r="BB142" s="298">
        <v>280503</v>
      </c>
      <c r="BE142" s="70"/>
      <c r="BF142" s="238"/>
    </row>
    <row r="143" spans="51:58" ht="12.75">
      <c r="AY143" s="103" t="s">
        <v>363</v>
      </c>
      <c r="AZ143" s="103" t="s">
        <v>728</v>
      </c>
      <c r="BA143" s="103" t="s">
        <v>108</v>
      </c>
      <c r="BB143" s="298">
        <v>219251</v>
      </c>
      <c r="BE143" s="70"/>
      <c r="BF143" s="246"/>
    </row>
    <row r="144" spans="51:58" ht="12.75">
      <c r="AY144" s="103" t="s">
        <v>382</v>
      </c>
      <c r="AZ144" s="103" t="s">
        <v>729</v>
      </c>
      <c r="BA144" s="103" t="s">
        <v>108</v>
      </c>
      <c r="BB144" s="298">
        <v>187383</v>
      </c>
      <c r="BE144" s="70"/>
      <c r="BF144" s="238"/>
    </row>
    <row r="145" spans="51:58" ht="12.75">
      <c r="AY145" s="103" t="s">
        <v>319</v>
      </c>
      <c r="AZ145" s="103" t="s">
        <v>730</v>
      </c>
      <c r="BA145" s="103" t="s">
        <v>108</v>
      </c>
      <c r="BB145" s="298">
        <v>374678</v>
      </c>
      <c r="BE145" s="245"/>
      <c r="BF145" s="246"/>
    </row>
    <row r="146" spans="51:58" ht="12.75">
      <c r="AY146" s="103" t="s">
        <v>446</v>
      </c>
      <c r="AZ146" s="103" t="s">
        <v>731</v>
      </c>
      <c r="BA146" s="103" t="s">
        <v>108</v>
      </c>
      <c r="BB146" s="298">
        <v>299563</v>
      </c>
      <c r="BF146" s="249"/>
    </row>
    <row r="147" spans="51:58" ht="12.75">
      <c r="AY147" s="103" t="s">
        <v>342</v>
      </c>
      <c r="AZ147" s="103" t="s">
        <v>732</v>
      </c>
      <c r="BA147" s="103" t="s">
        <v>108</v>
      </c>
      <c r="BB147" s="298">
        <v>368016</v>
      </c>
      <c r="BF147" s="249"/>
    </row>
    <row r="148" spans="51:58" ht="12.75">
      <c r="AY148" s="103" t="s">
        <v>329</v>
      </c>
      <c r="AZ148" s="103" t="s">
        <v>733</v>
      </c>
      <c r="BA148" s="103" t="s">
        <v>108</v>
      </c>
      <c r="BB148" s="298">
        <v>287529</v>
      </c>
      <c r="BF148" s="249"/>
    </row>
    <row r="149" spans="51:58" ht="12.75">
      <c r="AY149" s="103" t="s">
        <v>367</v>
      </c>
      <c r="AZ149" s="103" t="s">
        <v>734</v>
      </c>
      <c r="BA149" s="103" t="s">
        <v>108</v>
      </c>
      <c r="BB149" s="298">
        <v>197994</v>
      </c>
      <c r="BE149" s="245"/>
      <c r="BF149" s="246"/>
    </row>
    <row r="150" spans="51:58" ht="12.75">
      <c r="AY150" s="103" t="s">
        <v>355</v>
      </c>
      <c r="AZ150" s="103" t="s">
        <v>735</v>
      </c>
      <c r="BA150" s="103" t="s">
        <v>108</v>
      </c>
      <c r="BB150" s="298">
        <v>327517</v>
      </c>
      <c r="BF150" s="249"/>
    </row>
    <row r="151" spans="51:58" ht="12.75">
      <c r="AY151" s="103" t="s">
        <v>455</v>
      </c>
      <c r="AZ151" s="103" t="s">
        <v>736</v>
      </c>
      <c r="BA151" s="103" t="s">
        <v>108</v>
      </c>
      <c r="BB151" s="298">
        <v>209261</v>
      </c>
      <c r="BF151" s="249"/>
    </row>
    <row r="152" spans="51:58" ht="12.75">
      <c r="AY152" s="103" t="s">
        <v>456</v>
      </c>
      <c r="AZ152" s="103" t="s">
        <v>737</v>
      </c>
      <c r="BA152" s="103" t="s">
        <v>108</v>
      </c>
      <c r="BB152" s="298">
        <v>184345</v>
      </c>
      <c r="BE152" s="247"/>
      <c r="BF152" s="236"/>
    </row>
    <row r="153" spans="51:58" ht="12.75">
      <c r="AY153" s="103" t="s">
        <v>341</v>
      </c>
      <c r="AZ153" s="103" t="s">
        <v>738</v>
      </c>
      <c r="BA153" s="103" t="s">
        <v>108</v>
      </c>
      <c r="BB153" s="298">
        <v>278239</v>
      </c>
      <c r="BF153" s="249"/>
    </row>
    <row r="154" spans="51:58" ht="12.75">
      <c r="AY154" s="103" t="s">
        <v>330</v>
      </c>
      <c r="AZ154" s="103" t="s">
        <v>739</v>
      </c>
      <c r="BA154" s="103" t="s">
        <v>108</v>
      </c>
      <c r="BB154" s="298">
        <v>293890</v>
      </c>
      <c r="BE154" s="234"/>
      <c r="BF154" s="235"/>
    </row>
    <row r="155" spans="51:58" ht="12.75">
      <c r="AY155" s="103" t="s">
        <v>365</v>
      </c>
      <c r="AZ155" s="103" t="s">
        <v>740</v>
      </c>
      <c r="BA155" s="103" t="s">
        <v>108</v>
      </c>
      <c r="BB155" s="298">
        <v>350283</v>
      </c>
      <c r="BE155" s="70"/>
      <c r="BF155" s="236"/>
    </row>
    <row r="156" spans="51:58" ht="12.75">
      <c r="AY156" s="103" t="s">
        <v>339</v>
      </c>
      <c r="AZ156" s="103" t="s">
        <v>741</v>
      </c>
      <c r="BA156" s="103" t="s">
        <v>108</v>
      </c>
      <c r="BB156" s="298">
        <v>219681</v>
      </c>
      <c r="BF156" s="249"/>
    </row>
    <row r="157" spans="51:58" ht="12.75">
      <c r="AY157" s="103" t="s">
        <v>358</v>
      </c>
      <c r="AZ157" s="103" t="s">
        <v>742</v>
      </c>
      <c r="BA157" s="103" t="s">
        <v>108</v>
      </c>
      <c r="BB157" s="298">
        <v>191568</v>
      </c>
      <c r="BF157" s="249"/>
    </row>
    <row r="158" spans="51:58" ht="12.75">
      <c r="AY158" s="103" t="s">
        <v>443</v>
      </c>
      <c r="AZ158" s="103" t="s">
        <v>743</v>
      </c>
      <c r="BA158" s="103" t="s">
        <v>108</v>
      </c>
      <c r="BB158" s="298">
        <v>123049</v>
      </c>
      <c r="BF158" s="249"/>
    </row>
    <row r="159" spans="51:58" ht="12.75">
      <c r="AY159" s="103" t="s">
        <v>327</v>
      </c>
      <c r="AZ159" s="103" t="s">
        <v>744</v>
      </c>
      <c r="BA159" s="103" t="s">
        <v>108</v>
      </c>
      <c r="BB159" s="298">
        <v>300515</v>
      </c>
      <c r="BF159" s="249"/>
    </row>
    <row r="160" spans="51:58" ht="12.75">
      <c r="AY160" s="103" t="s">
        <v>440</v>
      </c>
      <c r="AZ160" s="103" t="s">
        <v>745</v>
      </c>
      <c r="BA160" s="103" t="s">
        <v>108</v>
      </c>
      <c r="BB160" s="298">
        <v>212778</v>
      </c>
      <c r="BE160" s="70"/>
      <c r="BF160" s="236"/>
    </row>
    <row r="161" spans="51:58" ht="12.75">
      <c r="AY161" s="103" t="s">
        <v>328</v>
      </c>
      <c r="AZ161" s="103" t="s">
        <v>746</v>
      </c>
      <c r="BA161" s="103" t="s">
        <v>108</v>
      </c>
      <c r="BB161" s="298">
        <v>185366</v>
      </c>
      <c r="BE161" s="70"/>
      <c r="BF161" s="238"/>
    </row>
    <row r="162" spans="51:58" ht="12.75">
      <c r="AY162" s="103" t="s">
        <v>452</v>
      </c>
      <c r="AZ162" s="103" t="s">
        <v>747</v>
      </c>
      <c r="BA162" s="103" t="s">
        <v>108</v>
      </c>
      <c r="BB162" s="298">
        <v>486131</v>
      </c>
      <c r="BE162" s="234"/>
      <c r="BF162" s="235"/>
    </row>
    <row r="163" spans="51:58" ht="12.75">
      <c r="AY163" s="103" t="s">
        <v>350</v>
      </c>
      <c r="AZ163" s="103" t="s">
        <v>748</v>
      </c>
      <c r="BA163" s="103" t="s">
        <v>108</v>
      </c>
      <c r="BB163" s="298">
        <v>123717</v>
      </c>
      <c r="BE163" s="70"/>
      <c r="BF163" s="236"/>
    </row>
    <row r="164" spans="51:58" ht="12.75">
      <c r="AY164" s="103" t="s">
        <v>396</v>
      </c>
      <c r="AZ164" s="103" t="s">
        <v>749</v>
      </c>
      <c r="BA164" s="103" t="s">
        <v>108</v>
      </c>
      <c r="BB164" s="298">
        <v>246419</v>
      </c>
      <c r="BE164" s="245"/>
      <c r="BF164" s="238"/>
    </row>
    <row r="165" spans="51:58" ht="12.75">
      <c r="AY165" s="103" t="s">
        <v>447</v>
      </c>
      <c r="AZ165" s="103" t="s">
        <v>750</v>
      </c>
      <c r="BA165" s="103" t="s">
        <v>108</v>
      </c>
      <c r="BB165" s="298">
        <v>168051</v>
      </c>
      <c r="BF165" s="249"/>
    </row>
    <row r="166" spans="51:58" ht="12.75">
      <c r="AY166" s="103" t="s">
        <v>448</v>
      </c>
      <c r="AZ166" s="103" t="s">
        <v>751</v>
      </c>
      <c r="BA166" s="103" t="s">
        <v>108</v>
      </c>
      <c r="BB166" s="298">
        <v>212679</v>
      </c>
      <c r="BE166" s="70"/>
      <c r="BF166" s="246"/>
    </row>
    <row r="167" spans="51:58" ht="12.75">
      <c r="AY167" s="103" t="s">
        <v>438</v>
      </c>
      <c r="AZ167" s="103" t="s">
        <v>752</v>
      </c>
      <c r="BA167" s="103" t="s">
        <v>108</v>
      </c>
      <c r="BB167" s="298">
        <v>182204</v>
      </c>
      <c r="BF167" s="249"/>
    </row>
    <row r="168" spans="51:58" ht="12.75">
      <c r="AY168" s="103" t="s">
        <v>338</v>
      </c>
      <c r="AZ168" s="103" t="s">
        <v>753</v>
      </c>
      <c r="BA168" s="103" t="s">
        <v>108</v>
      </c>
      <c r="BB168" s="298">
        <v>275970</v>
      </c>
      <c r="BE168" s="234"/>
      <c r="BF168" s="235"/>
    </row>
    <row r="169" spans="51:58" ht="12.75">
      <c r="AY169" s="103" t="s">
        <v>453</v>
      </c>
      <c r="AZ169" s="103" t="s">
        <v>754</v>
      </c>
      <c r="BA169" s="103" t="s">
        <v>108</v>
      </c>
      <c r="BB169" s="298">
        <v>224363</v>
      </c>
      <c r="BE169" s="234"/>
      <c r="BF169" s="235"/>
    </row>
    <row r="170" spans="51:58" ht="12.75">
      <c r="AY170" s="103" t="s">
        <v>394</v>
      </c>
      <c r="AZ170" s="103" t="s">
        <v>755</v>
      </c>
      <c r="BA170" s="103" t="s">
        <v>108</v>
      </c>
      <c r="BB170" s="298">
        <v>349206</v>
      </c>
      <c r="BE170" s="70"/>
      <c r="BF170" s="238"/>
    </row>
    <row r="171" spans="51:58" ht="12.75">
      <c r="AY171" s="103" t="s">
        <v>439</v>
      </c>
      <c r="AZ171" s="103" t="s">
        <v>756</v>
      </c>
      <c r="BA171" s="103" t="s">
        <v>108</v>
      </c>
      <c r="BB171" s="298">
        <v>199887</v>
      </c>
      <c r="BE171" s="70"/>
      <c r="BF171" s="236"/>
    </row>
    <row r="172" spans="51:58" ht="12.75">
      <c r="AY172" s="103" t="s">
        <v>450</v>
      </c>
      <c r="AZ172" s="103" t="s">
        <v>757</v>
      </c>
      <c r="BA172" s="103" t="s">
        <v>108</v>
      </c>
      <c r="BB172" s="298">
        <v>90403</v>
      </c>
      <c r="BE172" s="70"/>
      <c r="BF172" s="238"/>
    </row>
    <row r="173" spans="51:58" ht="12.75">
      <c r="AY173" s="103" t="s">
        <v>362</v>
      </c>
      <c r="AZ173" s="103" t="s">
        <v>758</v>
      </c>
      <c r="BA173" s="103" t="s">
        <v>108</v>
      </c>
      <c r="BB173" s="298">
        <v>108078</v>
      </c>
      <c r="BE173" s="70"/>
      <c r="BF173" s="236"/>
    </row>
    <row r="174" spans="51:58" ht="12.75">
      <c r="AY174" s="103" t="s">
        <v>442</v>
      </c>
      <c r="AZ174" s="103" t="s">
        <v>759</v>
      </c>
      <c r="BA174" s="103" t="s">
        <v>108</v>
      </c>
      <c r="BB174" s="298">
        <v>136220</v>
      </c>
      <c r="BF174" s="249"/>
    </row>
    <row r="175" spans="51:58" ht="12.75">
      <c r="AY175" s="103" t="s">
        <v>465</v>
      </c>
      <c r="AZ175" s="103" t="s">
        <v>760</v>
      </c>
      <c r="BA175" s="103" t="s">
        <v>108</v>
      </c>
      <c r="BB175" s="298">
        <v>136117</v>
      </c>
      <c r="BF175" s="249"/>
    </row>
    <row r="176" spans="51:58" ht="12.75">
      <c r="AY176" s="103" t="s">
        <v>326</v>
      </c>
      <c r="AZ176" s="103" t="s">
        <v>761</v>
      </c>
      <c r="BA176" s="103" t="s">
        <v>108</v>
      </c>
      <c r="BB176" s="298">
        <v>298584</v>
      </c>
      <c r="BE176" s="234"/>
      <c r="BF176" s="235"/>
    </row>
    <row r="177" spans="51:58" ht="12.75">
      <c r="AY177" s="103" t="s">
        <v>462</v>
      </c>
      <c r="AZ177" s="103" t="s">
        <v>762</v>
      </c>
      <c r="BA177" s="103" t="s">
        <v>108</v>
      </c>
      <c r="BB177" s="298">
        <v>213947</v>
      </c>
      <c r="BE177" s="234"/>
      <c r="BF177" s="235"/>
    </row>
    <row r="178" spans="51:58" ht="12.75">
      <c r="AY178" s="103" t="s">
        <v>460</v>
      </c>
      <c r="AZ178" s="103" t="s">
        <v>763</v>
      </c>
      <c r="BA178" s="103" t="s">
        <v>108</v>
      </c>
      <c r="BB178" s="298">
        <v>199679</v>
      </c>
      <c r="BE178" s="70"/>
      <c r="BF178" s="238"/>
    </row>
    <row r="179" spans="51:58" ht="12.75">
      <c r="AY179" s="103" t="s">
        <v>464</v>
      </c>
      <c r="AZ179" s="103" t="s">
        <v>764</v>
      </c>
      <c r="BA179" s="103" t="s">
        <v>201</v>
      </c>
      <c r="BB179" s="298">
        <v>140954</v>
      </c>
      <c r="BF179" s="249"/>
    </row>
    <row r="180" spans="51:58" ht="12.75">
      <c r="AY180" s="103" t="s">
        <v>463</v>
      </c>
      <c r="AZ180" s="103" t="s">
        <v>765</v>
      </c>
      <c r="BA180" s="103" t="s">
        <v>108</v>
      </c>
      <c r="BB180" s="298">
        <v>113978</v>
      </c>
      <c r="BE180" s="244"/>
      <c r="BF180" s="246"/>
    </row>
    <row r="181" spans="51:58" ht="12.75">
      <c r="AY181" s="103" t="s">
        <v>467</v>
      </c>
      <c r="AZ181" s="103" t="s">
        <v>766</v>
      </c>
      <c r="BA181" s="103" t="s">
        <v>108</v>
      </c>
      <c r="BB181" s="298">
        <v>107019</v>
      </c>
      <c r="BF181" s="249"/>
    </row>
    <row r="182" spans="51:58" ht="12.75">
      <c r="AY182" s="103" t="s">
        <v>469</v>
      </c>
      <c r="AZ182" s="103" t="s">
        <v>767</v>
      </c>
      <c r="BA182" s="103" t="s">
        <v>201</v>
      </c>
      <c r="BB182" s="298">
        <v>681439</v>
      </c>
      <c r="BF182" s="249"/>
    </row>
    <row r="183" spans="51:58" ht="12.75">
      <c r="AY183" s="103" t="s">
        <v>384</v>
      </c>
      <c r="AZ183" s="103" t="s">
        <v>768</v>
      </c>
      <c r="BA183" s="103" t="s">
        <v>108</v>
      </c>
      <c r="BB183" s="298">
        <v>216450</v>
      </c>
      <c r="BE183" s="70"/>
      <c r="BF183" s="238"/>
    </row>
    <row r="184" spans="51:58" ht="12.75">
      <c r="AY184" s="103" t="s">
        <v>345</v>
      </c>
      <c r="AZ184" s="103" t="s">
        <v>769</v>
      </c>
      <c r="BA184" s="103" t="s">
        <v>108</v>
      </c>
      <c r="BB184" s="298">
        <v>143386</v>
      </c>
      <c r="BE184" s="70"/>
      <c r="BF184" s="238"/>
    </row>
    <row r="185" spans="51:58" ht="12.75">
      <c r="AY185" s="103" t="s">
        <v>370</v>
      </c>
      <c r="AZ185" s="103" t="s">
        <v>770</v>
      </c>
      <c r="BA185" s="103" t="s">
        <v>108</v>
      </c>
      <c r="BB185" s="298">
        <v>203460</v>
      </c>
      <c r="BF185" s="249"/>
    </row>
    <row r="186" spans="51:58" ht="12.75">
      <c r="AY186" s="103" t="s">
        <v>383</v>
      </c>
      <c r="AZ186" s="103" t="s">
        <v>771</v>
      </c>
      <c r="BA186" s="103" t="s">
        <v>108</v>
      </c>
      <c r="BB186" s="298">
        <v>121932</v>
      </c>
      <c r="BF186" s="249"/>
    </row>
    <row r="187" spans="51:58" ht="12.75">
      <c r="AY187" s="103" t="s">
        <v>459</v>
      </c>
      <c r="AZ187" s="103" t="s">
        <v>772</v>
      </c>
      <c r="BA187" s="103" t="s">
        <v>108</v>
      </c>
      <c r="BB187" s="298">
        <v>265148</v>
      </c>
      <c r="BE187" s="234"/>
      <c r="BF187" s="235"/>
    </row>
    <row r="188" spans="51:58" ht="12.75">
      <c r="AY188" s="103" t="s">
        <v>376</v>
      </c>
      <c r="AZ188" s="103" t="s">
        <v>773</v>
      </c>
      <c r="BA188" s="103" t="s">
        <v>108</v>
      </c>
      <c r="BB188" s="298">
        <v>198019</v>
      </c>
      <c r="BF188" s="238"/>
    </row>
    <row r="189" spans="51:58" ht="12.75">
      <c r="AY189" s="103" t="s">
        <v>461</v>
      </c>
      <c r="AZ189" s="103" t="s">
        <v>774</v>
      </c>
      <c r="BA189" s="103" t="s">
        <v>108</v>
      </c>
      <c r="BB189" s="298">
        <v>539951</v>
      </c>
      <c r="BF189" s="238"/>
    </row>
    <row r="190" spans="51:58" ht="12.75">
      <c r="AY190" s="103" t="s">
        <v>354</v>
      </c>
      <c r="AZ190" s="103" t="s">
        <v>775</v>
      </c>
      <c r="BA190" s="103" t="s">
        <v>108</v>
      </c>
      <c r="BB190" s="298">
        <v>150550</v>
      </c>
      <c r="BE190" s="234"/>
      <c r="BF190" s="235"/>
    </row>
    <row r="191" spans="51:58" ht="12.75">
      <c r="AY191" s="103" t="s">
        <v>466</v>
      </c>
      <c r="AZ191" s="103" t="s">
        <v>776</v>
      </c>
      <c r="BA191" s="103" t="s">
        <v>108</v>
      </c>
      <c r="BB191" s="298">
        <v>154220</v>
      </c>
      <c r="BE191" s="70"/>
      <c r="BF191" s="236"/>
    </row>
    <row r="192" spans="51:58" ht="12.75">
      <c r="AY192" s="103" t="s">
        <v>256</v>
      </c>
      <c r="AZ192" s="103" t="s">
        <v>777</v>
      </c>
      <c r="BA192" s="103" t="s">
        <v>108</v>
      </c>
      <c r="BB192" s="298">
        <v>197124</v>
      </c>
      <c r="BE192" s="70"/>
      <c r="BF192" s="236"/>
    </row>
    <row r="193" spans="51:58" ht="12.75">
      <c r="AY193" s="103" t="s">
        <v>257</v>
      </c>
      <c r="AZ193" s="103" t="s">
        <v>778</v>
      </c>
      <c r="BA193" s="103" t="s">
        <v>108</v>
      </c>
      <c r="BB193" s="298">
        <v>475661</v>
      </c>
      <c r="BE193" s="70"/>
      <c r="BF193" s="236"/>
    </row>
    <row r="194" spans="51:58" ht="12.75">
      <c r="AY194" s="103" t="s">
        <v>457</v>
      </c>
      <c r="AZ194" s="103" t="s">
        <v>779</v>
      </c>
      <c r="BA194" s="103" t="s">
        <v>108</v>
      </c>
      <c r="BB194" s="298">
        <v>760798</v>
      </c>
      <c r="BE194" s="70"/>
      <c r="BF194" s="236"/>
    </row>
    <row r="195" spans="51:58" ht="12.75">
      <c r="AY195" s="103" t="s">
        <v>263</v>
      </c>
      <c r="AZ195" s="103" t="s">
        <v>780</v>
      </c>
      <c r="BA195" s="103" t="s">
        <v>108</v>
      </c>
      <c r="BB195" s="298">
        <v>614551</v>
      </c>
      <c r="BE195" s="70"/>
      <c r="BF195" s="236"/>
    </row>
    <row r="196" spans="51:58" ht="12.75">
      <c r="AY196" s="103" t="s">
        <v>260</v>
      </c>
      <c r="AZ196" s="103" t="s">
        <v>781</v>
      </c>
      <c r="BA196" s="103" t="s">
        <v>108</v>
      </c>
      <c r="BB196" s="298">
        <v>555618</v>
      </c>
      <c r="BE196" s="70"/>
      <c r="BF196" s="236"/>
    </row>
    <row r="197" spans="51:58" ht="12.75">
      <c r="AY197" s="103" t="s">
        <v>258</v>
      </c>
      <c r="AZ197" s="103" t="s">
        <v>782</v>
      </c>
      <c r="BA197" s="103" t="s">
        <v>108</v>
      </c>
      <c r="BB197" s="298">
        <v>209917</v>
      </c>
      <c r="BE197" s="70"/>
      <c r="BF197" s="236"/>
    </row>
    <row r="198" spans="51:58" ht="12.75">
      <c r="AY198" s="103" t="s">
        <v>264</v>
      </c>
      <c r="AZ198" s="103" t="s">
        <v>783</v>
      </c>
      <c r="BA198" s="103" t="s">
        <v>108</v>
      </c>
      <c r="BB198" s="298">
        <v>543498</v>
      </c>
      <c r="BF198" s="249"/>
    </row>
    <row r="199" spans="51:58" ht="12.75">
      <c r="AY199" s="103" t="s">
        <v>259</v>
      </c>
      <c r="AZ199" s="103" t="s">
        <v>784</v>
      </c>
      <c r="BA199" s="103" t="s">
        <v>108</v>
      </c>
      <c r="BB199" s="298">
        <v>256061</v>
      </c>
      <c r="BE199" s="70"/>
      <c r="BF199" s="238"/>
    </row>
    <row r="200" spans="51:58" ht="12.75">
      <c r="AY200" s="103" t="s">
        <v>325</v>
      </c>
      <c r="AZ200" s="103" t="s">
        <v>785</v>
      </c>
      <c r="BA200" s="103" t="s">
        <v>201</v>
      </c>
      <c r="BB200" s="298">
        <v>221360</v>
      </c>
      <c r="BE200" s="70"/>
      <c r="BF200" s="236"/>
    </row>
    <row r="201" spans="51:58" ht="12.75">
      <c r="AY201" s="103" t="s">
        <v>298</v>
      </c>
      <c r="AZ201" s="103" t="s">
        <v>786</v>
      </c>
      <c r="BA201" s="103" t="s">
        <v>108</v>
      </c>
      <c r="BB201" s="298">
        <v>331160</v>
      </c>
      <c r="BF201" s="249"/>
    </row>
    <row r="202" spans="51:58" ht="12.75">
      <c r="AY202" s="103" t="s">
        <v>281</v>
      </c>
      <c r="AZ202" s="103" t="s">
        <v>787</v>
      </c>
      <c r="BA202" s="103" t="s">
        <v>108</v>
      </c>
      <c r="BB202" s="298">
        <v>723927</v>
      </c>
      <c r="BF202" s="249"/>
    </row>
    <row r="203" spans="51:58" ht="12.75">
      <c r="AY203" s="103" t="s">
        <v>293</v>
      </c>
      <c r="AZ203" s="103" t="s">
        <v>788</v>
      </c>
      <c r="BA203" s="103" t="s">
        <v>108</v>
      </c>
      <c r="BB203" s="298">
        <v>492711</v>
      </c>
      <c r="BF203" s="249"/>
    </row>
    <row r="204" spans="51:58" ht="12.75">
      <c r="AY204" s="103" t="s">
        <v>395</v>
      </c>
      <c r="AZ204" s="103" t="s">
        <v>789</v>
      </c>
      <c r="BA204" s="103" t="s">
        <v>108</v>
      </c>
      <c r="BB204" s="298">
        <v>214926</v>
      </c>
      <c r="BF204" s="249"/>
    </row>
    <row r="205" spans="51:58" ht="12.75">
      <c r="AY205" s="103" t="s">
        <v>418</v>
      </c>
      <c r="AZ205" s="103" t="s">
        <v>790</v>
      </c>
      <c r="BA205" s="103" t="s">
        <v>108</v>
      </c>
      <c r="BB205" s="298">
        <v>156440</v>
      </c>
      <c r="BE205" s="70"/>
      <c r="BF205" s="236"/>
    </row>
    <row r="206" spans="51:58" ht="12.75">
      <c r="AY206" s="103" t="s">
        <v>349</v>
      </c>
      <c r="AZ206" s="103" t="s">
        <v>791</v>
      </c>
      <c r="BA206" s="103" t="s">
        <v>108</v>
      </c>
      <c r="BB206" s="298">
        <v>262252</v>
      </c>
      <c r="BE206" s="70"/>
      <c r="BF206" s="237"/>
    </row>
    <row r="207" spans="51:58" ht="12.75">
      <c r="AY207" s="103" t="s">
        <v>361</v>
      </c>
      <c r="AZ207" s="103" t="s">
        <v>792</v>
      </c>
      <c r="BA207" s="103" t="s">
        <v>108</v>
      </c>
      <c r="BB207" s="298">
        <v>177806</v>
      </c>
      <c r="BE207" s="234"/>
      <c r="BF207" s="239"/>
    </row>
    <row r="208" spans="51:58" ht="12.75">
      <c r="AY208" s="103" t="s">
        <v>378</v>
      </c>
      <c r="AZ208" s="103" t="s">
        <v>793</v>
      </c>
      <c r="BA208" s="103" t="s">
        <v>108</v>
      </c>
      <c r="BB208" s="298">
        <v>184659</v>
      </c>
      <c r="BE208" s="234"/>
      <c r="BF208" s="239"/>
    </row>
    <row r="209" spans="51:58" ht="12.75">
      <c r="AY209" s="103" t="s">
        <v>449</v>
      </c>
      <c r="AZ209" s="103" t="s">
        <v>794</v>
      </c>
      <c r="BA209" s="103" t="s">
        <v>108</v>
      </c>
      <c r="BB209" s="298">
        <v>289448</v>
      </c>
      <c r="BE209" s="234"/>
      <c r="BF209" s="239"/>
    </row>
    <row r="210" spans="51:58" ht="12.75">
      <c r="AY210" s="103" t="s">
        <v>441</v>
      </c>
      <c r="AZ210" s="103" t="s">
        <v>795</v>
      </c>
      <c r="BA210" s="103" t="s">
        <v>108</v>
      </c>
      <c r="BB210" s="298">
        <v>466241</v>
      </c>
      <c r="BE210" s="234"/>
      <c r="BF210" s="239"/>
    </row>
    <row r="211" spans="51:58" ht="12.75">
      <c r="AY211" s="103" t="s">
        <v>437</v>
      </c>
      <c r="AZ211" s="103" t="s">
        <v>796</v>
      </c>
      <c r="BA211" s="103" t="s">
        <v>108</v>
      </c>
      <c r="BB211" s="298">
        <v>164555</v>
      </c>
      <c r="BE211" s="234"/>
      <c r="BF211" s="239"/>
    </row>
    <row r="212" spans="51:58" ht="12.75">
      <c r="AY212" s="103" t="s">
        <v>451</v>
      </c>
      <c r="AZ212" s="103" t="s">
        <v>797</v>
      </c>
      <c r="BA212" s="103" t="s">
        <v>108</v>
      </c>
      <c r="BB212" s="298">
        <v>216963</v>
      </c>
      <c r="BE212" s="234"/>
      <c r="BF212" s="239"/>
    </row>
    <row r="213" spans="51:58" ht="12.75">
      <c r="AY213" s="103" t="s">
        <v>458</v>
      </c>
      <c r="AZ213" s="103" t="s">
        <v>798</v>
      </c>
      <c r="BA213" s="103" t="s">
        <v>108</v>
      </c>
      <c r="BB213" s="298">
        <v>447767</v>
      </c>
      <c r="BE213" s="234"/>
      <c r="BF213" s="235"/>
    </row>
    <row r="214" spans="51:58" ht="12.75">
      <c r="AY214" s="103" t="s">
        <v>261</v>
      </c>
      <c r="AZ214" s="103" t="s">
        <v>799</v>
      </c>
      <c r="BA214" s="103" t="s">
        <v>108</v>
      </c>
      <c r="BB214" s="298">
        <v>901403</v>
      </c>
      <c r="BE214" s="234"/>
      <c r="BF214" s="235"/>
    </row>
    <row r="215" spans="51:58" ht="12.75">
      <c r="AY215" s="103" t="s">
        <v>262</v>
      </c>
      <c r="AZ215" s="103" t="s">
        <v>800</v>
      </c>
      <c r="BA215" s="103" t="s">
        <v>108</v>
      </c>
      <c r="BB215" s="298">
        <v>274473</v>
      </c>
      <c r="BE215" s="234"/>
      <c r="BF215" s="235"/>
    </row>
    <row r="216" spans="51:58" ht="12.75">
      <c r="AY216" s="103" t="s">
        <v>24</v>
      </c>
      <c r="AZ216" s="103" t="s">
        <v>24</v>
      </c>
      <c r="BA216" s="103" t="s">
        <v>108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INDEX(A5:A56,A4)</f>
        <v>(F82053) BAIG</v>
      </c>
      <c r="B3" s="56" t="s">
        <v>726</v>
      </c>
      <c r="C3" s="56" t="s">
        <v>24</v>
      </c>
    </row>
    <row r="4" spans="1:2" ht="12.75">
      <c r="A4" s="76">
        <v>1</v>
      </c>
      <c r="B4" s="78" t="s">
        <v>335</v>
      </c>
    </row>
    <row r="5" ht="12.75">
      <c r="A5" s="277" t="s">
        <v>220</v>
      </c>
    </row>
    <row r="6" ht="12.75">
      <c r="A6" s="277" t="s">
        <v>235</v>
      </c>
    </row>
    <row r="7" ht="12.75">
      <c r="A7" s="277" t="s">
        <v>236</v>
      </c>
    </row>
    <row r="8" ht="12.75">
      <c r="A8" s="277" t="s">
        <v>237</v>
      </c>
    </row>
    <row r="9" ht="12.75">
      <c r="A9" s="277" t="s">
        <v>232</v>
      </c>
    </row>
    <row r="10" ht="12.75">
      <c r="A10" s="277" t="s">
        <v>218</v>
      </c>
    </row>
    <row r="11" ht="12.75">
      <c r="A11" s="277" t="s">
        <v>242</v>
      </c>
    </row>
    <row r="12" ht="12.75">
      <c r="A12" s="277" t="s">
        <v>244</v>
      </c>
    </row>
    <row r="13" ht="12.75">
      <c r="A13" s="277" t="s">
        <v>229</v>
      </c>
    </row>
    <row r="14" ht="12.75">
      <c r="A14" s="277" t="s">
        <v>243</v>
      </c>
    </row>
    <row r="15" ht="12.75">
      <c r="A15" s="277" t="s">
        <v>826</v>
      </c>
    </row>
    <row r="16" ht="12.75">
      <c r="A16" s="277" t="s">
        <v>231</v>
      </c>
    </row>
    <row r="17" ht="12.75">
      <c r="A17" s="277" t="s">
        <v>224</v>
      </c>
    </row>
    <row r="18" ht="12.75">
      <c r="A18" s="277" t="s">
        <v>211</v>
      </c>
    </row>
    <row r="19" ht="12.75">
      <c r="A19" s="277" t="s">
        <v>246</v>
      </c>
    </row>
    <row r="20" ht="12.75">
      <c r="A20" s="277" t="s">
        <v>226</v>
      </c>
    </row>
    <row r="21" ht="12.75">
      <c r="A21" s="277" t="s">
        <v>221</v>
      </c>
    </row>
    <row r="22" ht="12.75">
      <c r="A22" s="277" t="s">
        <v>230</v>
      </c>
    </row>
    <row r="23" ht="12.75">
      <c r="A23" s="277" t="s">
        <v>227</v>
      </c>
    </row>
    <row r="24" ht="12.75">
      <c r="A24" s="277" t="s">
        <v>433</v>
      </c>
    </row>
    <row r="25" ht="12.75">
      <c r="A25" s="277" t="s">
        <v>435</v>
      </c>
    </row>
    <row r="26" ht="12.75">
      <c r="A26" s="277" t="s">
        <v>434</v>
      </c>
    </row>
    <row r="27" ht="12.75">
      <c r="A27" s="277" t="s">
        <v>212</v>
      </c>
    </row>
    <row r="28" ht="12.75">
      <c r="A28" s="277" t="s">
        <v>238</v>
      </c>
    </row>
    <row r="29" ht="12.75">
      <c r="A29" s="277" t="s">
        <v>431</v>
      </c>
    </row>
    <row r="30" ht="12.75">
      <c r="A30" s="277" t="s">
        <v>223</v>
      </c>
    </row>
    <row r="31" ht="12.75">
      <c r="A31" s="277" t="s">
        <v>432</v>
      </c>
    </row>
    <row r="32" ht="12.75">
      <c r="A32" s="277" t="s">
        <v>239</v>
      </c>
    </row>
    <row r="33" ht="12.75">
      <c r="A33" s="277" t="s">
        <v>225</v>
      </c>
    </row>
    <row r="34" ht="12.75">
      <c r="A34" s="277" t="s">
        <v>219</v>
      </c>
    </row>
    <row r="35" ht="12.75">
      <c r="A35" s="277" t="s">
        <v>233</v>
      </c>
    </row>
    <row r="36" ht="12.75">
      <c r="A36" s="277" t="s">
        <v>217</v>
      </c>
    </row>
    <row r="37" ht="12.75">
      <c r="A37" s="277" t="s">
        <v>245</v>
      </c>
    </row>
    <row r="38" ht="12.75">
      <c r="A38" s="277" t="s">
        <v>203</v>
      </c>
    </row>
    <row r="39" ht="12.75">
      <c r="A39" s="277" t="s">
        <v>234</v>
      </c>
    </row>
    <row r="40" ht="12.75">
      <c r="A40" s="277" t="s">
        <v>240</v>
      </c>
    </row>
    <row r="41" ht="12.75">
      <c r="A41" s="277" t="s">
        <v>210</v>
      </c>
    </row>
    <row r="42" ht="12.75">
      <c r="A42" s="277" t="s">
        <v>209</v>
      </c>
    </row>
    <row r="43" ht="12.75">
      <c r="A43" s="277" t="s">
        <v>222</v>
      </c>
    </row>
    <row r="44" ht="12.75">
      <c r="A44" s="277" t="s">
        <v>216</v>
      </c>
    </row>
    <row r="45" ht="12.75">
      <c r="A45" s="277" t="s">
        <v>207</v>
      </c>
    </row>
    <row r="46" ht="12.75">
      <c r="A46" s="277" t="s">
        <v>204</v>
      </c>
    </row>
    <row r="47" ht="12.75">
      <c r="A47" s="277" t="s">
        <v>205</v>
      </c>
    </row>
    <row r="48" ht="12.75">
      <c r="A48" s="277" t="s">
        <v>206</v>
      </c>
    </row>
    <row r="49" ht="12.75">
      <c r="A49" s="277" t="s">
        <v>241</v>
      </c>
    </row>
    <row r="50" ht="12.75">
      <c r="A50" s="277" t="s">
        <v>430</v>
      </c>
    </row>
    <row r="51" ht="12.75">
      <c r="A51" s="277" t="s">
        <v>213</v>
      </c>
    </row>
    <row r="52" ht="12.75">
      <c r="A52" s="277" t="s">
        <v>827</v>
      </c>
    </row>
    <row r="53" ht="12.75">
      <c r="A53" s="277" t="s">
        <v>214</v>
      </c>
    </row>
    <row r="54" ht="12.75">
      <c r="A54" s="277" t="s">
        <v>228</v>
      </c>
    </row>
    <row r="55" ht="12.75">
      <c r="A55" s="277" t="s">
        <v>208</v>
      </c>
    </row>
    <row r="56" ht="12.75">
      <c r="A56" s="277" t="s">
        <v>215</v>
      </c>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