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<sst xmlns="http://schemas.openxmlformats.org/spreadsheetml/2006/main" count="1812" uniqueCount="879">
  <si>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</si>
  <si>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</si>
  <si>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</si>
  <si>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</si>
  <si>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</si>
  <si>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</si>
  <si>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</si>
  <si>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</si>
  <si>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</si>
  <si>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</si>
  <si>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</si>
  <si>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</si>
  <si>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</si>
  <si>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</si>
  <si>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</si>
  <si>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</si>
  <si>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</si>
  <si>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</si>
  <si>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</si>
  <si>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</si>
  <si>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</si>
  <si>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</si>
  <si>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</si>
  <si>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</si>
  <si>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</si>
  <si>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</si>
  <si>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</si>
  <si>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</si>
  <si>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</si>
  <si>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</si>
  <si>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</si>
  <si>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</si>
  <si>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</si>
  <si>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</si>
  <si>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</si>
  <si>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</si>
  <si>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</si>
  <si>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</si>
  <si>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</si>
  <si>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</si>
  <si>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</si>
  <si>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</si>
  <si>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</si>
  <si>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</si>
  <si>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</si>
  <si>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</si>
  <si>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</si>
  <si>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</si>
  <si>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</si>
  <si>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</si>
  <si>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</si>
  <si>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</si>
  <si>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</si>
  <si>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</si>
  <si>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</si>
  <si>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</si>
  <si>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</si>
  <si>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L85001</t>
  </si>
  <si>
    <t>L85002</t>
  </si>
  <si>
    <t>L85003</t>
  </si>
  <si>
    <t>L85004</t>
  </si>
  <si>
    <t>L85005</t>
  </si>
  <si>
    <t>L85006</t>
  </si>
  <si>
    <t>L85007</t>
  </si>
  <si>
    <t>L85008</t>
  </si>
  <si>
    <t>L85009</t>
  </si>
  <si>
    <t>L85010</t>
  </si>
  <si>
    <t>L85011</t>
  </si>
  <si>
    <t>L85012</t>
  </si>
  <si>
    <t>L85013</t>
  </si>
  <si>
    <t>L85014</t>
  </si>
  <si>
    <t>L85015</t>
  </si>
  <si>
    <t>L85016</t>
  </si>
  <si>
    <t>L85017</t>
  </si>
  <si>
    <t>L85018</t>
  </si>
  <si>
    <t>L85019</t>
  </si>
  <si>
    <t>L85020</t>
  </si>
  <si>
    <t>L85021</t>
  </si>
  <si>
    <t>L85022</t>
  </si>
  <si>
    <t>L85023</t>
  </si>
  <si>
    <t>L85024</t>
  </si>
  <si>
    <t>L85025</t>
  </si>
  <si>
    <t>L85026</t>
  </si>
  <si>
    <t>L85027</t>
  </si>
  <si>
    <t>L85028</t>
  </si>
  <si>
    <t>L85029</t>
  </si>
  <si>
    <t>L85030</t>
  </si>
  <si>
    <t>L85031</t>
  </si>
  <si>
    <t>L85032</t>
  </si>
  <si>
    <t>L85033</t>
  </si>
  <si>
    <t>L85034</t>
  </si>
  <si>
    <t>L85035</t>
  </si>
  <si>
    <t>L85036</t>
  </si>
  <si>
    <t>L85037</t>
  </si>
  <si>
    <t>L85038</t>
  </si>
  <si>
    <t>L85039</t>
  </si>
  <si>
    <t>L85040</t>
  </si>
  <si>
    <t>L85041</t>
  </si>
  <si>
    <t>L85042</t>
  </si>
  <si>
    <t>L85043</t>
  </si>
  <si>
    <t>L85044</t>
  </si>
  <si>
    <t>L85045</t>
  </si>
  <si>
    <t>L85046</t>
  </si>
  <si>
    <t>L85047</t>
  </si>
  <si>
    <t>L85048</t>
  </si>
  <si>
    <t>L85050</t>
  </si>
  <si>
    <t>L85051</t>
  </si>
  <si>
    <t>L85052</t>
  </si>
  <si>
    <t>L85053</t>
  </si>
  <si>
    <t>L85054</t>
  </si>
  <si>
    <t>L85055</t>
  </si>
  <si>
    <t>L85056</t>
  </si>
  <si>
    <t>L85059</t>
  </si>
  <si>
    <t>L85060</t>
  </si>
  <si>
    <t>L85061</t>
  </si>
  <si>
    <t>L85062</t>
  </si>
  <si>
    <t>L85064</t>
  </si>
  <si>
    <t>L85065</t>
  </si>
  <si>
    <t>L85066</t>
  </si>
  <si>
    <t>L85601</t>
  </si>
  <si>
    <t>L85602</t>
  </si>
  <si>
    <t>L85607</t>
  </si>
  <si>
    <t>L85608</t>
  </si>
  <si>
    <t>L85609</t>
  </si>
  <si>
    <t>L85611</t>
  </si>
  <si>
    <t>L85612</t>
  </si>
  <si>
    <t>L85616</t>
  </si>
  <si>
    <t>L85619</t>
  </si>
  <si>
    <t>L85620</t>
  </si>
  <si>
    <t>L85624</t>
  </si>
  <si>
    <t>Y00189</t>
  </si>
  <si>
    <t>Y01163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</si>
  <si>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</si>
  <si>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</si>
  <si>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</si>
  <si>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</si>
  <si>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</si>
  <si>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</si>
  <si>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</si>
  <si>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</si>
  <si>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</si>
  <si>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</si>
  <si>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</si>
  <si>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</si>
  <si>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</si>
  <si>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</si>
  <si>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</si>
  <si>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</si>
  <si>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</si>
  <si>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</si>
  <si>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</si>
  <si>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</si>
  <si>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</si>
  <si>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</si>
  <si>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</si>
  <si>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</si>
  <si>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</si>
  <si>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</si>
  <si>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</si>
  <si>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</si>
  <si>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</si>
  <si>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</si>
  <si>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</si>
  <si>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</si>
  <si>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</si>
  <si>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</si>
  <si>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</si>
  <si>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</si>
  <si>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</si>
  <si>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</si>
  <si>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</si>
  <si>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</si>
  <si>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</si>
  <si>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</si>
  <si>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</si>
  <si>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</si>
  <si>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</si>
  <si>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</si>
  <si>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</si>
  <si>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</si>
  <si>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</si>
  <si>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</si>
  <si>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</si>
  <si>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</si>
  <si>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</si>
  <si>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</si>
  <si>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</si>
  <si>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</si>
  <si>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</si>
  <si>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</si>
  <si>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</si>
  <si>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</si>
  <si>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</si>
  <si>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</si>
  <si>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</si>
  <si>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</si>
  <si>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</si>
  <si>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</si>
  <si>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</si>
  <si>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</si>
  <si>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</si>
  <si>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</si>
  <si>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</si>
  <si>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</si>
  <si>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</si>
  <si>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</si>
  <si>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</si>
  <si>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</si>
  <si>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</si>
  <si>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</si>
  <si>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</si>
  <si>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</si>
  <si>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</si>
  <si>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</si>
  <si>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</si>
  <si>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</si>
  <si>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</si>
  <si>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</si>
  <si>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</si>
  <si>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</si>
  <si>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</si>
  <si>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</si>
  <si>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</si>
  <si>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</si>
  <si>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</si>
  <si>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(L85002) WELLS HEALTH CENTRE</t>
  </si>
  <si>
    <t>(L85003) EXMOOR MEDICAL CENTRE</t>
  </si>
  <si>
    <t>(L85008) FROME MEDICAL PRACTICE</t>
  </si>
  <si>
    <t>(L85010) HIGHBRIDGE MEDICAL CENTRE</t>
  </si>
  <si>
    <t>(L85011) CHEDDAR MEDICAL CENTRE</t>
  </si>
  <si>
    <t>(L85013) QUANTOCK MEDICAL CENTRE</t>
  </si>
  <si>
    <t>(L85014) BLACKBROOK</t>
  </si>
  <si>
    <t>(L85016) BURNHAM MEDICAL CENTRE</t>
  </si>
  <si>
    <t>(L85017) PENN HILL SURGERY</t>
  </si>
  <si>
    <t>(L85018) CANNINGTON HEALTH CENTRE</t>
  </si>
  <si>
    <t>(L85019) HARLEY HOUSE SURGERY</t>
  </si>
  <si>
    <t>(L85020) BECKINGTON FAMILY PRACTICE</t>
  </si>
  <si>
    <t>(L85025) CRANLEIGH GARDENS MEDICAL CENTRE</t>
  </si>
  <si>
    <t>(L85031) MILBORNE PORT SURGERY</t>
  </si>
  <si>
    <t>(L85034) WELLS CITY PRACTICE</t>
  </si>
  <si>
    <t>(L85035) EAST QUAY MEDICAL CENTRE</t>
  </si>
  <si>
    <t>(L85037) NORTH CURRY</t>
  </si>
  <si>
    <t>(L85038) WIVELISCOMBE</t>
  </si>
  <si>
    <t>(L85041) IRNHAM LODGE SURGERY</t>
  </si>
  <si>
    <t>(L85042) TAUNTON ROAD MEDICAL CENTRE</t>
  </si>
  <si>
    <t>(L85044) QUEEN CAMEL MEDICAL CENTRE</t>
  </si>
  <si>
    <t>(L85046) MENDIP COUNTRY PRACTICE</t>
  </si>
  <si>
    <t>(L85047) GLASTONBURY HEALTH CENTRE</t>
  </si>
  <si>
    <t>(L85050) LUSON</t>
  </si>
  <si>
    <t>(L85051) REDGATE MEDICAL CENTRE</t>
  </si>
  <si>
    <t>(L85052) WARWICK HOUSE</t>
  </si>
  <si>
    <t>(L85053) GROVE HOUSE SURGERY</t>
  </si>
  <si>
    <t>(L85055) AXBRIDGE SURGERY</t>
  </si>
  <si>
    <t>(L85056) NORTH PETHERTON SURGERY</t>
  </si>
  <si>
    <t>(L85062) LYNGFORD PARK</t>
  </si>
  <si>
    <t>(L85065) DUNSTER SURGERY</t>
  </si>
  <si>
    <t>(L85601) BRENT AREA MEDICAL CENTRE</t>
  </si>
  <si>
    <t>(L85602) BRENDON HILLS SURGERY</t>
  </si>
  <si>
    <t>(L85607) SOMERSET BRIDGE MEDICAL CENTRE</t>
  </si>
  <si>
    <t>(L85608) PORLOCK MEDICAL CENTRE</t>
  </si>
  <si>
    <t>(L85609) CREECH</t>
  </si>
  <si>
    <t>(L85611) OAKHILL SURGERY</t>
  </si>
  <si>
    <t>(L85612) VICTORIA PARK MEDICAL CENTRE</t>
  </si>
  <si>
    <t>(L85616) VICTORIA GATE</t>
  </si>
  <si>
    <t>(Y00189) ABBEY MANOR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</si>
  <si>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</si>
  <si>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</si>
  <si>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</si>
  <si>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</si>
  <si>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</si>
  <si>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</si>
  <si>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</si>
  <si>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</si>
  <si>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</si>
  <si>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</si>
  <si>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</si>
  <si>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</si>
  <si>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</si>
  <si>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</si>
  <si>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</si>
  <si>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</si>
  <si>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</si>
  <si>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</si>
  <si>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(L85001) FRENCH WEIR</t>
  </si>
  <si>
    <t>11X</t>
  </si>
  <si>
    <t>(L85004) CREWKERNE HEALTH CENTRE</t>
  </si>
  <si>
    <t>(L85006) CROWN MEDICAL CENTRE</t>
  </si>
  <si>
    <t>(L85007) CHURCH STREET SURGERY</t>
  </si>
  <si>
    <t>(L85009) WILLITON SURGERY</t>
  </si>
  <si>
    <t>(L85015) PRESTON GROVE MEDICAL CENTRE</t>
  </si>
  <si>
    <t>(L85021) COLLEGE WAY</t>
  </si>
  <si>
    <t>(L85022) HENDFORD LODGE MEDICAL CENTRE</t>
  </si>
  <si>
    <t>(L85023) ST JAMES</t>
  </si>
  <si>
    <t>(L85024) QUARRY GROUND SURGERY</t>
  </si>
  <si>
    <t>(L85026) HAMDON MEDICAL CENTRE</t>
  </si>
  <si>
    <t>(L85027) WINCANTON HEALTH CENTRE</t>
  </si>
  <si>
    <t>(L85028) SPRINGMEAD SURGERY</t>
  </si>
  <si>
    <t>(L85030) ESSEX HOUSE MEDICAL CENTRE</t>
  </si>
  <si>
    <t>(L85032) THE BRUTON SURGERY</t>
  </si>
  <si>
    <t>(L85033) NORTH STREET SURGERY</t>
  </si>
  <si>
    <t>(L85036) BISHOPS LYDEARD</t>
  </si>
  <si>
    <t>(L85039) THE GLASTONBURY SURGERY</t>
  </si>
  <si>
    <t>(L85040) MILLBROOK SURGERY</t>
  </si>
  <si>
    <t>(L85043) THE PARK MEDICAL PRACTICE</t>
  </si>
  <si>
    <t>(L85048) RYALLS PARK MEDICAL CENTRE</t>
  </si>
  <si>
    <t>(L85054) SUMMERVALE MEDICAL CENTRE</t>
  </si>
  <si>
    <t>(L85061) NORTH STREET SURGERY</t>
  </si>
  <si>
    <t>(L85064) OAKLANDS SURGERY</t>
  </si>
  <si>
    <t>(L85066) ILCHESTER SURGERY</t>
  </si>
  <si>
    <t>(L85619) TAWSTOCK MEDICAL CENTRE</t>
  </si>
  <si>
    <t>(L85624) CHURCH VIEW SURGERY</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</si>
  <si>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</si>
  <si>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</si>
  <si>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</si>
  <si>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</si>
  <si>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</si>
  <si>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</si>
  <si>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</si>
  <si>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</si>
  <si>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</si>
  <si>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</si>
  <si>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</si>
  <si>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</si>
  <si>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</si>
  <si>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</si>
  <si>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</si>
  <si>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</si>
  <si>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</si>
  <si>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</si>
  <si>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</si>
  <si>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</si>
  <si>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</si>
  <si>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</si>
  <si>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</si>
  <si>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</si>
  <si>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</si>
  <si>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</si>
  <si>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</si>
  <si>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</si>
  <si>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</si>
  <si>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</si>
  <si>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</si>
  <si>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</si>
  <si>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</si>
  <si>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</si>
  <si>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</si>
  <si>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</si>
  <si>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</si>
  <si>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</si>
  <si>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</si>
  <si>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</si>
  <si>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</si>
  <si>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</si>
  <si>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</si>
  <si>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</si>
  <si>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</si>
  <si>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</si>
  <si>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</si>
  <si>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</si>
  <si>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</si>
  <si>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</si>
  <si>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</si>
  <si>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</si>
  <si>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</si>
  <si>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</si>
  <si>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</si>
  <si>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</si>
  <si>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</si>
  <si>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</si>
  <si>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</si>
  <si>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</si>
  <si>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</si>
  <si>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</si>
  <si>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</si>
  <si>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</si>
  <si>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</si>
  <si>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</si>
  <si>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</si>
  <si>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</si>
  <si>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</si>
  <si>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</si>
  <si>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</si>
  <si>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</si>
  <si>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</si>
  <si>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</si>
  <si>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</si>
  <si>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</si>
  <si>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</si>
  <si>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</si>
  <si>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</si>
  <si>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</si>
  <si>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</si>
  <si>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</si>
  <si>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</si>
  <si>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</si>
  <si>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</si>
  <si>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</si>
  <si>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</si>
  <si>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</si>
  <si>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</si>
  <si>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</si>
  <si>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</si>
  <si>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</si>
  <si>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</si>
  <si>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</si>
  <si>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</si>
  <si>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</si>
  <si>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</si>
  <si>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</si>
  <si>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</si>
  <si>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</si>
  <si>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</si>
  <si>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(Y01163) DR L SMITH</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</si>
  <si>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</si>
  <si>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</si>
  <si>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</si>
  <si>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</si>
  <si>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</si>
  <si>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</si>
  <si>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</si>
  <si>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</si>
  <si>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</si>
  <si>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</si>
  <si>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</si>
  <si>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</si>
  <si>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</si>
  <si>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</si>
  <si>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</si>
  <si>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</si>
  <si>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</si>
  <si>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</si>
  <si>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</si>
  <si>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</si>
  <si>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</si>
  <si>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</si>
  <si>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</si>
  <si>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</si>
  <si>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</si>
  <si>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</si>
  <si>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</si>
  <si>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</si>
  <si>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</si>
  <si>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</si>
  <si>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(Y02778) NHS YEOVIL HEALTH CENTRE</t>
  </si>
  <si>
    <t>Y02778</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</si>
  <si>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</si>
  <si>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</si>
  <si>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</si>
  <si>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</si>
  <si>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</si>
  <si>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</si>
  <si>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</si>
  <si>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</si>
  <si>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</si>
  <si>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</si>
  <si>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</si>
  <si>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</si>
  <si>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</si>
  <si>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</si>
  <si>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</si>
  <si>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</si>
  <si>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</si>
  <si>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</si>
  <si>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</si>
  <si>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</si>
  <si>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</si>
  <si>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</si>
  <si>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</si>
  <si>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</si>
  <si>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</si>
  <si>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</si>
  <si>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</si>
  <si>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</si>
  <si>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</si>
  <si>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</si>
  <si>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</si>
  <si>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</si>
  <si>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</si>
  <si>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</si>
  <si>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</si>
  <si>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</si>
  <si>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</si>
  <si>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</si>
  <si>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</si>
  <si>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</si>
  <si>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</si>
  <si>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</si>
  <si>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</si>
  <si>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</si>
  <si>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</si>
  <si>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</si>
  <si>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</si>
  <si>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</si>
  <si>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</si>
  <si>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</si>
  <si>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</si>
  <si>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</si>
  <si>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</si>
  <si>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</si>
  <si>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</si>
  <si>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</si>
  <si>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</si>
  <si>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</si>
  <si>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</si>
  <si>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</si>
  <si>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</si>
  <si>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</si>
  <si>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</si>
  <si>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</si>
  <si>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</si>
  <si>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</si>
  <si>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</si>
  <si>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</si>
  <si>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</si>
  <si>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</si>
  <si>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</si>
  <si>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</si>
  <si>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</si>
  <si>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</si>
  <si>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</si>
  <si>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</si>
  <si>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</si>
  <si>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</si>
  <si>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0.1</t>
  </si>
  <si>
    <t>156.098</t>
  </si>
  <si>
    <t>156.947</t>
  </si>
  <si>
    <t>0.18</t>
  </si>
  <si>
    <t>0.06</t>
  </si>
  <si>
    <t>193.926</t>
  </si>
  <si>
    <t>0.09</t>
  </si>
  <si>
    <t>0.285714286</t>
  </si>
  <si>
    <t>0.5</t>
  </si>
  <si>
    <t>0.214285714</t>
  </si>
  <si>
    <t>0.12</t>
  </si>
  <si>
    <t>0.692308</t>
  </si>
  <si>
    <t>0.342105263</t>
  </si>
  <si>
    <t>0.0208</t>
  </si>
  <si>
    <t>0.02455</t>
  </si>
  <si>
    <t>0.0039</t>
  </si>
  <si>
    <t>0.521739</t>
  </si>
  <si>
    <t>0.689612</t>
  </si>
  <si>
    <t>0.442028986</t>
  </si>
  <si>
    <t>0.365385</t>
  </si>
  <si>
    <t>0.04467354</t>
  </si>
  <si>
    <t>0.413534</t>
  </si>
  <si>
    <t>0.648026</t>
  </si>
  <si>
    <t>0.377551</t>
  </si>
  <si>
    <t>1133.989854</t>
  </si>
  <si>
    <t>0.5036</t>
  </si>
  <si>
    <t>316.9572108</t>
  </si>
  <si>
    <t>464.4412192</t>
  </si>
  <si>
    <t>0.179301882</t>
  </si>
  <si>
    <t>483.4646977</t>
  </si>
  <si>
    <t>226.1365351</t>
  </si>
  <si>
    <t>0.72586475</t>
  </si>
  <si>
    <t>0.763781</t>
  </si>
  <si>
    <t>0.5986215</t>
  </si>
  <si>
    <t>0.56031875</t>
  </si>
  <si>
    <t>2142.200502</t>
  </si>
  <si>
    <t>0.094644775</t>
  </si>
  <si>
    <t>355.9710567</t>
  </si>
  <si>
    <t>343.8216625</t>
  </si>
  <si>
    <t>42.42013088</t>
  </si>
  <si>
    <t>323.2999221</t>
  </si>
  <si>
    <t>476.722699</t>
  </si>
  <si>
    <t>471.9685215</t>
  </si>
  <si>
    <t>814.1063084</t>
  </si>
  <si>
    <t>559.7679724</t>
  </si>
  <si>
    <t>0.181502525</t>
  </si>
  <si>
    <t>0.417942177</t>
  </si>
  <si>
    <t>0.222454848</t>
  </si>
  <si>
    <t>584.9509691</t>
  </si>
  <si>
    <t>283.6313785</t>
  </si>
  <si>
    <t>0.756108</t>
  </si>
  <si>
    <t>0.646139</t>
  </si>
  <si>
    <t>0.7869895</t>
  </si>
  <si>
    <t>0.613509</t>
  </si>
  <si>
    <t>0.584685</t>
  </si>
  <si>
    <t>2568.049714</t>
  </si>
  <si>
    <t>0.122627999</t>
  </si>
  <si>
    <t>0.525122549</t>
  </si>
  <si>
    <t>432.3932867</t>
  </si>
  <si>
    <t>443.2083828</t>
  </si>
  <si>
    <t>70.38026478</t>
  </si>
  <si>
    <t>417.9843366</t>
  </si>
  <si>
    <t>576.9641107</t>
  </si>
  <si>
    <t>605.5024637</t>
  </si>
  <si>
    <t>974.4533331</t>
  </si>
  <si>
    <t>669.9941035</t>
  </si>
  <si>
    <t>0.23971831</t>
  </si>
  <si>
    <t>0.480384615</t>
  </si>
  <si>
    <t>0.278888889</t>
  </si>
  <si>
    <t>0.248336553</t>
  </si>
  <si>
    <t>687.1725071</t>
  </si>
  <si>
    <t>360.1939691</t>
  </si>
  <si>
    <t>0.027925</t>
  </si>
  <si>
    <t>0.8033565</t>
  </si>
  <si>
    <t>0.78026975</t>
  </si>
  <si>
    <t>0.811585</t>
  </si>
  <si>
    <t>0.64460375</t>
  </si>
  <si>
    <t>0.611232</t>
  </si>
  <si>
    <t>2914.18273</t>
  </si>
  <si>
    <t>0.144671264</t>
  </si>
  <si>
    <t>0.572802198</t>
  </si>
  <si>
    <t>522.0125825</t>
  </si>
  <si>
    <t>561.7618903</t>
  </si>
  <si>
    <t>99.97064353</t>
  </si>
  <si>
    <t>512.2449378</t>
  </si>
  <si>
    <t>698.0219255</t>
  </si>
  <si>
    <t>753.3596165</t>
  </si>
  <si>
    <t>1182.879688</t>
  </si>
  <si>
    <t>795.5217467</t>
  </si>
  <si>
    <t>0.546590909</t>
  </si>
  <si>
    <t>0.344068706</t>
  </si>
  <si>
    <t>1313.320826</t>
  </si>
  <si>
    <t>703.564728</t>
  </si>
  <si>
    <t>0.0403</t>
  </si>
  <si>
    <t>0.858575</t>
  </si>
  <si>
    <t>0.944444</t>
  </si>
  <si>
    <t>0.865979</t>
  </si>
  <si>
    <t>0.668258</t>
  </si>
  <si>
    <t>4091.025313</t>
  </si>
  <si>
    <t>1.97</t>
  </si>
  <si>
    <t>0.229358</t>
  </si>
  <si>
    <t>702.202362</t>
  </si>
  <si>
    <t>808.6253369</t>
  </si>
  <si>
    <t>234.9716076</t>
  </si>
  <si>
    <t>955.7945042</t>
  </si>
  <si>
    <t>1272.762874</t>
  </si>
  <si>
    <t>1212.938005</t>
  </si>
  <si>
    <t>1801.448992</t>
  </si>
  <si>
    <t>1688.555347</t>
  </si>
  <si>
    <t>0.487179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</si>
  <si>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</si>
  <si>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</si>
  <si>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</si>
  <si>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</si>
  <si>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</si>
  <si>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</si>
  <si>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</si>
  <si>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</si>
  <si>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</si>
  <si>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</si>
  <si>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</si>
  <si>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</si>
  <si>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</si>
  <si>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</si>
  <si>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</si>
  <si>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</si>
  <si>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</si>
  <si>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</si>
  <si>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</si>
  <si>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</si>
  <si>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</si>
  <si>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</si>
  <si>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</si>
  <si>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</si>
  <si>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</si>
  <si>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</si>
  <si>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</si>
  <si>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</si>
  <si>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</si>
  <si>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</si>
  <si>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</si>
  <si>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</si>
  <si>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</si>
  <si>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</si>
  <si>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</si>
  <si>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</si>
  <si>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</si>
  <si>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</si>
  <si>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</si>
  <si>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</si>
  <si>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</si>
  <si>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</si>
  <si>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</si>
  <si>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</si>
  <si>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</si>
  <si>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</si>
  <si>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</si>
  <si>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</si>
  <si>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</si>
  <si>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</si>
  <si>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</si>
  <si>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</si>
  <si>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</si>
  <si>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</si>
  <si>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</si>
  <si>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</si>
  <si>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</si>
  <si>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</si>
  <si>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</si>
  <si>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</si>
  <si>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</si>
  <si>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</si>
  <si>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</si>
  <si>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</si>
  <si>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</si>
  <si>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</si>
  <si>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</si>
  <si>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</si>
  <si>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</si>
  <si>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</si>
  <si>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</si>
  <si>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</si>
  <si>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</si>
  <si>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</si>
  <si>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</si>
  <si>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</si>
  <si>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</si>
  <si>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</si>
  <si>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</si>
  <si>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</si>
  <si>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</si>
  <si>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</si>
  <si>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</si>
  <si>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</si>
  <si>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</si>
  <si>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</si>
  <si>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</si>
  <si>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</si>
  <si>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</si>
  <si>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</si>
  <si>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</si>
  <si>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</si>
  <si>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</si>
  <si>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</si>
  <si>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</si>
  <si>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</si>
  <si>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</si>
  <si>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</si>
  <si>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</si>
  <si>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</si>
  <si>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</si>
  <si>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</si>
  <si>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</si>
  <si>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</si>
  <si>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</si>
  <si>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</si>
  <si>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</si>
  <si>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</si>
  <si>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</si>
  <si>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</si>
  <si>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</si>
  <si>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</si>
  <si>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</si>
  <si>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</si>
  <si>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</si>
  <si>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</si>
  <si>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</si>
  <si>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</si>
  <si>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</si>
  <si>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</si>
  <si>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</si>
  <si>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</si>
  <si>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</si>
  <si>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</si>
  <si>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</si>
  <si>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</si>
  <si>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</si>
  <si>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</si>
  <si>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</si>
  <si>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</si>
  <si>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</si>
  <si>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</si>
  <si>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</si>
  <si>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</si>
  <si>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</si>
  <si>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</si>
  <si>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</si>
  <si>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</si>
  <si>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</si>
  <si>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</si>
  <si>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</si>
  <si>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</si>
  <si>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</si>
  <si>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</si>
  <si>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</si>
  <si>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</si>
  <si>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</si>
  <si>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</si>
  <si>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</si>
  <si>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</si>
  <si>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</si>
  <si>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</si>
  <si>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</si>
  <si>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</si>
  <si>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</si>
  <si>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</si>
  <si>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</si>
  <si>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</si>
  <si>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</si>
  <si>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</si>
  <si>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</si>
  <si>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</si>
  <si>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</si>
  <si>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</si>
  <si>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</si>
  <si>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</si>
  <si>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</si>
  <si>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</si>
  <si>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</si>
  <si>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</si>
  <si>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</si>
  <si>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</si>
  <si>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</si>
  <si>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</si>
  <si>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</si>
  <si>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</si>
  <si>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</si>
  <si>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</si>
  <si>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</si>
  <si>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</si>
  <si>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</si>
  <si>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</si>
  <si>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</si>
  <si>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</si>
  <si>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</si>
  <si>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</si>
  <si>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</si>
  <si>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</si>
  <si>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</si>
  <si>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</si>
  <si>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</si>
  <si>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</si>
  <si>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</si>
  <si>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</si>
  <si>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</si>
  <si>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</si>
  <si>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</si>
  <si>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</si>
  <si>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</si>
  <si>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</si>
  <si>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</si>
  <si>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</si>
  <si>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</si>
  <si>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</si>
  <si>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</si>
  <si>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</si>
  <si>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</si>
  <si>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</si>
  <si>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</si>
  <si>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</si>
  <si>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</si>
  <si>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</si>
  <si>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</si>
  <si>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</si>
  <si>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</si>
  <si>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</si>
  <si>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</si>
  <si>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</si>
  <si>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</si>
  <si>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</si>
  <si>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</si>
  <si>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</si>
  <si>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</si>
  <si>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</si>
  <si>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</si>
  <si>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</si>
  <si>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</si>
  <si>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</si>
  <si>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</si>
  <si>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</si>
  <si>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</si>
  <si>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</si>
  <si>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</si>
  <si>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</si>
  <si>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</si>
  <si>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</si>
  <si>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(L85045) DRS COX + COTTON</t>
  </si>
  <si>
    <t>(L85060) DRS MONRO + VRIEND</t>
  </si>
  <si>
    <t>(L85059) DRS BEVAN  BETT  DIMAMBRO  MICHAELS  PORTER + WYNNE</t>
  </si>
  <si>
    <t>(L85029) DRS DAVIES  DA CUNHA  NICHOLLS  RUSHFORD  WOLFE + GOMPERTZ</t>
  </si>
  <si>
    <t>(L85012) DRS RICKARD  EDWARDS  GAILEY  GRIFFITH + JENNINGS</t>
  </si>
  <si>
    <t>(L85620) THE SURGERY  SOUTH STREET</t>
  </si>
  <si>
    <t>(L85005) THE SURGERY  COXS YARD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</si>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</sst>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0.8420321837209116</c:v>
                </c:pt>
                <c:pt idx="3">
                  <c:v>1</c:v>
                </c:pt>
                <c:pt idx="4">
                  <c:v>1</c:v>
                </c:pt>
                <c:pt idx="5">
                  <c:v>1</c:v>
                </c:pt>
                <c:pt idx="6">
                  <c:v>0.8813559322033899</c:v>
                </c:pt>
                <c:pt idx="7">
                  <c:v>0.649554548798216</c:v>
                </c:pt>
                <c:pt idx="8">
                  <c:v>0.7308365537446276</c:v>
                </c:pt>
                <c:pt idx="9">
                  <c:v>0.7842095226444356</c:v>
                </c:pt>
                <c:pt idx="10">
                  <c:v>0.6612638689936345</c:v>
                </c:pt>
                <c:pt idx="11">
                  <c:v>0.690544915640675</c:v>
                </c:pt>
                <c:pt idx="12">
                  <c:v>1</c:v>
                </c:pt>
                <c:pt idx="13">
                  <c:v>0</c:v>
                </c:pt>
                <c:pt idx="14">
                  <c:v>1</c:v>
                </c:pt>
                <c:pt idx="15">
                  <c:v>0.7217951708436955</c:v>
                </c:pt>
                <c:pt idx="16">
                  <c:v>0.895992953138223</c:v>
                </c:pt>
                <c:pt idx="17">
                  <c:v>0.9608166062219854</c:v>
                </c:pt>
                <c:pt idx="18">
                  <c:v>1</c:v>
                </c:pt>
                <c:pt idx="19">
                  <c:v>1</c:v>
                </c:pt>
                <c:pt idx="20">
                  <c:v>1</c:v>
                </c:pt>
                <c:pt idx="21">
                  <c:v>1</c:v>
                </c:pt>
                <c:pt idx="22">
                  <c:v>1</c:v>
                </c:pt>
                <c:pt idx="23">
                  <c:v>1</c:v>
                </c:pt>
                <c:pt idx="24">
                  <c:v>1</c:v>
                </c:pt>
                <c:pt idx="25">
                  <c:v>1</c:v>
                </c:pt>
                <c:pt idx="26">
                  <c:v>0.9593795305645227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0.5727908498681986</c:v>
                </c:pt>
                <c:pt idx="3">
                  <c:v>0.625</c:v>
                </c:pt>
                <c:pt idx="4">
                  <c:v>0.570171450006912</c:v>
                </c:pt>
                <c:pt idx="5">
                  <c:v>0.5911604075874903</c:v>
                </c:pt>
                <c:pt idx="6">
                  <c:v>0.5817191283292978</c:v>
                </c:pt>
                <c:pt idx="7">
                  <c:v>0.5689610128030733</c:v>
                </c:pt>
                <c:pt idx="8">
                  <c:v>0.6037940365772689</c:v>
                </c:pt>
                <c:pt idx="9">
                  <c:v>0.5884962598092305</c:v>
                </c:pt>
                <c:pt idx="10">
                  <c:v>0.5658904338907772</c:v>
                </c:pt>
                <c:pt idx="11">
                  <c:v>0.5605266757865938</c:v>
                </c:pt>
                <c:pt idx="12">
                  <c:v>0.6136370852649491</c:v>
                </c:pt>
                <c:pt idx="13">
                  <c:v>0</c:v>
                </c:pt>
                <c:pt idx="14">
                  <c:v>0.6032664892413896</c:v>
                </c:pt>
                <c:pt idx="15">
                  <c:v>0.5632538048763731</c:v>
                </c:pt>
                <c:pt idx="16">
                  <c:v>0.6315323050662779</c:v>
                </c:pt>
                <c:pt idx="17">
                  <c:v>0.6495043521349922</c:v>
                </c:pt>
                <c:pt idx="18">
                  <c:v>0.589890446979221</c:v>
                </c:pt>
                <c:pt idx="19">
                  <c:v>0.5876337106275267</c:v>
                </c:pt>
                <c:pt idx="20">
                  <c:v>0.5869919732437098</c:v>
                </c:pt>
                <c:pt idx="21">
                  <c:v>0.6217060434787568</c:v>
                </c:pt>
                <c:pt idx="22">
                  <c:v>0.6260141771343946</c:v>
                </c:pt>
                <c:pt idx="23">
                  <c:v>0.5616200763582263</c:v>
                </c:pt>
                <c:pt idx="24">
                  <c:v>0.581547165918926</c:v>
                </c:pt>
                <c:pt idx="25">
                  <c:v>0.5637070186056942</c:v>
                </c:pt>
                <c:pt idx="26">
                  <c:v>0.6394224049941156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0.378634693136581</c:v>
                </c:pt>
                <c:pt idx="3">
                  <c:v>0.43749999999999994</c:v>
                </c:pt>
                <c:pt idx="4">
                  <c:v>0.4303332843619218</c:v>
                </c:pt>
                <c:pt idx="5">
                  <c:v>0.4315428942849418</c:v>
                </c:pt>
                <c:pt idx="6">
                  <c:v>0.4092009685230024</c:v>
                </c:pt>
                <c:pt idx="7">
                  <c:v>0.45585880714823657</c:v>
                </c:pt>
                <c:pt idx="8">
                  <c:v>0.38691365170652137</c:v>
                </c:pt>
                <c:pt idx="9">
                  <c:v>0.4164942592839128</c:v>
                </c:pt>
                <c:pt idx="10">
                  <c:v>0.46845307215690934</c:v>
                </c:pt>
                <c:pt idx="11">
                  <c:v>0.4444453944368445</c:v>
                </c:pt>
                <c:pt idx="12">
                  <c:v>0.36019171538939404</c:v>
                </c:pt>
                <c:pt idx="13">
                  <c:v>0</c:v>
                </c:pt>
                <c:pt idx="14">
                  <c:v>0.3689064755091682</c:v>
                </c:pt>
                <c:pt idx="15">
                  <c:v>0.38976462430575753</c:v>
                </c:pt>
                <c:pt idx="16">
                  <c:v>0.38783674341028185</c:v>
                </c:pt>
                <c:pt idx="17">
                  <c:v>0.37466632120291193</c:v>
                </c:pt>
                <c:pt idx="18">
                  <c:v>0.41506195459326894</c:v>
                </c:pt>
                <c:pt idx="19">
                  <c:v>0.41197227181243795</c:v>
                </c:pt>
                <c:pt idx="20">
                  <c:v>0.42796666436673436</c:v>
                </c:pt>
                <c:pt idx="21">
                  <c:v>0.3900838581866497</c:v>
                </c:pt>
                <c:pt idx="22">
                  <c:v>0.4030544943166448</c:v>
                </c:pt>
                <c:pt idx="23">
                  <c:v>0.4458912599495545</c:v>
                </c:pt>
                <c:pt idx="24">
                  <c:v>0.3967880955826326</c:v>
                </c:pt>
                <c:pt idx="25">
                  <c:v>0.4399147525241194</c:v>
                </c:pt>
                <c:pt idx="26">
                  <c:v>0.35751903409145674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0.24999999999999992</c:v>
                </c:pt>
                <c:pt idx="4">
                  <c:v>0.20560769021577013</c:v>
                </c:pt>
                <c:pt idx="5">
                  <c:v>0.2357051080078602</c:v>
                </c:pt>
                <c:pt idx="6">
                  <c:v>0</c:v>
                </c:pt>
                <c:pt idx="7">
                  <c:v>0</c:v>
                </c:pt>
                <c:pt idx="8">
                  <c:v>0</c:v>
                </c:pt>
                <c:pt idx="9">
                  <c:v>0</c:v>
                </c:pt>
                <c:pt idx="10">
                  <c:v>0</c:v>
                </c:pt>
                <c:pt idx="11">
                  <c:v>0</c:v>
                </c:pt>
                <c:pt idx="12">
                  <c:v>0.0291914522656773</c:v>
                </c:pt>
                <c:pt idx="13">
                  <c:v>0</c:v>
                </c:pt>
                <c:pt idx="14">
                  <c:v>0.06723134013650016</c:v>
                </c:pt>
                <c:pt idx="15">
                  <c:v>0</c:v>
                </c:pt>
                <c:pt idx="16">
                  <c:v>0</c:v>
                </c:pt>
                <c:pt idx="17">
                  <c:v>0</c:v>
                </c:pt>
                <c:pt idx="18">
                  <c:v>0.2991818899846558</c:v>
                </c:pt>
                <c:pt idx="19">
                  <c:v>0.1590074354332456</c:v>
                </c:pt>
                <c:pt idx="20">
                  <c:v>0.3131594121647672</c:v>
                </c:pt>
                <c:pt idx="21">
                  <c:v>0.1307793722935388</c:v>
                </c:pt>
                <c:pt idx="22">
                  <c:v>0.1916476474747309</c:v>
                </c:pt>
                <c:pt idx="23">
                  <c:v>0.2663036432330148</c:v>
                </c:pt>
                <c:pt idx="24">
                  <c:v>0.13722482559701554</c:v>
                </c:pt>
                <c:pt idx="25">
                  <c:v>0.20907942323532241</c:v>
                </c:pt>
                <c:pt idx="26">
                  <c:v>0</c:v>
                </c:pt>
              </c:numCache>
            </c:numRef>
          </c:val>
        </c:ser>
        <c:overlap val="100"/>
        <c:gapWidth val="100"/>
        <c:axId val="23644714"/>
        <c:axId val="114758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0.3356945772059822</c:v>
                </c:pt>
                <c:pt idx="3">
                  <c:v>0.8159509743632244</c:v>
                </c:pt>
                <c:pt idx="4">
                  <c:v>0.42170347497257243</c:v>
                </c:pt>
                <c:pt idx="5">
                  <c:v>0.4406187006287297</c:v>
                </c:pt>
                <c:pt idx="6">
                  <c:v>0.33501787373155767</c:v>
                </c:pt>
                <c:pt idx="7">
                  <c:v>0.45413788674266614</c:v>
                </c:pt>
                <c:pt idx="8">
                  <c:v>0.5746057076972432</c:v>
                </c:pt>
                <c:pt idx="9">
                  <c:v>0.37793422472398586</c:v>
                </c:pt>
                <c:pt idx="10">
                  <c:v>0.4172376544293404</c:v>
                </c:pt>
                <c:pt idx="11">
                  <c:v>0.43574989837876366</c:v>
                </c:pt>
                <c:pt idx="12">
                  <c:v>0.30757841103140027</c:v>
                </c:pt>
                <c:pt idx="13">
                  <c:v>0.5</c:v>
                </c:pt>
                <c:pt idx="14">
                  <c:v>0.42057852296936227</c:v>
                </c:pt>
                <c:pt idx="15">
                  <c:v>0.4199509833686654</c:v>
                </c:pt>
                <c:pt idx="16">
                  <c:v>0.4109519690985808</c:v>
                </c:pt>
                <c:pt idx="17">
                  <c:v>0.36354623852175644</c:v>
                </c:pt>
                <c:pt idx="18">
                  <c:v>0.5218974977024707</c:v>
                </c:pt>
                <c:pt idx="19">
                  <c:v>0.43565468100214505</c:v>
                </c:pt>
                <c:pt idx="20">
                  <c:v>0.5332881746857558</c:v>
                </c:pt>
                <c:pt idx="21">
                  <c:v>0.35763454184525156</c:v>
                </c:pt>
                <c:pt idx="22">
                  <c:v>0.5175523448870033</c:v>
                </c:pt>
                <c:pt idx="23">
                  <c:v>0.4592229545435234</c:v>
                </c:pt>
                <c:pt idx="24">
                  <c:v>0.49554734719557086</c:v>
                </c:pt>
                <c:pt idx="25">
                  <c:v>0.511085216635288</c:v>
                </c:pt>
                <c:pt idx="26">
                  <c:v>0.4823552132120084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0.3704267798555857</c:v>
                </c:pt>
                <c:pt idx="5">
                  <c:v>-999</c:v>
                </c:pt>
                <c:pt idx="6">
                  <c:v>-999</c:v>
                </c:pt>
                <c:pt idx="7">
                  <c:v>-999</c:v>
                </c:pt>
                <c:pt idx="8">
                  <c:v>-999</c:v>
                </c:pt>
                <c:pt idx="9">
                  <c:v>0.382298229391171</c:v>
                </c:pt>
                <c:pt idx="10">
                  <c:v>0.443517490400834</c:v>
                </c:pt>
                <c:pt idx="11">
                  <c:v>0.3612061103511172</c:v>
                </c:pt>
                <c:pt idx="12">
                  <c:v>0.30726311471041734</c:v>
                </c:pt>
                <c:pt idx="13">
                  <c:v>0.5688659793814432</c:v>
                </c:pt>
                <c:pt idx="14">
                  <c:v>0.6750773008987416</c:v>
                </c:pt>
                <c:pt idx="15">
                  <c:v>0.510892767899836</c:v>
                </c:pt>
                <c:pt idx="16">
                  <c:v>0.44687477762112027</c:v>
                </c:pt>
                <c:pt idx="17">
                  <c:v>0.24086198763401875</c:v>
                </c:pt>
                <c:pt idx="18">
                  <c:v>-999</c:v>
                </c:pt>
                <c:pt idx="19">
                  <c:v>0.47974394643137036</c:v>
                </c:pt>
                <c:pt idx="20">
                  <c:v>0.3131594121479126</c:v>
                </c:pt>
                <c:pt idx="21">
                  <c:v>0.4581623551922332</c:v>
                </c:pt>
                <c:pt idx="22">
                  <c:v>-999</c:v>
                </c:pt>
                <c:pt idx="23">
                  <c:v>0.38504474317245585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0.2565563982700693</c:v>
                </c:pt>
                <c:pt idx="3">
                  <c:v>0.37499999999999994</c:v>
                </c:pt>
                <c:pt idx="4">
                  <c:v>-999</c:v>
                </c:pt>
                <c:pt idx="5">
                  <c:v>-999</c:v>
                </c:pt>
                <c:pt idx="6">
                  <c:v>0.14527845036319612</c:v>
                </c:pt>
                <c:pt idx="7">
                  <c:v>0.2900263884591359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0.2222489255873686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6173652"/>
        <c:axId val="57127413"/>
      </c:scatterChart>
      <c:catAx>
        <c:axId val="23644714"/>
        <c:scaling>
          <c:orientation val="maxMin"/>
        </c:scaling>
        <c:axPos val="l"/>
        <c:delete val="0"/>
        <c:numFmt formatCode="General" sourceLinked="1"/>
        <c:majorTickMark val="out"/>
        <c:minorTickMark val="none"/>
        <c:tickLblPos val="none"/>
        <c:spPr>
          <a:ln w="3175">
            <a:noFill/>
          </a:ln>
        </c:spPr>
        <c:crossAx val="11475835"/>
        <c:crosses val="autoZero"/>
        <c:auto val="1"/>
        <c:lblOffset val="100"/>
        <c:tickLblSkip val="1"/>
        <c:noMultiLvlLbl val="0"/>
      </c:catAx>
      <c:valAx>
        <c:axId val="11475835"/>
        <c:scaling>
          <c:orientation val="minMax"/>
          <c:max val="1"/>
          <c:min val="0"/>
        </c:scaling>
        <c:axPos val="t"/>
        <c:delete val="0"/>
        <c:numFmt formatCode="General" sourceLinked="1"/>
        <c:majorTickMark val="none"/>
        <c:minorTickMark val="none"/>
        <c:tickLblPos val="none"/>
        <c:spPr>
          <a:ln w="3175">
            <a:noFill/>
          </a:ln>
        </c:spPr>
        <c:crossAx val="23644714"/>
        <c:crossesAt val="1"/>
        <c:crossBetween val="between"/>
        <c:dispUnits/>
        <c:majorUnit val="1"/>
      </c:valAx>
      <c:valAx>
        <c:axId val="36173652"/>
        <c:scaling>
          <c:orientation val="minMax"/>
          <c:max val="1"/>
          <c:min val="0"/>
        </c:scaling>
        <c:axPos val="t"/>
        <c:delete val="0"/>
        <c:numFmt formatCode="General" sourceLinked="1"/>
        <c:majorTickMark val="none"/>
        <c:minorTickMark val="none"/>
        <c:tickLblPos val="none"/>
        <c:spPr>
          <a:ln w="3175">
            <a:noFill/>
          </a:ln>
        </c:spPr>
        <c:crossAx val="57127413"/>
        <c:crosses val="max"/>
        <c:crossBetween val="midCat"/>
        <c:dispUnits/>
        <c:majorUnit val="0.1"/>
        <c:minorUnit val="0.02"/>
      </c:valAx>
      <c:valAx>
        <c:axId val="57127413"/>
        <c:scaling>
          <c:orientation val="maxMin"/>
          <c:max val="29"/>
          <c:min val="0"/>
        </c:scaling>
        <c:axPos val="l"/>
        <c:delete val="0"/>
        <c:numFmt formatCode="General" sourceLinked="1"/>
        <c:majorTickMark val="none"/>
        <c:minorTickMark val="none"/>
        <c:tickLblPos val="none"/>
        <c:spPr>
          <a:ln w="3175">
            <a:noFill/>
          </a:ln>
        </c:spPr>
        <c:crossAx val="3617365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(Y00189) ABBEY MANOR MEDICAL PRACTICE, NHS SOMERSET CCG (11X)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846</v>
      </c>
      <c r="Q3" s="65"/>
      <c r="R3" s="66"/>
      <c r="S3" s="66"/>
      <c r="T3" s="66"/>
      <c r="U3" s="66"/>
      <c r="V3" s="66"/>
      <c r="W3" s="66"/>
      <c r="X3" s="66"/>
      <c r="Y3" s="66"/>
      <c r="Z3" s="66"/>
      <c r="AA3" s="66"/>
      <c r="AB3" s="66"/>
      <c r="AC3" s="66"/>
    </row>
    <row r="4" spans="2:29" ht="18" customHeight="1">
      <c r="B4" s="317" t="s">
        <v>847</v>
      </c>
      <c r="C4" s="318"/>
      <c r="D4" s="318"/>
      <c r="E4" s="318"/>
      <c r="F4" s="318"/>
      <c r="G4" s="319"/>
      <c r="H4" s="111"/>
      <c r="I4" s="111"/>
      <c r="J4" s="111"/>
      <c r="K4" s="111"/>
      <c r="L4" s="112"/>
      <c r="M4" s="65"/>
      <c r="N4" s="65"/>
      <c r="O4" s="65"/>
      <c r="P4" s="133" t="s">
        <v>848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204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180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866</v>
      </c>
      <c r="C8" s="114"/>
      <c r="D8" s="114"/>
      <c r="E8" s="127">
        <f>VLOOKUP('Hide - Control'!A$3,'All practice data'!A:CA,4,FALSE)</f>
        <v>2524</v>
      </c>
      <c r="F8" s="332" t="str">
        <f>VLOOKUP('Hide - Control'!B4,'Hide - Calculation'!AY:BA,3,FALSE)</f>
        <v> </v>
      </c>
      <c r="G8" s="332"/>
      <c r="H8" s="332"/>
      <c r="I8" s="114"/>
      <c r="J8" s="114"/>
      <c r="K8" s="114"/>
      <c r="L8" s="114"/>
      <c r="M8" s="108"/>
      <c r="N8" s="308" t="s">
        <v>849</v>
      </c>
      <c r="O8" s="308"/>
      <c r="P8" s="308"/>
      <c r="Q8" s="308" t="s">
        <v>850</v>
      </c>
      <c r="R8" s="308"/>
      <c r="S8" s="308"/>
      <c r="T8" s="308" t="s">
        <v>851</v>
      </c>
      <c r="U8" s="308"/>
      <c r="V8" s="308" t="s">
        <v>852</v>
      </c>
      <c r="W8" s="308"/>
      <c r="X8" s="308"/>
      <c r="Y8" s="134"/>
      <c r="Z8" s="308" t="s">
        <v>853</v>
      </c>
      <c r="AA8" s="308"/>
      <c r="AB8" s="160"/>
      <c r="AC8" s="108"/>
    </row>
    <row r="9" spans="2:29" s="61" customFormat="1" ht="19.5" customHeight="1" thickBot="1">
      <c r="B9" s="113" t="s">
        <v>854</v>
      </c>
      <c r="C9" s="113"/>
      <c r="D9" s="113"/>
      <c r="E9" s="128">
        <f>VLOOKUP('Hide - Control'!B4,'Hide - Calculation'!AY:BB,4,FALSE)</f>
        <v>543498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855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183</v>
      </c>
      <c r="E11" s="315"/>
      <c r="F11" s="316"/>
      <c r="G11" s="260" t="s">
        <v>181</v>
      </c>
      <c r="H11" s="252" t="s">
        <v>182</v>
      </c>
      <c r="I11" s="252" t="s">
        <v>190</v>
      </c>
      <c r="J11" s="252" t="s">
        <v>191</v>
      </c>
      <c r="K11" s="297" t="s">
        <v>856</v>
      </c>
      <c r="L11" s="253" t="s">
        <v>180</v>
      </c>
      <c r="M11" s="254" t="s">
        <v>199</v>
      </c>
      <c r="N11" s="312" t="s">
        <v>198</v>
      </c>
      <c r="O11" s="312"/>
      <c r="P11" s="312"/>
      <c r="Q11" s="312"/>
      <c r="R11" s="312"/>
      <c r="S11" s="312"/>
      <c r="T11" s="312"/>
      <c r="U11" s="312"/>
      <c r="V11" s="312"/>
      <c r="W11" s="312"/>
      <c r="X11" s="312"/>
      <c r="Y11" s="312"/>
      <c r="Z11" s="312"/>
      <c r="AA11" s="255" t="s">
        <v>200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139</v>
      </c>
      <c r="C13" s="162">
        <v>1</v>
      </c>
      <c r="D13" s="334" t="s">
        <v>135</v>
      </c>
      <c r="E13" s="335"/>
      <c r="F13" s="335"/>
      <c r="G13" s="165">
        <f>IF(VLOOKUP('Hide - Control'!A$3,'All practice data'!A:CA,C13+4,FALSE)=" "," ",VLOOKUP('Hide - Control'!A$3,'All practice data'!A:CA,C13+4,FALSE))</f>
        <v>343</v>
      </c>
      <c r="H13" s="189">
        <f>IF(VLOOKUP('Hide - Control'!A$3,'All practice data'!A:CA,C13+30,FALSE)=" "," ",VLOOKUP('Hide - Control'!A$3,'All practice data'!A:CA,C13+30,FALSE))</f>
        <v>0.13589540412044374</v>
      </c>
      <c r="I13" s="190">
        <f>IF(LEFT(G13,1)=" "," n/a",+((2*G13+1.96^2-1.96*SQRT(1.96^2+4*G13*(1-G13/E$8)))/(2*(E$8+1.96^2))))</f>
        <v>0.12307850799521124</v>
      </c>
      <c r="J13" s="190">
        <f>IF(LEFT(G13,1)=" "," n/a",+((2*G13+1.96^2+1.96*SQRT(1.96^2+4*G13*(1-G13/E$8)))/(2*(E$8+1.96^2))))</f>
        <v>0.14981897102404373</v>
      </c>
      <c r="K13" s="189">
        <f>IF('Hide - Calculation'!N7="","",'Hide - Calculation'!N7)</f>
        <v>0.21424181873714346</v>
      </c>
      <c r="L13" s="191">
        <f>'Hide - Calculation'!O7</f>
        <v>0.16403398204837302</v>
      </c>
      <c r="M13" s="301" t="str">
        <f>IF(ISBLANK('Hide - Calculation'!K7),"",FIXED(100*'Hide - Calculation'!U7,1)&amp;"%")</f>
        <v>4.5%</v>
      </c>
      <c r="N13" s="172"/>
      <c r="O13" s="172"/>
      <c r="P13" s="172"/>
      <c r="Q13" s="172"/>
      <c r="R13" s="172"/>
      <c r="S13" s="172"/>
      <c r="T13" s="172"/>
      <c r="U13" s="172"/>
      <c r="V13" s="172"/>
      <c r="W13" s="172"/>
      <c r="X13" s="172"/>
      <c r="Y13" s="172"/>
      <c r="Z13" s="172"/>
      <c r="AA13" s="302" t="str">
        <f>IF(ISBLANK('Hide - Calculation'!K7),"",FIXED(100*'Hide - Calculation'!T7,1)&amp;"%")</f>
        <v>34.4%</v>
      </c>
      <c r="AB13" s="230" t="s">
        <v>265</v>
      </c>
      <c r="AC13" s="207" t="s">
        <v>857</v>
      </c>
    </row>
    <row r="14" spans="2:29" ht="33.75" customHeight="1">
      <c r="B14" s="327"/>
      <c r="C14" s="136">
        <v>2</v>
      </c>
      <c r="D14" s="131" t="s">
        <v>205</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0.07004307115701681</v>
      </c>
      <c r="J14" s="119">
        <f>IF(LEFT(G14,1)=" "," n/a",+((2*H14*E8+1.96^2+1.96*SQRT(1.96^2+4*H14*E8*(1-H14*E8/E$8)))/(2*(E$8+1.96^2))))</f>
        <v>0.09123348984269139</v>
      </c>
      <c r="K14" s="118">
        <f>IF('Hide - Calculation'!N8="","",'Hide - Calculation'!N8)</f>
        <v>0.10921784440789108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18.0%</v>
      </c>
      <c r="AB14" s="231" t="s">
        <v>39</v>
      </c>
      <c r="AC14" s="129" t="s">
        <v>857</v>
      </c>
    </row>
    <row r="15" spans="2:39" s="63" customFormat="1" ht="33.75" customHeight="1">
      <c r="B15" s="327"/>
      <c r="C15" s="136">
        <v>3</v>
      </c>
      <c r="D15" s="131" t="s">
        <v>143</v>
      </c>
      <c r="E15" s="85"/>
      <c r="F15" s="85"/>
      <c r="G15" s="120">
        <f>IF(VLOOKUP('Hide - Control'!A$3,'All practice data'!A:CA,C15+4,FALSE)=" "," ",VLOOKUP('Hide - Control'!A$3,'All practice data'!A:CA,C15+4,FALSE))</f>
        <v>10</v>
      </c>
      <c r="H15" s="121">
        <f>IF(VLOOKUP('Hide - Control'!A$3,'All practice data'!A:CA,C15+30,FALSE)=" "," ",VLOOKUP('Hide - Control'!A$3,'All practice data'!A:CA,C15+30,FALSE))</f>
        <v>396.19651347068145</v>
      </c>
      <c r="I15" s="122">
        <f>IF(LEFT(G15,1)=" "," n/a",IF(G15&lt;5,100000*VLOOKUP(G15,'Hide - Calculation'!AQ:AR,2,FALSE)/$E$8,100000*(G15*(1-1/(9*G15)-1.96/(3*SQRT(G15)))^3)/$E$8))</f>
        <v>189.67433500529324</v>
      </c>
      <c r="J15" s="122">
        <f>IF(LEFT(G15,1)=" "," n/a",IF(G15&lt;5,100000*VLOOKUP(G15,'Hide - Calculation'!AQ:AS,3,FALSE)/$E$8,100000*((G15+1)*(1-1/(9*(G15+1))+1.96/(3*SQRT(G15+1)))^3)/$E$8))</f>
        <v>728.6698444552503</v>
      </c>
      <c r="K15" s="121">
        <f>IF('Hide - Calculation'!N9="","",'Hide - Calculation'!N9)</f>
        <v>591.3545220037608</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1,313</v>
      </c>
      <c r="AB15" s="231" t="s">
        <v>184</v>
      </c>
      <c r="AC15" s="130">
        <v>2010</v>
      </c>
      <c r="AD15" s="64"/>
      <c r="AE15" s="64"/>
      <c r="AF15" s="64"/>
      <c r="AG15" s="64"/>
      <c r="AH15" s="64"/>
      <c r="AI15" s="64"/>
      <c r="AJ15" s="64"/>
      <c r="AK15" s="64"/>
      <c r="AL15" s="64"/>
      <c r="AM15" s="64"/>
    </row>
    <row r="16" spans="2:29" s="63" customFormat="1" ht="33.75" customHeight="1">
      <c r="B16" s="327"/>
      <c r="C16" s="136">
        <v>4</v>
      </c>
      <c r="D16" s="131" t="s">
        <v>201</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284.0856820080295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704</v>
      </c>
      <c r="AB16" s="231" t="s">
        <v>138</v>
      </c>
      <c r="AC16" s="130" t="s">
        <v>858</v>
      </c>
    </row>
    <row r="17" spans="2:29" s="63" customFormat="1" ht="33.75" customHeight="1" thickBot="1">
      <c r="B17" s="328"/>
      <c r="C17" s="179">
        <v>5</v>
      </c>
      <c r="D17" s="194" t="s">
        <v>142</v>
      </c>
      <c r="E17" s="181"/>
      <c r="F17" s="181"/>
      <c r="G17" s="139">
        <f>IF(VLOOKUP('Hide - Control'!A$3,'All practice data'!A:CA,C17+4,FALSE)=" "," ",VLOOKUP('Hide - Control'!A$3,'All practice data'!A:CA,C17+4,FALSE))</f>
        <v>25</v>
      </c>
      <c r="H17" s="140">
        <f>IF(VLOOKUP('Hide - Control'!A$3,'All practice data'!A:CA,C17+30,FALSE)=" "," ",VLOOKUP('Hide - Control'!A$3,'All practice data'!A:CA,C17+30,FALSE))</f>
        <v>0.009899999999999999</v>
      </c>
      <c r="I17" s="141">
        <f>IF(LEFT(G17,1)=" "," n/a",+((2*G17+1.96^2-1.96*SQRT(1.96^2+4*G17*(1-G17/E$8)))/(2*(E$8+1.96^2))))</f>
        <v>0.0067180148890973726</v>
      </c>
      <c r="J17" s="141">
        <f>IF(LEFT(G17,1)=" "," n/a",+((2*G17+1.96^2+1.96*SQRT(1.96^2+4*G17*(1-G17/E$8)))/(2*(E$8+1.96^2))))</f>
        <v>0.014581420961629982</v>
      </c>
      <c r="K17" s="140">
        <f>IF('Hide - Calculation'!N11="","",'Hide - Calculation'!N11)</f>
        <v>0.023968809452840672</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4.0%</v>
      </c>
      <c r="AB17" s="232" t="s">
        <v>202</v>
      </c>
      <c r="AC17" s="188" t="s">
        <v>858</v>
      </c>
    </row>
    <row r="18" spans="2:29" s="63" customFormat="1" ht="33.75" customHeight="1">
      <c r="B18" s="326" t="s">
        <v>13</v>
      </c>
      <c r="C18" s="162">
        <v>6</v>
      </c>
      <c r="D18" s="163" t="s">
        <v>206</v>
      </c>
      <c r="E18" s="164"/>
      <c r="F18" s="164"/>
      <c r="G18" s="217">
        <f>IF(OR(VLOOKUP('Hide - Control'!A$3,'All practice data'!A:CA,C18+4,FALSE)=" ",VLOOKUP('Hide - Control'!A$3,'All practice data'!A:CA,C18+52,FALSE)=0)," n/a",VLOOKUP('Hide - Control'!A$3,'All practice data'!A:CA,C18+4,FALSE))</f>
        <v>150</v>
      </c>
      <c r="H18" s="218">
        <f>IF(OR(VLOOKUP('Hide - Control'!A$3,'All practice data'!A:CA,C18+30,FALSE)=" ",VLOOKUP('Hide - Control'!A$3,'All practice data'!A:CA,C18+52,FALSE)=0)," n/a",VLOOKUP('Hide - Control'!A$3,'All practice data'!A:CA,C18+30,FALSE))</f>
        <v>0.612245</v>
      </c>
      <c r="I18" s="190">
        <f>IF(OR(LEFT(H18,1)=" ",VLOOKUP('Hide - Control'!A$3,'All practice data'!A:CA,C18+52,FALSE)=0)," n/a",+((2*G18+1.96^2-1.96*SQRT(1.96^2+4*G18*(1-G18/(VLOOKUP('Hide - Control'!A$3,'All practice data'!A:CA,C18+52,FALSE)))))/(2*(((VLOOKUP('Hide - Control'!A$3,'All practice data'!A:CA,C18+52,FALSE)))+1.96^2))))</f>
        <v>0.5499481788362867</v>
      </c>
      <c r="J18" s="190">
        <f>IF(OR(LEFT(H18,1)=" ",VLOOKUP('Hide - Control'!A$3,'All practice data'!A:CA,C18+52,FALSE)=0)," n/a",+((2*G18+1.96^2+1.96*SQRT(1.96^2+4*G18*(1-G18/(VLOOKUP('Hide - Control'!A$3,'All practice data'!A:CA,C18+52,FALSE)))))/(2*((VLOOKUP('Hide - Control'!A$3,'All practice data'!A:CA,C18+52,FALSE))+1.96^2))))</f>
        <v>0.6710759586069702</v>
      </c>
      <c r="K18" s="218">
        <f>IF('Hide - Calculation'!N12="","",'Hide - Calculation'!N12)</f>
        <v>0.7648821934945789</v>
      </c>
      <c r="L18" s="191">
        <f>'Hide - Calculation'!O12</f>
        <v>0.7246856648259642</v>
      </c>
      <c r="M18" s="192" t="str">
        <f>IF(ISBLANK('Hide - Calculation'!K12),"",FIXED(100*'Hide - Calculation'!U12,1)&amp;"%")</f>
        <v>41.4%</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859</v>
      </c>
    </row>
    <row r="19" spans="2:29" s="63" customFormat="1" ht="33.75" customHeight="1">
      <c r="B19" s="327"/>
      <c r="C19" s="136">
        <v>7</v>
      </c>
      <c r="D19" s="131" t="s">
        <v>207</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0.782681326691775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94.4%</v>
      </c>
      <c r="AB19" s="231" t="s">
        <v>48</v>
      </c>
      <c r="AC19" s="130" t="s">
        <v>858</v>
      </c>
    </row>
    <row r="20" spans="2:29" s="63" customFormat="1" ht="33.75" customHeight="1">
      <c r="B20" s="327"/>
      <c r="C20" s="136">
        <v>8</v>
      </c>
      <c r="D20" s="131" t="s">
        <v>208</v>
      </c>
      <c r="E20" s="85"/>
      <c r="F20" s="85"/>
      <c r="G20" s="219">
        <f>IF(OR(VLOOKUP('Hide - Control'!A$3,'All practice data'!A:CA,C20+4,FALSE)=" ",VLOOKUP('Hide - Control'!A$3,'All practice data'!A:CA,C20+52,FALSE)=0)," n/a",VLOOKUP('Hide - Control'!A$3,'All practice data'!A:CA,C20+4,FALSE))</f>
        <v>485</v>
      </c>
      <c r="H20" s="216">
        <f>IF(OR(VLOOKUP('Hide - Control'!A$3,'All practice data'!A:CA,C20+30,FALSE)=" ",VLOOKUP('Hide - Control'!A$3,'All practice data'!A:CA,C20+52,FALSE)=0)," n/a",VLOOKUP('Hide - Control'!A$3,'All practice data'!A:CA,C20+30,FALSE))</f>
        <v>0.754277</v>
      </c>
      <c r="I20" s="119">
        <f>IF(OR(LEFT(H20,1)=" ",VLOOKUP('Hide - Control'!A$3,'All practice data'!A:CA,C20+52,FALSE)=0)," n/a",+((2*G20+1.96^2-1.96*SQRT(1.96^2+4*G20*(1-G20/(VLOOKUP('Hide - Control'!A$3,'All practice data'!A:CA,C20+52,FALSE)))))/(2*(((VLOOKUP('Hide - Control'!A$3,'All practice data'!A:CA,C20+52,FALSE)))+1.96^2))))</f>
        <v>0.7195546792968698</v>
      </c>
      <c r="J20" s="119">
        <f>IF(OR(LEFT(H20,1)=" ",VLOOKUP('Hide - Control'!A$3,'All practice data'!A:CA,C20+52,FALSE)=0)," n/a",+((2*G20+1.96^2+1.96*SQRT(1.96^2+4*G20*(1-G20/(VLOOKUP('Hide - Control'!A$3,'All practice data'!A:CA,C20+52,FALSE)))))/(2*((VLOOKUP('Hide - Control'!A$3,'All practice data'!A:CA,C20+52,FALSE))+1.96^2))))</f>
        <v>0.7859786692076173</v>
      </c>
      <c r="K20" s="216">
        <f>IF('Hide - Calculation'!N14="","",'Hide - Calculation'!N14)</f>
        <v>0.784725073429555</v>
      </c>
      <c r="L20" s="154">
        <f>'Hide - Calculation'!O14</f>
        <v>0.7530641252748632</v>
      </c>
      <c r="M20" s="151" t="str">
        <f>IF(ISBLANK('Hide - Calculation'!K14),"",FIXED(100*'Hide - Calculation'!U14,1)&amp;"%")</f>
        <v>64.8%</v>
      </c>
      <c r="N20" s="159"/>
      <c r="O20" s="84"/>
      <c r="P20" s="84"/>
      <c r="Q20" s="84"/>
      <c r="R20" s="84"/>
      <c r="S20" s="84"/>
      <c r="T20" s="84"/>
      <c r="U20" s="84"/>
      <c r="V20" s="84"/>
      <c r="W20" s="84"/>
      <c r="X20" s="84"/>
      <c r="Y20" s="84"/>
      <c r="Z20" s="88"/>
      <c r="AA20" s="151" t="str">
        <f>IF(ISBLANK('Hide - Calculation'!K14),"",FIXED(100*'Hide - Calculation'!T14,1)&amp;"%")</f>
        <v>86.6%</v>
      </c>
      <c r="AB20" s="231" t="s">
        <v>48</v>
      </c>
      <c r="AC20" s="130" t="s">
        <v>860</v>
      </c>
    </row>
    <row r="21" spans="2:29" s="63" customFormat="1" ht="33.75" customHeight="1">
      <c r="B21" s="327"/>
      <c r="C21" s="136">
        <v>9</v>
      </c>
      <c r="D21" s="131" t="s">
        <v>209</v>
      </c>
      <c r="E21" s="85"/>
      <c r="F21" s="85"/>
      <c r="G21" s="219">
        <f>IF(OR(VLOOKUP('Hide - Control'!A$3,'All practice data'!A:CA,C21+4,FALSE)=" ",VLOOKUP('Hide - Control'!A$3,'All practice data'!A:CA,C21+52,FALSE)=0)," n/a",VLOOKUP('Hide - Control'!A$3,'All practice data'!A:CA,C21+4,FALSE))</f>
        <v>125</v>
      </c>
      <c r="H21" s="216">
        <f>IF(OR(VLOOKUP('Hide - Control'!A$3,'All practice data'!A:CA,C21+30,FALSE)=" ",VLOOKUP('Hide - Control'!A$3,'All practice data'!A:CA,C21+52,FALSE)=0)," n/a",VLOOKUP('Hide - Control'!A$3,'All practice data'!A:CA,C21+30,FALSE))</f>
        <v>0.586854</v>
      </c>
      <c r="I21" s="119">
        <f>IF(OR(LEFT(H21,1)=" ",VLOOKUP('Hide - Control'!A$3,'All practice data'!A:CA,C21+52,FALSE)=0)," n/a",+((2*G21+1.96^2-1.96*SQRT(1.96^2+4*G21*(1-G21/(VLOOKUP('Hide - Control'!A$3,'All practice data'!A:CA,C21+52,FALSE)))))/(2*(((VLOOKUP('Hide - Control'!A$3,'All practice data'!A:CA,C21+52,FALSE)))+1.96^2))))</f>
        <v>0.5197584158868334</v>
      </c>
      <c r="J21" s="119">
        <f>IF(OR(LEFT(H21,1)=" ",VLOOKUP('Hide - Control'!A$3,'All practice data'!A:CA,C21+52,FALSE)=0)," n/a",+((2*G21+1.96^2+1.96*SQRT(1.96^2+4*G21*(1-G21/(VLOOKUP('Hide - Control'!A$3,'All practice data'!A:CA,C21+52,FALSE)))))/(2*((VLOOKUP('Hide - Control'!A$3,'All practice data'!A:CA,C21+52,FALSE))+1.96^2))))</f>
        <v>0.6508730496622126</v>
      </c>
      <c r="K21" s="216">
        <f>IF('Hide - Calculation'!N15="","",'Hide - Calculation'!N15)</f>
        <v>0.6214802951281946</v>
      </c>
      <c r="L21" s="154">
        <f>'Hide - Calculation'!O15</f>
        <v>0.5744521249276766</v>
      </c>
      <c r="M21" s="151" t="str">
        <f>IF(ISBLANK('Hide - Calculation'!K15),"",FIXED(100*'Hide - Calculation'!U15,1)&amp;"%")</f>
        <v>37.8%</v>
      </c>
      <c r="N21" s="159"/>
      <c r="O21" s="84"/>
      <c r="P21" s="84"/>
      <c r="Q21" s="84"/>
      <c r="R21" s="84"/>
      <c r="S21" s="84"/>
      <c r="T21" s="84"/>
      <c r="U21" s="84"/>
      <c r="V21" s="84"/>
      <c r="W21" s="84"/>
      <c r="X21" s="84"/>
      <c r="Y21" s="84"/>
      <c r="Z21" s="88"/>
      <c r="AA21" s="151" t="str">
        <f>IF(ISBLANK('Hide - Calculation'!K15),"",FIXED(100*'Hide - Calculation'!T15,1)&amp;"%")</f>
        <v>69.0%</v>
      </c>
      <c r="AB21" s="231" t="s">
        <v>48</v>
      </c>
      <c r="AC21" s="130" t="s">
        <v>861</v>
      </c>
    </row>
    <row r="22" spans="2:29" s="63" customFormat="1" ht="33.75" customHeight="1" thickBot="1">
      <c r="B22" s="328"/>
      <c r="C22" s="179">
        <v>10</v>
      </c>
      <c r="D22" s="194" t="s">
        <v>210</v>
      </c>
      <c r="E22" s="181"/>
      <c r="F22" s="181"/>
      <c r="G22" s="220">
        <f>IF(OR(VLOOKUP('Hide - Control'!A$3,'All practice data'!A:CA,C22+4,FALSE)=" ",VLOOKUP('Hide - Control'!A$3,'All practice data'!A:CA,C22+52,FALSE)=0)," n/a",VLOOKUP('Hide - Control'!A$3,'All practice data'!A:CA,C22+4,FALSE))</f>
        <v>55</v>
      </c>
      <c r="H22" s="221">
        <f>IF(OR(VLOOKUP('Hide - Control'!A$3,'All practice data'!A:CA,C22+30,FALSE)=" ",VLOOKUP('Hide - Control'!A$3,'All practice data'!A:CA,C22+52,FALSE)=0)," n/a",VLOOKUP('Hide - Control'!A$3,'All practice data'!A:CA,C22+30,FALSE))</f>
        <v>0.52381</v>
      </c>
      <c r="I22" s="195">
        <f>IF(OR(LEFT(H22,1)=" ",VLOOKUP('Hide - Control'!A$3,'All practice data'!A:CA,C22+52,FALSE)=0)," n/a",+((2*G22+1.96^2-1.96*SQRT(1.96^2+4*G22*(1-G22/(VLOOKUP('Hide - Control'!A$3,'All practice data'!A:CA,C22+52,FALSE)))))/(2*(((VLOOKUP('Hide - Control'!A$3,'All practice data'!A:CA,C22+52,FALSE)))+1.96^2))))</f>
        <v>0.4291367039754025</v>
      </c>
      <c r="J22" s="195">
        <f>IF(OR(LEFT(H22,1)=" ",VLOOKUP('Hide - Control'!A$3,'All practice data'!A:CA,C22+52,FALSE)=0)," n/a",+((2*G22+1.96^2+1.96*SQRT(1.96^2+4*G22*(1-G22/(VLOOKUP('Hide - Control'!A$3,'All practice data'!A:CA,C22+52,FALSE)))))/(2*((VLOOKUP('Hide - Control'!A$3,'All practice data'!A:CA,C22+52,FALSE))+1.96^2))))</f>
        <v>0.6168016137266525</v>
      </c>
      <c r="K22" s="221">
        <f>IF('Hide - Calculation'!N16="","",'Hide - Calculation'!N16)</f>
        <v>0.5872943094401141</v>
      </c>
      <c r="L22" s="196">
        <f>'Hide - Calculation'!O16</f>
        <v>0.5565049054289257</v>
      </c>
      <c r="M22" s="197" t="str">
        <f>IF(ISBLANK('Hide - Calculation'!K16),"",FIXED(100*'Hide - Calculation'!U16,1)&amp;"%")</f>
        <v>36.5%</v>
      </c>
      <c r="N22" s="198"/>
      <c r="O22" s="91"/>
      <c r="P22" s="91"/>
      <c r="Q22" s="91"/>
      <c r="R22" s="91"/>
      <c r="S22" s="91"/>
      <c r="T22" s="91"/>
      <c r="U22" s="91"/>
      <c r="V22" s="91"/>
      <c r="W22" s="91"/>
      <c r="X22" s="91"/>
      <c r="Y22" s="91"/>
      <c r="Z22" s="187"/>
      <c r="AA22" s="197" t="str">
        <f>IF(ISBLANK('Hide - Calculation'!K16),"",FIXED(100*'Hide - Calculation'!T16,1)&amp;"%")</f>
        <v>66.8%</v>
      </c>
      <c r="AB22" s="232" t="s">
        <v>48</v>
      </c>
      <c r="AC22" s="188" t="s">
        <v>858</v>
      </c>
    </row>
    <row r="23" spans="2:29" s="63" customFormat="1" ht="33.75" customHeight="1">
      <c r="B23" s="326" t="s">
        <v>133</v>
      </c>
      <c r="C23" s="162">
        <v>11</v>
      </c>
      <c r="D23" s="178" t="s">
        <v>144</v>
      </c>
      <c r="E23" s="164"/>
      <c r="F23" s="164"/>
      <c r="G23" s="117">
        <f>IF(VLOOKUP('Hide - Control'!A$3,'All practice data'!A:CA,C23+4,FALSE)=" "," ",VLOOKUP('Hide - Control'!A$3,'All practice data'!A:CA,C23+4,FALSE))</f>
        <v>50</v>
      </c>
      <c r="H23" s="214">
        <f>IF(VLOOKUP('Hide - Control'!A$3,'All practice data'!A:CA,C23+30,FALSE)=" "," ",VLOOKUP('Hide - Control'!A$3,'All practice data'!A:CA,C23+30,FALSE))</f>
        <v>1980.9825673534074</v>
      </c>
      <c r="I23" s="213">
        <f>IF(LEFT(G23,1)=" "," n/a",IF(G23&lt;5,100000*VLOOKUP(G23,'Hide - Calculation'!AQ:AR,2,FALSE)/$E$8,100000*(G23*(1-1/(9*G23)-1.96/(3*SQRT(G23)))^3)/$E$8))</f>
        <v>1470.2017295180133</v>
      </c>
      <c r="J23" s="213">
        <f>IF(LEFT(G23,1)=" "," n/a",IF(G23&lt;5,100000*VLOOKUP(G23,'Hide - Calculation'!AQ:AS,3,FALSE)/$E$8,100000*((G23+1)*(1-1/(9*(G23+1))+1.96/(3*SQRT(G23+1)))^3)/$E$8))</f>
        <v>2611.7457165671826</v>
      </c>
      <c r="K23" s="214">
        <f>IF('Hide - Calculation'!N17="","",'Hide - Calculation'!N17)</f>
        <v>2587.130035437113</v>
      </c>
      <c r="L23" s="215">
        <f>'Hide - Calculation'!O17</f>
        <v>1981.9429445600304</v>
      </c>
      <c r="M23" s="169" t="str">
        <f>IF(ISBLANK('Hide - Calculation'!K17),"",FIXED('Hide - Calculation'!U17,0))</f>
        <v>1,134</v>
      </c>
      <c r="N23" s="170"/>
      <c r="O23" s="171"/>
      <c r="P23" s="171"/>
      <c r="Q23" s="171"/>
      <c r="R23" s="172"/>
      <c r="S23" s="172"/>
      <c r="T23" s="172"/>
      <c r="U23" s="172"/>
      <c r="V23" s="172"/>
      <c r="W23" s="172"/>
      <c r="X23" s="172"/>
      <c r="Y23" s="172"/>
      <c r="Z23" s="173"/>
      <c r="AA23" s="169" t="str">
        <f>IF(ISBLANK('Hide - Calculation'!K17),"",FIXED('Hide - Calculation'!T17,0))</f>
        <v>4,091</v>
      </c>
      <c r="AB23" s="230" t="s">
        <v>26</v>
      </c>
      <c r="AC23" s="174" t="s">
        <v>858</v>
      </c>
    </row>
    <row r="24" spans="2:29" s="63" customFormat="1" ht="33.75" customHeight="1">
      <c r="B24" s="327"/>
      <c r="C24" s="136">
        <v>12</v>
      </c>
      <c r="D24" s="146" t="s">
        <v>215</v>
      </c>
      <c r="E24" s="85"/>
      <c r="F24" s="85"/>
      <c r="G24" s="117">
        <f>IF(VLOOKUP('Hide - Control'!A$3,'All practice data'!A:CA,C24+4,FALSE)=" "," ",VLOOKUP('Hide - Control'!A$3,'All practice data'!A:CA,C24+4,FALSE))</f>
        <v>50</v>
      </c>
      <c r="H24" s="118">
        <f>IF(VLOOKUP('Hide - Control'!A$3,'All practice data'!A:CA,C24+30,FALSE)=" "," ",VLOOKUP('Hide - Control'!A$3,'All practice data'!A:CA,C24+30,FALSE))</f>
        <v>1.1336</v>
      </c>
      <c r="I24" s="210">
        <f>IF(LEFT(VLOOKUP('Hide - Control'!A$3,'All practice data'!A:CA,C24+44,FALSE),1)=" "," n/a",VLOOKUP('Hide - Control'!A$3,'All practice data'!A:CA,C24+44,FALSE))</f>
        <v>0.8414</v>
      </c>
      <c r="J24" s="210">
        <f>IF(LEFT(VLOOKUP('Hide - Control'!A$3,'All practice data'!A:CA,C24+45,FALSE),1)=" "," n/a",VLOOKUP('Hide - Control'!A$3,'All practice data'!A:CA,C24+45,FALSE))</f>
        <v>1.4945</v>
      </c>
      <c r="K24" s="151" t="s">
        <v>266</v>
      </c>
      <c r="L24" s="211">
        <v>1</v>
      </c>
      <c r="M24" s="151" t="str">
        <f>IF(ISBLANK('Hide - Calculation'!K18),"",FIXED(100*'Hide - Calculation'!U18,1)&amp;"%")</f>
        <v>50.4%</v>
      </c>
      <c r="N24" s="86"/>
      <c r="O24" s="87"/>
      <c r="P24" s="87"/>
      <c r="Q24" s="87"/>
      <c r="R24" s="84"/>
      <c r="S24" s="84"/>
      <c r="T24" s="84"/>
      <c r="U24" s="84"/>
      <c r="V24" s="84"/>
      <c r="W24" s="84"/>
      <c r="X24" s="84"/>
      <c r="Y24" s="84"/>
      <c r="Z24" s="88"/>
      <c r="AA24" s="151" t="str">
        <f>IF(ISBLANK('Hide - Calculation'!K18),"",FIXED(100*'Hide - Calculation'!T18,1)&amp;"%")</f>
        <v>197.0%</v>
      </c>
      <c r="AB24" s="231" t="s">
        <v>26</v>
      </c>
      <c r="AC24" s="130" t="s">
        <v>858</v>
      </c>
    </row>
    <row r="25" spans="2:29" s="63" customFormat="1" ht="33.75" customHeight="1">
      <c r="B25" s="327"/>
      <c r="C25" s="136">
        <v>13</v>
      </c>
      <c r="D25" s="146" t="s">
        <v>140</v>
      </c>
      <c r="E25" s="85"/>
      <c r="F25" s="85"/>
      <c r="G25" s="117">
        <f>IF(VLOOKUP('Hide - Control'!A$3,'All practice data'!A:CA,C25+4,FALSE)=" "," ",VLOOKUP('Hide - Control'!A$3,'All practice data'!A:CA,C25+4,FALSE))</f>
        <v>8</v>
      </c>
      <c r="H25" s="118">
        <f>IF(VLOOKUP('Hide - Control'!A$3,'All practice data'!A:CA,C25+30,FALSE)=" "," ",VLOOKUP('Hide - Control'!A$3,'All practice data'!A:CA,C25+30,FALSE))</f>
        <v>0.16</v>
      </c>
      <c r="I25" s="119">
        <f>IF(LEFT(G25,1)=" "," n/a",IF(G25=0," n/a",+((2*G25+1.96^2-1.96*SQRT(1.96^2+4*G25*(1-G25/G23)))/(2*(G23+1.96^2)))))</f>
        <v>0.08337321362087696</v>
      </c>
      <c r="J25" s="119">
        <f>IF(LEFT(G25,1)=" "," n/a",IF(G25=0," n/a",+((2*G25+1.96^2+1.96*SQRT(1.96^2+4*G25*(1-G25/G23)))/(2*(G23+1.96^2)))))</f>
        <v>0.28514480961765976</v>
      </c>
      <c r="K25" s="124">
        <f>IF('Hide - Calculation'!N19="","",'Hide - Calculation'!N19)</f>
        <v>0.11983500462271532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22.9%</v>
      </c>
      <c r="AB25" s="231" t="s">
        <v>26</v>
      </c>
      <c r="AC25" s="130" t="s">
        <v>858</v>
      </c>
    </row>
    <row r="26" spans="2:29" s="63" customFormat="1" ht="33.75" customHeight="1">
      <c r="B26" s="327"/>
      <c r="C26" s="136">
        <v>14</v>
      </c>
      <c r="D26" s="146" t="s">
        <v>203</v>
      </c>
      <c r="E26" s="85"/>
      <c r="F26" s="85"/>
      <c r="G26" s="120">
        <f>IF(VLOOKUP('Hide - Control'!A$3,'All practice data'!A:CA,C26+4,FALSE)=" "," ",VLOOKUP('Hide - Control'!A$3,'All practice data'!A:CA,C26+4,FALSE))</f>
        <v>15</v>
      </c>
      <c r="H26" s="118">
        <f>IF(VLOOKUP('Hide - Control'!A$3,'All practice data'!A:CA,C26+30,FALSE)=" "," ",VLOOKUP('Hide - Control'!A$3,'All practice data'!A:CA,C26+30,FALSE))</f>
        <v>0.5333333333333333</v>
      </c>
      <c r="I26" s="119">
        <f>IF(OR(LEFT(G26,1)=" ",LEFT(G25,1)=" ")," n/a",IF(G26=0," n/a",+((2*G25+1.96^2-1.96*SQRT(1.96^2+4*G25*(1-G25/G26)))/(2*(G26+1.96^2)))))</f>
        <v>0.3011663015105079</v>
      </c>
      <c r="J26" s="119">
        <f>IF(OR(LEFT(G26,1)=" ",LEFT(G25,1)=" ")," n/a",IF(G26=0," n/a",+((2*G25+1.96^2+1.96*SQRT(1.96^2+4*G25*(1-G25/G26)))/(2*(G26+1.96^2)))))</f>
        <v>0.7519077474025355</v>
      </c>
      <c r="K26" s="124">
        <f>IF('Hide - Calculation'!N20="","",'Hide - Calculation'!N20)</f>
        <v>0.5066145520144317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69.2%</v>
      </c>
      <c r="AB26" s="231" t="s">
        <v>26</v>
      </c>
      <c r="AC26" s="130" t="s">
        <v>858</v>
      </c>
    </row>
    <row r="27" spans="2:29" s="63" customFormat="1" ht="33.75" customHeight="1">
      <c r="B27" s="327"/>
      <c r="C27" s="136">
        <v>15</v>
      </c>
      <c r="D27" s="146" t="s">
        <v>192</v>
      </c>
      <c r="E27" s="85"/>
      <c r="F27" s="85"/>
      <c r="G27" s="120">
        <f>IF(VLOOKUP('Hide - Control'!A$3,'All practice data'!A:CA,C27+4,FALSE)=" "," ",VLOOKUP('Hide - Control'!A$3,'All practice data'!A:CA,C27+4,FALSE))</f>
        <v>10</v>
      </c>
      <c r="H27" s="121">
        <f>IF(VLOOKUP('Hide - Control'!A$3,'All practice data'!A:CA,C27+30,FALSE)=" "," ",VLOOKUP('Hide - Control'!A$3,'All practice data'!A:CA,C27+30,FALSE))</f>
        <v>396.19651347068145</v>
      </c>
      <c r="I27" s="122">
        <f>IF(LEFT(G27,1)=" "," n/a",IF(G27&lt;5,100000*VLOOKUP(G27,'Hide - Calculation'!AQ:AR,2,FALSE)/$E$8,100000*(G27*(1-1/(9*G27)-1.96/(3*SQRT(G27)))^3)/$E$8))</f>
        <v>189.67433500529324</v>
      </c>
      <c r="J27" s="122">
        <f>IF(LEFT(G27,1)=" "," n/a",IF(G27&lt;5,100000*VLOOKUP(G27,'Hide - Calculation'!AQ:AS,3,FALSE)/$E$8,100000*((G27+1)*(1-1/(9*(G27+1))+1.96/(3*SQRT(G27+1)))^3)/$E$8))</f>
        <v>728.6698444552503</v>
      </c>
      <c r="K27" s="121">
        <f>IF('Hide - Calculation'!N21="","",'Hide - Calculation'!N21)</f>
        <v>430.1763759940239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702</v>
      </c>
      <c r="AB27" s="231" t="s">
        <v>26</v>
      </c>
      <c r="AC27" s="130" t="s">
        <v>858</v>
      </c>
    </row>
    <row r="28" spans="2:29" s="63" customFormat="1" ht="33.75" customHeight="1">
      <c r="B28" s="327"/>
      <c r="C28" s="136">
        <v>16</v>
      </c>
      <c r="D28" s="146" t="s">
        <v>193</v>
      </c>
      <c r="E28" s="85"/>
      <c r="F28" s="85"/>
      <c r="G28" s="120">
        <f>IF(VLOOKUP('Hide - Control'!A$3,'All practice data'!A:CA,C28+4,FALSE)=" "," ",VLOOKUP('Hide - Control'!A$3,'All practice data'!A:CA,C28+4,FALSE))</f>
        <v>6</v>
      </c>
      <c r="H28" s="121">
        <f>IF(VLOOKUP('Hide - Control'!A$3,'All practice data'!A:CA,C28+30,FALSE)=" "," ",VLOOKUP('Hide - Control'!A$3,'All practice data'!A:CA,C28+30,FALSE))</f>
        <v>237.71790808240888</v>
      </c>
      <c r="I28" s="122">
        <f>IF(LEFT(G28,1)=" "," n/a",IF(G28&lt;5,100000*VLOOKUP(G28,'Hide - Calculation'!AQ:AR,2,FALSE)/$E$8,100000*(G28*(1-1/(9*G28)-1.96/(3*SQRT(G28)))^3)/$E$8))</f>
        <v>86.80430826797462</v>
      </c>
      <c r="J28" s="122">
        <f>IF(LEFT(G28,1)=" "," n/a",IF(G28&lt;5,100000*VLOOKUP(G28,'Hide - Calculation'!AQ:AS,3,FALSE)/$E$8,100000*((G28+1)*(1-1/(9*(G28+1))+1.96/(3*SQRT(G28+1)))^3)/$E$8))</f>
        <v>517.4284971742377</v>
      </c>
      <c r="K28" s="121">
        <f>IF('Hide - Calculation'!N22="","",'Hide - Calculation'!N22)</f>
        <v>464.5831263408513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809</v>
      </c>
      <c r="AB28" s="231" t="s">
        <v>26</v>
      </c>
      <c r="AC28" s="130" t="s">
        <v>858</v>
      </c>
    </row>
    <row r="29" spans="2:29" s="63" customFormat="1" ht="33.75" customHeight="1">
      <c r="B29" s="327"/>
      <c r="C29" s="136">
        <v>17</v>
      </c>
      <c r="D29" s="146" t="s">
        <v>194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82.06101954377017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235</v>
      </c>
      <c r="AB29" s="231" t="s">
        <v>26</v>
      </c>
      <c r="AC29" s="130" t="s">
        <v>858</v>
      </c>
    </row>
    <row r="30" spans="2:29" s="63" customFormat="1" ht="33.75" customHeight="1" thickBot="1">
      <c r="B30" s="328"/>
      <c r="C30" s="179">
        <v>18</v>
      </c>
      <c r="D30" s="180" t="s">
        <v>195</v>
      </c>
      <c r="E30" s="181"/>
      <c r="F30" s="181"/>
      <c r="G30" s="182">
        <f>IF(VLOOKUP('Hide - Control'!A$3,'All practice data'!A:CA,C30+4,FALSE)=" "," ",VLOOKUP('Hide - Control'!A$3,'All practice data'!A:CA,C30+4,FALSE))</f>
        <v>10</v>
      </c>
      <c r="H30" s="183">
        <f>IF(VLOOKUP('Hide - Control'!A$3,'All practice data'!A:CA,C30+30,FALSE)=" "," ",VLOOKUP('Hide - Control'!A$3,'All practice data'!A:CA,C30+30,FALSE))</f>
        <v>396.19651347068145</v>
      </c>
      <c r="I30" s="184">
        <f>IF(LEFT(G30,1)=" "," n/a",IF(G30&lt;5,100000*VLOOKUP(G30,'Hide - Calculation'!AQ:AR,2,FALSE)/$E$8,100000*(G30*(1-1/(9*G30)-1.96/(3*SQRT(G30)))^3)/$E$8))</f>
        <v>189.67433500529324</v>
      </c>
      <c r="J30" s="184">
        <f>IF(LEFT(G30,1)=" "," n/a",IF(G30&lt;5,100000*VLOOKUP(G30,'Hide - Calculation'!AQ:AS,3,FALSE)/$E$8,100000*((G30+1)*(1-1/(9*(G30+1))+1.96/(3*SQRT(G30+1)))^3)/$E$8))</f>
        <v>728.6698444552503</v>
      </c>
      <c r="K30" s="183">
        <f>IF('Hide - Calculation'!N24="","",'Hide - Calculation'!N24)</f>
        <v>431.0963425808375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956</v>
      </c>
      <c r="AB30" s="232" t="s">
        <v>26</v>
      </c>
      <c r="AC30" s="188" t="s">
        <v>858</v>
      </c>
    </row>
    <row r="31" spans="2:29" s="63" customFormat="1" ht="33.75" customHeight="1">
      <c r="B31" s="329" t="s">
        <v>141</v>
      </c>
      <c r="C31" s="162">
        <v>19</v>
      </c>
      <c r="D31" s="163" t="s">
        <v>145</v>
      </c>
      <c r="E31" s="164"/>
      <c r="F31" s="164"/>
      <c r="G31" s="165">
        <f>IF(VLOOKUP('Hide - Control'!A$3,'All practice data'!A:CA,C31+4,FALSE)=" "," ",VLOOKUP('Hide - Control'!A$3,'All practice data'!A:CA,C31+4,FALSE))</f>
        <v>8</v>
      </c>
      <c r="H31" s="166">
        <f>IF(VLOOKUP('Hide - Control'!A$3,'All practice data'!A:CA,C31+30,FALSE)=" "," ",VLOOKUP('Hide - Control'!A$3,'All practice data'!A:CA,C31+30,FALSE))</f>
        <v>316.95721077654514</v>
      </c>
      <c r="I31" s="167">
        <f>IF(LEFT(G31,1)=" "," n/a",IF(G31&lt;5,100000*VLOOKUP(G31,'Hide - Calculation'!AQ:AR,2,FALSE)/$E$8,100000*(G31*(1-1/(9*G31)-1.96/(3*SQRT(G31)))^3)/$E$8))</f>
        <v>136.47514119095538</v>
      </c>
      <c r="J31" s="167">
        <f>IF(LEFT(G31,1)=" "," n/a",IF(G31&lt;5,100000*VLOOKUP(G31,'Hide - Calculation'!AQ:AS,3,FALSE)/$E$8,100000*((G31+1)*(1-1/(9*(G31+1))+1.96/(3*SQRT(G31+1)))^3)/$E$8))</f>
        <v>624.5704236125689</v>
      </c>
      <c r="K31" s="166">
        <f>IF('Hide - Calculation'!N25="","",'Hide - Calculation'!N25)</f>
        <v>615.0896599435508</v>
      </c>
      <c r="L31" s="168">
        <f>'Hide - Calculation'!O25</f>
        <v>623.2878522577265</v>
      </c>
      <c r="M31" s="169" t="str">
        <f>IF(ISBLANK('Hide - Calculation'!K25),"",FIXED('Hide - Calculation'!U25,0))</f>
        <v>317</v>
      </c>
      <c r="N31" s="170"/>
      <c r="O31" s="171"/>
      <c r="P31" s="171"/>
      <c r="Q31" s="171"/>
      <c r="R31" s="172"/>
      <c r="S31" s="172"/>
      <c r="T31" s="172"/>
      <c r="U31" s="172"/>
      <c r="V31" s="172"/>
      <c r="W31" s="172"/>
      <c r="X31" s="172"/>
      <c r="Y31" s="172"/>
      <c r="Z31" s="173"/>
      <c r="AA31" s="169" t="str">
        <f>IF(ISBLANK('Hide - Calculation'!K25),"",FIXED('Hide - Calculation'!T25,0))</f>
        <v>1,273</v>
      </c>
      <c r="AB31" s="230" t="s">
        <v>47</v>
      </c>
      <c r="AC31" s="174" t="s">
        <v>858</v>
      </c>
    </row>
    <row r="32" spans="2:29" s="63" customFormat="1" ht="33.75" customHeight="1">
      <c r="B32" s="330"/>
      <c r="C32" s="136">
        <v>20</v>
      </c>
      <c r="D32" s="131" t="s">
        <v>146</v>
      </c>
      <c r="E32" s="85"/>
      <c r="F32" s="85"/>
      <c r="G32" s="120">
        <f>IF(VLOOKUP('Hide - Control'!A$3,'All practice data'!A:CA,C32+4,FALSE)=" "," ",VLOOKUP('Hide - Control'!A$3,'All practice data'!A:CA,C32+4,FALSE))</f>
        <v>14</v>
      </c>
      <c r="H32" s="121">
        <f>IF(VLOOKUP('Hide - Control'!A$3,'All practice data'!A:CA,C32+30,FALSE)=" "," ",VLOOKUP('Hide - Control'!A$3,'All practice data'!A:CA,C32+30,FALSE))</f>
        <v>554.6751188589541</v>
      </c>
      <c r="I32" s="122">
        <f>IF(LEFT(G32,1)=" "," n/a",IF(G32&lt;5,100000*VLOOKUP(G32,'Hide - Calculation'!AQ:AR,2,FALSE)/$E$8,100000*(G32*(1-1/(9*G32)-1.96/(3*SQRT(G32)))^3)/$E$8))</f>
        <v>302.9889322798812</v>
      </c>
      <c r="J32" s="122">
        <f>IF(LEFT(G32,1)=" "," n/a",IF(G32&lt;5,100000*VLOOKUP(G32,'Hide - Calculation'!AQ:AS,3,FALSE)/$E$8,100000*((G32+1)*(1-1/(9*(G32+1))+1.96/(3*SQRT(G32+1)))^3)/$E$8))</f>
        <v>930.7125945888571</v>
      </c>
      <c r="K32" s="121">
        <f>IF('Hide - Calculation'!N26="","",'Hide - Calculation'!N26)</f>
        <v>623.5533525422356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1,213</v>
      </c>
      <c r="AB32" s="231" t="s">
        <v>47</v>
      </c>
      <c r="AC32" s="130" t="s">
        <v>858</v>
      </c>
    </row>
    <row r="33" spans="2:29" s="63" customFormat="1" ht="33.75" customHeight="1">
      <c r="B33" s="330"/>
      <c r="C33" s="136">
        <v>21</v>
      </c>
      <c r="D33" s="131" t="s">
        <v>148</v>
      </c>
      <c r="E33" s="85"/>
      <c r="F33" s="85"/>
      <c r="G33" s="120">
        <f>IF(VLOOKUP('Hide - Control'!A$3,'All practice data'!A:CA,C33+4,FALSE)=" "," ",VLOOKUP('Hide - Control'!A$3,'All practice data'!A:CA,C33+4,FALSE))</f>
        <v>13</v>
      </c>
      <c r="H33" s="121">
        <f>IF(VLOOKUP('Hide - Control'!A$3,'All practice data'!A:CA,C33+30,FALSE)=" "," ",VLOOKUP('Hide - Control'!A$3,'All practice data'!A:CA,C33+30,FALSE))</f>
        <v>515.0554675118859</v>
      </c>
      <c r="I33" s="122">
        <f>IF(LEFT(G33,1)=" "," n/a",IF(G33&lt;5,100000*VLOOKUP(G33,'Hide - Calculation'!AQ:AR,2,FALSE)/$E$8,100000*(G33*(1-1/(9*G33)-1.96/(3*SQRT(G33)))^3)/$E$8))</f>
        <v>273.9760575778339</v>
      </c>
      <c r="J33" s="122">
        <f>IF(LEFT(G33,1)=" "," n/a",IF(G33&lt;5,100000*VLOOKUP(G33,'Hide - Calculation'!AQ:AS,3,FALSE)/$E$8,100000*((G33+1)*(1-1/(9*(G33+1))+1.96/(3*SQRT(G33+1)))^3)/$E$8))</f>
        <v>880.8205400654666</v>
      </c>
      <c r="K33" s="121">
        <f>IF('Hide - Calculation'!N27="","",'Hide - Calculation'!N27)</f>
        <v>1020.9789180456966</v>
      </c>
      <c r="L33" s="155">
        <f>'Hide - Calculation'!O27</f>
        <v>1003.4847591501348</v>
      </c>
      <c r="M33" s="147" t="str">
        <f>IF(ISBLANK('Hide - Calculation'!K27),"",FIXED('Hide - Calculation'!U27,0))</f>
        <v>464</v>
      </c>
      <c r="N33" s="86"/>
      <c r="O33" s="87"/>
      <c r="P33" s="87"/>
      <c r="Q33" s="87"/>
      <c r="R33" s="84"/>
      <c r="S33" s="84"/>
      <c r="T33" s="84"/>
      <c r="U33" s="84"/>
      <c r="V33" s="84"/>
      <c r="W33" s="84"/>
      <c r="X33" s="84"/>
      <c r="Y33" s="84"/>
      <c r="Z33" s="88"/>
      <c r="AA33" s="147" t="str">
        <f>IF(ISBLANK('Hide - Calculation'!K27),"",FIXED('Hide - Calculation'!T27,0))</f>
        <v>1,801</v>
      </c>
      <c r="AB33" s="231" t="s">
        <v>47</v>
      </c>
      <c r="AC33" s="130" t="s">
        <v>858</v>
      </c>
    </row>
    <row r="34" spans="2:29" s="63" customFormat="1" ht="33.75" customHeight="1">
      <c r="B34" s="330"/>
      <c r="C34" s="136">
        <v>22</v>
      </c>
      <c r="D34" s="131" t="s">
        <v>147</v>
      </c>
      <c r="E34" s="85"/>
      <c r="F34" s="85"/>
      <c r="G34" s="117">
        <f>IF(VLOOKUP('Hide - Control'!A$3,'All practice data'!A:CA,C34+4,FALSE)=" "," ",VLOOKUP('Hide - Control'!A$3,'All practice data'!A:CA,C34+4,FALSE))</f>
        <v>11</v>
      </c>
      <c r="H34" s="121">
        <f>IF(VLOOKUP('Hide - Control'!A$3,'All practice data'!A:CA,C34+30,FALSE)=" "," ",VLOOKUP('Hide - Control'!A$3,'All practice data'!A:CA,C34+30,FALSE))</f>
        <v>435.8161648177496</v>
      </c>
      <c r="I34" s="122">
        <f>IF(LEFT(G34,1)=" "," n/a",IF(G34&lt;5,100000*VLOOKUP(G34,'Hide - Calculation'!AQ:AR,2,FALSE)/$E$8,100000*(G34*(1-1/(9*G34)-1.96/(3*SQRT(G34)))^3)/$E$8))</f>
        <v>217.25891834353348</v>
      </c>
      <c r="J34" s="122">
        <f>IF(LEFT(G34,1)=" "," n/a",IF(G34&lt;5,100000*VLOOKUP(G34,'Hide - Calculation'!AQ:AS,3,FALSE)/$E$8,100000*((G34+1)*(1-1/(9*(G34+1))+1.96/(3*SQRT(G34+1)))^3)/$E$8))</f>
        <v>779.8498668547475</v>
      </c>
      <c r="K34" s="121">
        <f>IF('Hide - Calculation'!N28="","",'Hide - Calculation'!N28)</f>
        <v>689.6069534754498</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1,689</v>
      </c>
      <c r="AB34" s="231" t="s">
        <v>47</v>
      </c>
      <c r="AC34" s="130" t="s">
        <v>862</v>
      </c>
    </row>
    <row r="35" spans="2:29" s="63" customFormat="1" ht="33.75" customHeight="1">
      <c r="B35" s="330"/>
      <c r="C35" s="136">
        <v>23</v>
      </c>
      <c r="D35" s="137" t="s">
        <v>196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0.23771580345285526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52.2%</v>
      </c>
      <c r="AB35" s="231" t="s">
        <v>134</v>
      </c>
      <c r="AC35" s="130" t="s">
        <v>863</v>
      </c>
    </row>
    <row r="36" spans="2:29" ht="33.75" customHeight="1">
      <c r="B36" s="327"/>
      <c r="C36" s="136">
        <v>24</v>
      </c>
      <c r="D36" s="222" t="s">
        <v>197</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0.47775564409030546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134</v>
      </c>
      <c r="AC36" s="130" t="s">
        <v>863</v>
      </c>
    </row>
    <row r="37" spans="2:29" ht="33.75" customHeight="1" thickBot="1">
      <c r="B37" s="331"/>
      <c r="C37" s="175">
        <v>25</v>
      </c>
      <c r="D37" s="176" t="s">
        <v>149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0.28452855245683933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48.7%</v>
      </c>
      <c r="AB37" s="233" t="s">
        <v>134</v>
      </c>
      <c r="AC37" s="148" t="s">
        <v>863</v>
      </c>
    </row>
    <row r="38" spans="2:29" ht="23.25" customHeight="1">
      <c r="B38" s="69"/>
      <c r="C38" s="69"/>
      <c r="D38" s="65" t="s">
        <v>132</v>
      </c>
      <c r="E38" s="303" t="s">
        <v>867</v>
      </c>
      <c r="F38" s="303"/>
      <c r="G38" s="303"/>
      <c r="H38" s="303"/>
      <c r="I38" s="110"/>
      <c r="J38" s="299" t="s">
        <v>878</v>
      </c>
      <c r="K38" s="92"/>
      <c r="L38" s="110"/>
      <c r="M38" s="65"/>
      <c r="N38" s="65"/>
      <c r="O38" s="65"/>
      <c r="P38" s="65"/>
      <c r="Q38" s="65"/>
      <c r="R38" s="66"/>
      <c r="S38" s="66"/>
      <c r="T38" s="66"/>
      <c r="U38" s="66"/>
      <c r="V38" s="66"/>
      <c r="W38" s="66"/>
      <c r="X38" s="66"/>
      <c r="Y38" s="66"/>
      <c r="Z38" s="66"/>
      <c r="AA38" s="66"/>
      <c r="AB38" s="82"/>
      <c r="AC38" s="83"/>
    </row>
    <row r="39" spans="2:29" ht="23.25" customHeight="1">
      <c r="B39" s="242" t="s">
        <v>865</v>
      </c>
      <c r="C39" s="241"/>
      <c r="D39" s="241"/>
      <c r="E39" s="304"/>
      <c r="F39" s="304"/>
      <c r="G39" s="304"/>
      <c r="H39" s="304"/>
      <c r="I39" s="241"/>
      <c r="J39" s="299" t="s">
        <v>864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214</v>
      </c>
      <c r="BE2" s="342"/>
      <c r="BF2" s="342"/>
      <c r="BG2" s="342"/>
      <c r="BH2" s="342"/>
      <c r="BI2" s="342"/>
      <c r="BJ2" s="343"/>
    </row>
    <row r="3" spans="1:82" s="72" customFormat="1" ht="76.5" customHeight="1">
      <c r="A3" s="263" t="s">
        <v>51</v>
      </c>
      <c r="B3" s="272" t="s">
        <v>52</v>
      </c>
      <c r="C3" s="273" t="s">
        <v>49</v>
      </c>
      <c r="D3" s="271" t="s">
        <v>876</v>
      </c>
      <c r="E3" s="264" t="s">
        <v>154</v>
      </c>
      <c r="F3" s="264" t="s">
        <v>877</v>
      </c>
      <c r="G3" s="264" t="s">
        <v>156</v>
      </c>
      <c r="H3" s="264" t="s">
        <v>157</v>
      </c>
      <c r="I3" s="264" t="s">
        <v>158</v>
      </c>
      <c r="J3" s="264" t="s">
        <v>221</v>
      </c>
      <c r="K3" s="264" t="s">
        <v>222</v>
      </c>
      <c r="L3" s="264" t="s">
        <v>223</v>
      </c>
      <c r="M3" s="264" t="s">
        <v>159</v>
      </c>
      <c r="N3" s="264" t="s">
        <v>160</v>
      </c>
      <c r="O3" s="264" t="s">
        <v>161</v>
      </c>
      <c r="P3" s="264" t="s">
        <v>213</v>
      </c>
      <c r="Q3" s="264" t="s">
        <v>162</v>
      </c>
      <c r="R3" s="264" t="s">
        <v>163</v>
      </c>
      <c r="S3" s="264" t="s">
        <v>164</v>
      </c>
      <c r="T3" s="264" t="s">
        <v>165</v>
      </c>
      <c r="U3" s="264" t="s">
        <v>166</v>
      </c>
      <c r="V3" s="264" t="s">
        <v>167</v>
      </c>
      <c r="W3" s="264" t="s">
        <v>168</v>
      </c>
      <c r="X3" s="264" t="s">
        <v>169</v>
      </c>
      <c r="Y3" s="264" t="s">
        <v>170</v>
      </c>
      <c r="Z3" s="264" t="s">
        <v>171</v>
      </c>
      <c r="AA3" s="264" t="s">
        <v>172</v>
      </c>
      <c r="AB3" s="264" t="s">
        <v>173</v>
      </c>
      <c r="AC3" s="264" t="s">
        <v>174</v>
      </c>
      <c r="AD3" s="265" t="s">
        <v>175</v>
      </c>
      <c r="AE3" s="265" t="s">
        <v>154</v>
      </c>
      <c r="AF3" s="266" t="s">
        <v>155</v>
      </c>
      <c r="AG3" s="265" t="s">
        <v>156</v>
      </c>
      <c r="AH3" s="265" t="s">
        <v>157</v>
      </c>
      <c r="AI3" s="265" t="s">
        <v>158</v>
      </c>
      <c r="AJ3" s="265" t="s">
        <v>221</v>
      </c>
      <c r="AK3" s="265" t="s">
        <v>222</v>
      </c>
      <c r="AL3" s="265" t="s">
        <v>223</v>
      </c>
      <c r="AM3" s="265" t="s">
        <v>159</v>
      </c>
      <c r="AN3" s="265" t="s">
        <v>160</v>
      </c>
      <c r="AO3" s="265" t="s">
        <v>161</v>
      </c>
      <c r="AP3" s="265" t="s">
        <v>213</v>
      </c>
      <c r="AQ3" s="265" t="s">
        <v>162</v>
      </c>
      <c r="AR3" s="265" t="s">
        <v>163</v>
      </c>
      <c r="AS3" s="265" t="s">
        <v>164</v>
      </c>
      <c r="AT3" s="265" t="s">
        <v>165</v>
      </c>
      <c r="AU3" s="265" t="s">
        <v>166</v>
      </c>
      <c r="AV3" s="265" t="s">
        <v>167</v>
      </c>
      <c r="AW3" s="265" t="s">
        <v>168</v>
      </c>
      <c r="AX3" s="265" t="s">
        <v>169</v>
      </c>
      <c r="AY3" s="267" t="s">
        <v>170</v>
      </c>
      <c r="AZ3" s="268" t="s">
        <v>171</v>
      </c>
      <c r="BA3" s="268" t="s">
        <v>172</v>
      </c>
      <c r="BB3" s="268" t="s">
        <v>173</v>
      </c>
      <c r="BC3" s="269" t="s">
        <v>174</v>
      </c>
      <c r="BD3" s="270" t="s">
        <v>211</v>
      </c>
      <c r="BE3" s="270" t="s">
        <v>212</v>
      </c>
      <c r="BF3" s="270" t="s">
        <v>217</v>
      </c>
      <c r="BG3" s="270" t="s">
        <v>218</v>
      </c>
      <c r="BH3" s="270" t="s">
        <v>216</v>
      </c>
      <c r="BI3" s="270" t="s">
        <v>219</v>
      </c>
      <c r="BJ3" s="270" t="s">
        <v>220</v>
      </c>
      <c r="BK3" s="73"/>
      <c r="BL3" s="73"/>
      <c r="BM3" s="73"/>
      <c r="BN3" s="73"/>
      <c r="BO3" s="73"/>
      <c r="BP3" s="73"/>
      <c r="BQ3" s="73"/>
      <c r="BR3" s="73"/>
      <c r="BS3" s="73"/>
      <c r="BT3" s="73"/>
      <c r="BU3" s="73"/>
      <c r="BV3" s="73"/>
      <c r="BW3" s="73"/>
      <c r="BX3" s="73"/>
      <c r="BY3" s="73"/>
      <c r="BZ3" s="73"/>
      <c r="CA3" s="73"/>
      <c r="CB3" s="73"/>
      <c r="CC3" s="73"/>
      <c r="CD3" s="73"/>
    </row>
    <row r="4" spans="1:66" ht="12.75">
      <c r="A4" s="79" t="s">
        <v>264</v>
      </c>
      <c r="B4" s="79" t="s">
        <v>130</v>
      </c>
      <c r="C4" s="79" t="s">
        <v>284</v>
      </c>
      <c r="D4" s="99">
        <v>2524</v>
      </c>
      <c r="E4" s="99">
        <v>343</v>
      </c>
      <c r="F4" s="99" t="s">
        <v>153</v>
      </c>
      <c r="G4" s="99">
        <v>10</v>
      </c>
      <c r="H4" s="99" t="s">
        <v>868</v>
      </c>
      <c r="I4" s="99">
        <v>25</v>
      </c>
      <c r="J4" s="99">
        <v>150</v>
      </c>
      <c r="K4" s="99" t="s">
        <v>868</v>
      </c>
      <c r="L4" s="99">
        <v>485</v>
      </c>
      <c r="M4" s="99">
        <v>125</v>
      </c>
      <c r="N4" s="99">
        <v>55</v>
      </c>
      <c r="O4" s="99">
        <v>50</v>
      </c>
      <c r="P4" s="158">
        <v>50</v>
      </c>
      <c r="Q4" s="99">
        <v>8</v>
      </c>
      <c r="R4" s="99">
        <v>15</v>
      </c>
      <c r="S4" s="99">
        <v>10</v>
      </c>
      <c r="T4" s="99">
        <v>6</v>
      </c>
      <c r="U4" s="99" t="s">
        <v>868</v>
      </c>
      <c r="V4" s="99">
        <v>10</v>
      </c>
      <c r="W4" s="99">
        <v>8</v>
      </c>
      <c r="X4" s="99">
        <v>14</v>
      </c>
      <c r="Y4" s="99">
        <v>13</v>
      </c>
      <c r="Z4" s="99">
        <v>11</v>
      </c>
      <c r="AA4" s="99" t="s">
        <v>868</v>
      </c>
      <c r="AB4" s="99" t="s">
        <v>868</v>
      </c>
      <c r="AC4" s="99" t="s">
        <v>868</v>
      </c>
      <c r="AD4" s="98" t="s">
        <v>132</v>
      </c>
      <c r="AE4" s="100">
        <v>0.13589540412044374</v>
      </c>
      <c r="AF4" s="100">
        <v>0.08</v>
      </c>
      <c r="AG4" s="98">
        <v>396.19651347068145</v>
      </c>
      <c r="AH4" s="98" t="s">
        <v>868</v>
      </c>
      <c r="AI4" s="100">
        <v>0.009899999999999999</v>
      </c>
      <c r="AJ4" s="100">
        <v>0.612245</v>
      </c>
      <c r="AK4" s="100" t="s">
        <v>868</v>
      </c>
      <c r="AL4" s="100">
        <v>0.754277</v>
      </c>
      <c r="AM4" s="100">
        <v>0.586854</v>
      </c>
      <c r="AN4" s="100">
        <v>0.52381</v>
      </c>
      <c r="AO4" s="98">
        <v>1980.9825673534074</v>
      </c>
      <c r="AP4" s="157">
        <v>1.1336</v>
      </c>
      <c r="AQ4" s="100">
        <v>0.16</v>
      </c>
      <c r="AR4" s="100">
        <v>0.5333333333333333</v>
      </c>
      <c r="AS4" s="98">
        <v>396.19651347068145</v>
      </c>
      <c r="AT4" s="98">
        <v>237.71790808240888</v>
      </c>
      <c r="AU4" s="98" t="s">
        <v>868</v>
      </c>
      <c r="AV4" s="98">
        <v>396.19651347068145</v>
      </c>
      <c r="AW4" s="98">
        <v>316.95721077654514</v>
      </c>
      <c r="AX4" s="98">
        <v>554.6751188589541</v>
      </c>
      <c r="AY4" s="98">
        <v>515.0554675118859</v>
      </c>
      <c r="AZ4" s="98">
        <v>435.8161648177496</v>
      </c>
      <c r="BA4" s="100" t="s">
        <v>868</v>
      </c>
      <c r="BB4" s="100" t="s">
        <v>868</v>
      </c>
      <c r="BC4" s="100" t="s">
        <v>868</v>
      </c>
      <c r="BD4" s="157">
        <v>0.8414</v>
      </c>
      <c r="BE4" s="157">
        <v>1.4945</v>
      </c>
      <c r="BF4" s="161">
        <v>245</v>
      </c>
      <c r="BG4" s="161" t="s">
        <v>868</v>
      </c>
      <c r="BH4" s="161">
        <v>643</v>
      </c>
      <c r="BI4" s="161">
        <v>213</v>
      </c>
      <c r="BJ4" s="161">
        <v>105</v>
      </c>
      <c r="BK4" s="97"/>
      <c r="BL4" s="97"/>
      <c r="BM4" s="97"/>
      <c r="BN4" s="97"/>
    </row>
    <row r="5" spans="1:66" ht="12.75">
      <c r="A5" s="79" t="s">
        <v>252</v>
      </c>
      <c r="B5" s="79" t="s">
        <v>110</v>
      </c>
      <c r="C5" s="79" t="s">
        <v>284</v>
      </c>
      <c r="D5" s="99">
        <v>8497</v>
      </c>
      <c r="E5" s="99">
        <v>1679</v>
      </c>
      <c r="F5" s="99" t="s">
        <v>153</v>
      </c>
      <c r="G5" s="99">
        <v>40</v>
      </c>
      <c r="H5" s="99">
        <v>24</v>
      </c>
      <c r="I5" s="99">
        <v>211</v>
      </c>
      <c r="J5" s="99">
        <v>1107</v>
      </c>
      <c r="K5" s="99">
        <v>1085</v>
      </c>
      <c r="L5" s="99">
        <v>1686</v>
      </c>
      <c r="M5" s="99">
        <v>836</v>
      </c>
      <c r="N5" s="99">
        <v>435</v>
      </c>
      <c r="O5" s="99">
        <v>195</v>
      </c>
      <c r="P5" s="158">
        <v>195</v>
      </c>
      <c r="Q5" s="99">
        <v>24</v>
      </c>
      <c r="R5" s="99">
        <v>51</v>
      </c>
      <c r="S5" s="99">
        <v>40</v>
      </c>
      <c r="T5" s="99">
        <v>34</v>
      </c>
      <c r="U5" s="99" t="s">
        <v>868</v>
      </c>
      <c r="V5" s="99">
        <v>24</v>
      </c>
      <c r="W5" s="99">
        <v>29</v>
      </c>
      <c r="X5" s="99">
        <v>39</v>
      </c>
      <c r="Y5" s="99">
        <v>105</v>
      </c>
      <c r="Z5" s="99">
        <v>43</v>
      </c>
      <c r="AA5" s="99">
        <v>12</v>
      </c>
      <c r="AB5" s="99">
        <v>25</v>
      </c>
      <c r="AC5" s="99">
        <v>12</v>
      </c>
      <c r="AD5" s="98" t="s">
        <v>132</v>
      </c>
      <c r="AE5" s="100">
        <v>0.19759915264210898</v>
      </c>
      <c r="AF5" s="100">
        <v>0.07</v>
      </c>
      <c r="AG5" s="98">
        <v>470.7543839002001</v>
      </c>
      <c r="AH5" s="98">
        <v>282.45263034012004</v>
      </c>
      <c r="AI5" s="100">
        <v>0.0248</v>
      </c>
      <c r="AJ5" s="100">
        <v>0.822437</v>
      </c>
      <c r="AK5" s="100">
        <v>0.835258</v>
      </c>
      <c r="AL5" s="100">
        <v>0.824853</v>
      </c>
      <c r="AM5" s="100">
        <v>0.65109</v>
      </c>
      <c r="AN5" s="100">
        <v>0.615276</v>
      </c>
      <c r="AO5" s="98">
        <v>2294.9276215134755</v>
      </c>
      <c r="AP5" s="157">
        <v>1.0127</v>
      </c>
      <c r="AQ5" s="100">
        <v>0.12307692307692308</v>
      </c>
      <c r="AR5" s="100">
        <v>0.47058823529411764</v>
      </c>
      <c r="AS5" s="98">
        <v>470.7543839002001</v>
      </c>
      <c r="AT5" s="98">
        <v>400.14122631517006</v>
      </c>
      <c r="AU5" s="98" t="s">
        <v>868</v>
      </c>
      <c r="AV5" s="98">
        <v>282.45263034012004</v>
      </c>
      <c r="AW5" s="98">
        <v>341.29692832764505</v>
      </c>
      <c r="AX5" s="98">
        <v>458.98552430269507</v>
      </c>
      <c r="AY5" s="98">
        <v>1235.730257738025</v>
      </c>
      <c r="AZ5" s="98">
        <v>506.06096269271507</v>
      </c>
      <c r="BA5" s="100">
        <v>0.24489795918367346</v>
      </c>
      <c r="BB5" s="100">
        <v>0.5102040816326531</v>
      </c>
      <c r="BC5" s="100">
        <v>0.24489795918367346</v>
      </c>
      <c r="BD5" s="157">
        <v>0.8755</v>
      </c>
      <c r="BE5" s="157">
        <v>1.1652</v>
      </c>
      <c r="BF5" s="161">
        <v>1346</v>
      </c>
      <c r="BG5" s="161">
        <v>1299</v>
      </c>
      <c r="BH5" s="161">
        <v>2044</v>
      </c>
      <c r="BI5" s="161">
        <v>1284</v>
      </c>
      <c r="BJ5" s="161">
        <v>707</v>
      </c>
      <c r="BK5" s="97"/>
      <c r="BL5" s="97"/>
      <c r="BM5" s="97"/>
      <c r="BN5" s="97"/>
    </row>
    <row r="6" spans="1:66" ht="12.75">
      <c r="A6" s="79" t="s">
        <v>236</v>
      </c>
      <c r="B6" s="79" t="s">
        <v>76</v>
      </c>
      <c r="C6" s="79" t="s">
        <v>284</v>
      </c>
      <c r="D6" s="99">
        <v>8779</v>
      </c>
      <c r="E6" s="99">
        <v>1949</v>
      </c>
      <c r="F6" s="99" t="s">
        <v>151</v>
      </c>
      <c r="G6" s="99">
        <v>51</v>
      </c>
      <c r="H6" s="99">
        <v>20</v>
      </c>
      <c r="I6" s="99">
        <v>215</v>
      </c>
      <c r="J6" s="99">
        <v>1129</v>
      </c>
      <c r="K6" s="99">
        <v>1072</v>
      </c>
      <c r="L6" s="99">
        <v>1857</v>
      </c>
      <c r="M6" s="99">
        <v>917</v>
      </c>
      <c r="N6" s="99">
        <v>438</v>
      </c>
      <c r="O6" s="99">
        <v>182</v>
      </c>
      <c r="P6" s="158">
        <v>182</v>
      </c>
      <c r="Q6" s="99">
        <v>17</v>
      </c>
      <c r="R6" s="99">
        <v>61</v>
      </c>
      <c r="S6" s="99">
        <v>27</v>
      </c>
      <c r="T6" s="99">
        <v>31</v>
      </c>
      <c r="U6" s="99">
        <v>7</v>
      </c>
      <c r="V6" s="99">
        <v>41</v>
      </c>
      <c r="W6" s="99">
        <v>88</v>
      </c>
      <c r="X6" s="99">
        <v>28</v>
      </c>
      <c r="Y6" s="99">
        <v>119</v>
      </c>
      <c r="Z6" s="99">
        <v>57</v>
      </c>
      <c r="AA6" s="99">
        <v>6</v>
      </c>
      <c r="AB6" s="99">
        <v>14</v>
      </c>
      <c r="AC6" s="99">
        <v>15</v>
      </c>
      <c r="AD6" s="98" t="s">
        <v>132</v>
      </c>
      <c r="AE6" s="100">
        <v>0.22200706230777992</v>
      </c>
      <c r="AF6" s="100">
        <v>0.09</v>
      </c>
      <c r="AG6" s="98">
        <v>580.9317689941906</v>
      </c>
      <c r="AH6" s="98">
        <v>227.81637999772184</v>
      </c>
      <c r="AI6" s="100">
        <v>0.0245</v>
      </c>
      <c r="AJ6" s="100">
        <v>0.78951</v>
      </c>
      <c r="AK6" s="100">
        <v>0.787078</v>
      </c>
      <c r="AL6" s="100">
        <v>0.85853</v>
      </c>
      <c r="AM6" s="100">
        <v>0.661616</v>
      </c>
      <c r="AN6" s="100">
        <v>0.625714</v>
      </c>
      <c r="AO6" s="98">
        <v>2073.1290579792685</v>
      </c>
      <c r="AP6" s="157">
        <v>0.8797</v>
      </c>
      <c r="AQ6" s="100">
        <v>0.09340659340659341</v>
      </c>
      <c r="AR6" s="100">
        <v>0.2786885245901639</v>
      </c>
      <c r="AS6" s="98">
        <v>307.5521129969245</v>
      </c>
      <c r="AT6" s="98">
        <v>353.1153889964688</v>
      </c>
      <c r="AU6" s="98">
        <v>79.73573299920264</v>
      </c>
      <c r="AV6" s="98">
        <v>467.0235789953298</v>
      </c>
      <c r="AW6" s="98">
        <v>1002.3920719899761</v>
      </c>
      <c r="AX6" s="98">
        <v>318.94293199681056</v>
      </c>
      <c r="AY6" s="98">
        <v>1355.5074609864448</v>
      </c>
      <c r="AZ6" s="98">
        <v>649.2766829935073</v>
      </c>
      <c r="BA6" s="101">
        <v>0.17142857142857143</v>
      </c>
      <c r="BB6" s="101">
        <v>0.4</v>
      </c>
      <c r="BC6" s="101">
        <v>0.42857142857142855</v>
      </c>
      <c r="BD6" s="157">
        <v>0.7565000000000001</v>
      </c>
      <c r="BE6" s="157">
        <v>1.0171999999999999</v>
      </c>
      <c r="BF6" s="161">
        <v>1430</v>
      </c>
      <c r="BG6" s="161">
        <v>1362</v>
      </c>
      <c r="BH6" s="161">
        <v>2163</v>
      </c>
      <c r="BI6" s="161">
        <v>1386</v>
      </c>
      <c r="BJ6" s="161">
        <v>700</v>
      </c>
      <c r="BK6" s="97"/>
      <c r="BL6" s="97"/>
      <c r="BM6" s="97"/>
      <c r="BN6" s="97"/>
    </row>
    <row r="7" spans="1:66" ht="12.75">
      <c r="A7" s="79" t="s">
        <v>300</v>
      </c>
      <c r="B7" s="79" t="s">
        <v>92</v>
      </c>
      <c r="C7" s="79" t="s">
        <v>284</v>
      </c>
      <c r="D7" s="99">
        <v>5448</v>
      </c>
      <c r="E7" s="99">
        <v>1078</v>
      </c>
      <c r="F7" s="99" t="s">
        <v>153</v>
      </c>
      <c r="G7" s="99">
        <v>27</v>
      </c>
      <c r="H7" s="99">
        <v>7</v>
      </c>
      <c r="I7" s="99">
        <v>120</v>
      </c>
      <c r="J7" s="99">
        <v>652</v>
      </c>
      <c r="K7" s="99">
        <v>17</v>
      </c>
      <c r="L7" s="99">
        <v>1151</v>
      </c>
      <c r="M7" s="99">
        <v>551</v>
      </c>
      <c r="N7" s="99">
        <v>280</v>
      </c>
      <c r="O7" s="99">
        <v>171</v>
      </c>
      <c r="P7" s="158">
        <v>171</v>
      </c>
      <c r="Q7" s="99">
        <v>23</v>
      </c>
      <c r="R7" s="99">
        <v>35</v>
      </c>
      <c r="S7" s="99">
        <v>20</v>
      </c>
      <c r="T7" s="99">
        <v>23</v>
      </c>
      <c r="U7" s="99" t="s">
        <v>868</v>
      </c>
      <c r="V7" s="99">
        <v>32</v>
      </c>
      <c r="W7" s="99">
        <v>28</v>
      </c>
      <c r="X7" s="99">
        <v>31</v>
      </c>
      <c r="Y7" s="99">
        <v>60</v>
      </c>
      <c r="Z7" s="99">
        <v>29</v>
      </c>
      <c r="AA7" s="99">
        <v>6</v>
      </c>
      <c r="AB7" s="99">
        <v>6</v>
      </c>
      <c r="AC7" s="99">
        <v>9</v>
      </c>
      <c r="AD7" s="98" t="s">
        <v>132</v>
      </c>
      <c r="AE7" s="100">
        <v>0.19787077826725405</v>
      </c>
      <c r="AF7" s="100">
        <v>0.07</v>
      </c>
      <c r="AG7" s="98">
        <v>495.5947136563877</v>
      </c>
      <c r="AH7" s="98">
        <v>128.48751835535975</v>
      </c>
      <c r="AI7" s="100">
        <v>0.022000000000000002</v>
      </c>
      <c r="AJ7" s="100">
        <v>0.778043</v>
      </c>
      <c r="AK7" s="100">
        <v>0.68</v>
      </c>
      <c r="AL7" s="100">
        <v>0.84076</v>
      </c>
      <c r="AM7" s="100">
        <v>0.689612</v>
      </c>
      <c r="AN7" s="100">
        <v>0.668258</v>
      </c>
      <c r="AO7" s="98">
        <v>3138.7665198237887</v>
      </c>
      <c r="AP7" s="157">
        <v>1.3922999999999999</v>
      </c>
      <c r="AQ7" s="100">
        <v>0.13450292397660818</v>
      </c>
      <c r="AR7" s="100">
        <v>0.6571428571428571</v>
      </c>
      <c r="AS7" s="98">
        <v>367.1071953010279</v>
      </c>
      <c r="AT7" s="98">
        <v>422.17327459618207</v>
      </c>
      <c r="AU7" s="98" t="s">
        <v>868</v>
      </c>
      <c r="AV7" s="98">
        <v>587.3715124816447</v>
      </c>
      <c r="AW7" s="98">
        <v>513.950073421439</v>
      </c>
      <c r="AX7" s="98">
        <v>569.0161527165933</v>
      </c>
      <c r="AY7" s="98">
        <v>1101.3215859030836</v>
      </c>
      <c r="AZ7" s="98">
        <v>532.3054331864904</v>
      </c>
      <c r="BA7" s="100">
        <v>0.2857142857142857</v>
      </c>
      <c r="BB7" s="100">
        <v>0.2857142857142857</v>
      </c>
      <c r="BC7" s="100">
        <v>0.42857142857142855</v>
      </c>
      <c r="BD7" s="157">
        <v>1.1914</v>
      </c>
      <c r="BE7" s="157">
        <v>1.6173</v>
      </c>
      <c r="BF7" s="161">
        <v>838</v>
      </c>
      <c r="BG7" s="161">
        <v>25</v>
      </c>
      <c r="BH7" s="161">
        <v>1369</v>
      </c>
      <c r="BI7" s="161">
        <v>799</v>
      </c>
      <c r="BJ7" s="161">
        <v>419</v>
      </c>
      <c r="BK7" s="97"/>
      <c r="BL7" s="97"/>
      <c r="BM7" s="97"/>
      <c r="BN7" s="97"/>
    </row>
    <row r="8" spans="1:66" ht="12.75">
      <c r="A8" s="79" t="s">
        <v>231</v>
      </c>
      <c r="B8" s="79" t="s">
        <v>70</v>
      </c>
      <c r="C8" s="79" t="s">
        <v>284</v>
      </c>
      <c r="D8" s="99">
        <v>10037</v>
      </c>
      <c r="E8" s="99">
        <v>1719</v>
      </c>
      <c r="F8" s="99" t="s">
        <v>152</v>
      </c>
      <c r="G8" s="99">
        <v>66</v>
      </c>
      <c r="H8" s="99">
        <v>29</v>
      </c>
      <c r="I8" s="99">
        <v>209</v>
      </c>
      <c r="J8" s="99">
        <v>829</v>
      </c>
      <c r="K8" s="99">
        <v>14</v>
      </c>
      <c r="L8" s="99">
        <v>1930</v>
      </c>
      <c r="M8" s="99">
        <v>634</v>
      </c>
      <c r="N8" s="99">
        <v>318</v>
      </c>
      <c r="O8" s="99">
        <v>268</v>
      </c>
      <c r="P8" s="158">
        <v>268</v>
      </c>
      <c r="Q8" s="99">
        <v>27</v>
      </c>
      <c r="R8" s="99">
        <v>59</v>
      </c>
      <c r="S8" s="99">
        <v>55</v>
      </c>
      <c r="T8" s="99">
        <v>48</v>
      </c>
      <c r="U8" s="99" t="s">
        <v>868</v>
      </c>
      <c r="V8" s="99">
        <v>65</v>
      </c>
      <c r="W8" s="99">
        <v>72</v>
      </c>
      <c r="X8" s="99">
        <v>69</v>
      </c>
      <c r="Y8" s="99">
        <v>107</v>
      </c>
      <c r="Z8" s="99">
        <v>68</v>
      </c>
      <c r="AA8" s="99">
        <v>15</v>
      </c>
      <c r="AB8" s="99">
        <v>27</v>
      </c>
      <c r="AC8" s="99">
        <v>12</v>
      </c>
      <c r="AD8" s="98" t="s">
        <v>132</v>
      </c>
      <c r="AE8" s="100">
        <v>0.17126631463584738</v>
      </c>
      <c r="AF8" s="100">
        <v>0.14</v>
      </c>
      <c r="AG8" s="98">
        <v>657.5670020922587</v>
      </c>
      <c r="AH8" s="98">
        <v>288.9309554647803</v>
      </c>
      <c r="AI8" s="100">
        <v>0.0208</v>
      </c>
      <c r="AJ8" s="100">
        <v>0.688538</v>
      </c>
      <c r="AK8" s="100">
        <v>0.636364</v>
      </c>
      <c r="AL8" s="100">
        <v>0.801162</v>
      </c>
      <c r="AM8" s="100">
        <v>0.599244</v>
      </c>
      <c r="AN8" s="100">
        <v>0.559859</v>
      </c>
      <c r="AO8" s="98">
        <v>2670.1205539503835</v>
      </c>
      <c r="AP8" s="157">
        <v>1.304</v>
      </c>
      <c r="AQ8" s="100">
        <v>0.10074626865671642</v>
      </c>
      <c r="AR8" s="100">
        <v>0.4576271186440678</v>
      </c>
      <c r="AS8" s="98">
        <v>547.9725017435488</v>
      </c>
      <c r="AT8" s="98">
        <v>478.2305469761881</v>
      </c>
      <c r="AU8" s="98" t="s">
        <v>868</v>
      </c>
      <c r="AV8" s="98">
        <v>647.6038656969214</v>
      </c>
      <c r="AW8" s="98">
        <v>717.3458204642822</v>
      </c>
      <c r="AX8" s="98">
        <v>687.4564112782704</v>
      </c>
      <c r="AY8" s="98">
        <v>1066.0555943010859</v>
      </c>
      <c r="AZ8" s="98">
        <v>677.4932748829332</v>
      </c>
      <c r="BA8" s="100">
        <v>0.2777777777777778</v>
      </c>
      <c r="BB8" s="100">
        <v>0.5</v>
      </c>
      <c r="BC8" s="100">
        <v>0.2222222222222222</v>
      </c>
      <c r="BD8" s="157">
        <v>1.1526</v>
      </c>
      <c r="BE8" s="157">
        <v>1.4699</v>
      </c>
      <c r="BF8" s="161">
        <v>1204</v>
      </c>
      <c r="BG8" s="161">
        <v>22</v>
      </c>
      <c r="BH8" s="161">
        <v>2409</v>
      </c>
      <c r="BI8" s="161">
        <v>1058</v>
      </c>
      <c r="BJ8" s="161">
        <v>568</v>
      </c>
      <c r="BK8" s="97"/>
      <c r="BL8" s="97"/>
      <c r="BM8" s="97"/>
      <c r="BN8" s="97"/>
    </row>
    <row r="9" spans="1:66" ht="12.75">
      <c r="A9" s="79" t="s">
        <v>257</v>
      </c>
      <c r="B9" s="79" t="s">
        <v>120</v>
      </c>
      <c r="C9" s="79" t="s">
        <v>284</v>
      </c>
      <c r="D9" s="99">
        <v>1674</v>
      </c>
      <c r="E9" s="99">
        <v>415</v>
      </c>
      <c r="F9" s="99" t="s">
        <v>151</v>
      </c>
      <c r="G9" s="99">
        <v>10</v>
      </c>
      <c r="H9" s="99">
        <v>8</v>
      </c>
      <c r="I9" s="99">
        <v>42</v>
      </c>
      <c r="J9" s="99">
        <v>231</v>
      </c>
      <c r="K9" s="99" t="s">
        <v>868</v>
      </c>
      <c r="L9" s="99">
        <v>347</v>
      </c>
      <c r="M9" s="99">
        <v>185</v>
      </c>
      <c r="N9" s="99">
        <v>92</v>
      </c>
      <c r="O9" s="99">
        <v>64</v>
      </c>
      <c r="P9" s="158">
        <v>64</v>
      </c>
      <c r="Q9" s="99" t="s">
        <v>868</v>
      </c>
      <c r="R9" s="99">
        <v>7</v>
      </c>
      <c r="S9" s="99" t="s">
        <v>868</v>
      </c>
      <c r="T9" s="99">
        <v>8</v>
      </c>
      <c r="U9" s="99" t="s">
        <v>868</v>
      </c>
      <c r="V9" s="99">
        <v>16</v>
      </c>
      <c r="W9" s="99">
        <v>7</v>
      </c>
      <c r="X9" s="99">
        <v>6</v>
      </c>
      <c r="Y9" s="99">
        <v>8</v>
      </c>
      <c r="Z9" s="99">
        <v>17</v>
      </c>
      <c r="AA9" s="99" t="s">
        <v>868</v>
      </c>
      <c r="AB9" s="99" t="s">
        <v>868</v>
      </c>
      <c r="AC9" s="99" t="s">
        <v>868</v>
      </c>
      <c r="AD9" s="98" t="s">
        <v>132</v>
      </c>
      <c r="AE9" s="100">
        <v>0.24790919952210275</v>
      </c>
      <c r="AF9" s="100">
        <v>0.11</v>
      </c>
      <c r="AG9" s="98">
        <v>597.3715651135007</v>
      </c>
      <c r="AH9" s="98">
        <v>477.89725209080046</v>
      </c>
      <c r="AI9" s="100">
        <v>0.025099999999999997</v>
      </c>
      <c r="AJ9" s="100">
        <v>0.762376</v>
      </c>
      <c r="AK9" s="100" t="s">
        <v>868</v>
      </c>
      <c r="AL9" s="100">
        <v>0.828162</v>
      </c>
      <c r="AM9" s="100">
        <v>0.583596</v>
      </c>
      <c r="AN9" s="100">
        <v>0.513966</v>
      </c>
      <c r="AO9" s="98">
        <v>3823.1780167264037</v>
      </c>
      <c r="AP9" s="157">
        <v>1.4697</v>
      </c>
      <c r="AQ9" s="100" t="s">
        <v>868</v>
      </c>
      <c r="AR9" s="100" t="s">
        <v>868</v>
      </c>
      <c r="AS9" s="98" t="s">
        <v>868</v>
      </c>
      <c r="AT9" s="98">
        <v>477.89725209080046</v>
      </c>
      <c r="AU9" s="98" t="s">
        <v>868</v>
      </c>
      <c r="AV9" s="98">
        <v>955.7945041816009</v>
      </c>
      <c r="AW9" s="98">
        <v>418.1600955794504</v>
      </c>
      <c r="AX9" s="98">
        <v>358.42293906810033</v>
      </c>
      <c r="AY9" s="98">
        <v>477.89725209080046</v>
      </c>
      <c r="AZ9" s="98">
        <v>1015.531660692951</v>
      </c>
      <c r="BA9" s="100" t="s">
        <v>868</v>
      </c>
      <c r="BB9" s="100" t="s">
        <v>868</v>
      </c>
      <c r="BC9" s="100" t="s">
        <v>868</v>
      </c>
      <c r="BD9" s="157">
        <v>1.1318000000000001</v>
      </c>
      <c r="BE9" s="157">
        <v>1.8766999999999998</v>
      </c>
      <c r="BF9" s="161">
        <v>303</v>
      </c>
      <c r="BG9" s="161" t="s">
        <v>868</v>
      </c>
      <c r="BH9" s="161">
        <v>419</v>
      </c>
      <c r="BI9" s="161">
        <v>317</v>
      </c>
      <c r="BJ9" s="161">
        <v>179</v>
      </c>
      <c r="BK9" s="97"/>
      <c r="BL9" s="97"/>
      <c r="BM9" s="97"/>
      <c r="BN9" s="97"/>
    </row>
    <row r="10" spans="1:66" ht="12.75">
      <c r="A10" s="79" t="s">
        <v>256</v>
      </c>
      <c r="B10" s="79" t="s">
        <v>119</v>
      </c>
      <c r="C10" s="79" t="s">
        <v>284</v>
      </c>
      <c r="D10" s="99">
        <v>2711</v>
      </c>
      <c r="E10" s="99">
        <v>632</v>
      </c>
      <c r="F10" s="99" t="s">
        <v>153</v>
      </c>
      <c r="G10" s="99">
        <v>15</v>
      </c>
      <c r="H10" s="99">
        <v>8</v>
      </c>
      <c r="I10" s="99">
        <v>78</v>
      </c>
      <c r="J10" s="99">
        <v>368</v>
      </c>
      <c r="K10" s="99">
        <v>364</v>
      </c>
      <c r="L10" s="99">
        <v>531</v>
      </c>
      <c r="M10" s="99">
        <v>263</v>
      </c>
      <c r="N10" s="99">
        <v>125</v>
      </c>
      <c r="O10" s="99">
        <v>54</v>
      </c>
      <c r="P10" s="158">
        <v>54</v>
      </c>
      <c r="Q10" s="99">
        <v>6</v>
      </c>
      <c r="R10" s="99">
        <v>16</v>
      </c>
      <c r="S10" s="99">
        <v>12</v>
      </c>
      <c r="T10" s="99">
        <v>6</v>
      </c>
      <c r="U10" s="99" t="s">
        <v>868</v>
      </c>
      <c r="V10" s="99" t="s">
        <v>868</v>
      </c>
      <c r="W10" s="99">
        <v>10</v>
      </c>
      <c r="X10" s="99">
        <v>9</v>
      </c>
      <c r="Y10" s="99">
        <v>19</v>
      </c>
      <c r="Z10" s="99" t="s">
        <v>868</v>
      </c>
      <c r="AA10" s="99">
        <v>6</v>
      </c>
      <c r="AB10" s="99">
        <v>9</v>
      </c>
      <c r="AC10" s="99">
        <v>6</v>
      </c>
      <c r="AD10" s="98" t="s">
        <v>132</v>
      </c>
      <c r="AE10" s="100">
        <v>0.23312430837329398</v>
      </c>
      <c r="AF10" s="100">
        <v>0.07</v>
      </c>
      <c r="AG10" s="98">
        <v>553.3013648100332</v>
      </c>
      <c r="AH10" s="98">
        <v>295.0940612320177</v>
      </c>
      <c r="AI10" s="100">
        <v>0.0288</v>
      </c>
      <c r="AJ10" s="100">
        <v>0.823266</v>
      </c>
      <c r="AK10" s="100">
        <v>0.840647</v>
      </c>
      <c r="AL10" s="100">
        <v>0.844197</v>
      </c>
      <c r="AM10" s="100">
        <v>0.664141</v>
      </c>
      <c r="AN10" s="100">
        <v>0.628141</v>
      </c>
      <c r="AO10" s="98">
        <v>1991.8849133161195</v>
      </c>
      <c r="AP10" s="157">
        <v>0.8081</v>
      </c>
      <c r="AQ10" s="100">
        <v>0.1111111111111111</v>
      </c>
      <c r="AR10" s="100">
        <v>0.375</v>
      </c>
      <c r="AS10" s="98">
        <v>442.6410918480266</v>
      </c>
      <c r="AT10" s="98">
        <v>221.3205459240133</v>
      </c>
      <c r="AU10" s="98" t="s">
        <v>868</v>
      </c>
      <c r="AV10" s="98" t="s">
        <v>868</v>
      </c>
      <c r="AW10" s="98">
        <v>368.8675765400221</v>
      </c>
      <c r="AX10" s="98">
        <v>331.9808188860199</v>
      </c>
      <c r="AY10" s="98">
        <v>700.8483954260421</v>
      </c>
      <c r="AZ10" s="98" t="s">
        <v>868</v>
      </c>
      <c r="BA10" s="100">
        <v>0.2857142857142857</v>
      </c>
      <c r="BB10" s="100">
        <v>0.42857142857142855</v>
      </c>
      <c r="BC10" s="100">
        <v>0.2857142857142857</v>
      </c>
      <c r="BD10" s="157">
        <v>0.6071</v>
      </c>
      <c r="BE10" s="157">
        <v>1.0544</v>
      </c>
      <c r="BF10" s="161">
        <v>447</v>
      </c>
      <c r="BG10" s="161">
        <v>433</v>
      </c>
      <c r="BH10" s="161">
        <v>629</v>
      </c>
      <c r="BI10" s="161">
        <v>396</v>
      </c>
      <c r="BJ10" s="161">
        <v>199</v>
      </c>
      <c r="BK10" s="97"/>
      <c r="BL10" s="97"/>
      <c r="BM10" s="97"/>
      <c r="BN10" s="97"/>
    </row>
    <row r="11" spans="1:66" ht="12.75">
      <c r="A11" s="79" t="s">
        <v>232</v>
      </c>
      <c r="B11" s="79" t="s">
        <v>72</v>
      </c>
      <c r="C11" s="79" t="s">
        <v>284</v>
      </c>
      <c r="D11" s="99">
        <v>15170</v>
      </c>
      <c r="E11" s="99">
        <v>4431</v>
      </c>
      <c r="F11" s="99" t="s">
        <v>152</v>
      </c>
      <c r="G11" s="99">
        <v>113</v>
      </c>
      <c r="H11" s="99">
        <v>56</v>
      </c>
      <c r="I11" s="99">
        <v>468</v>
      </c>
      <c r="J11" s="99">
        <v>1940</v>
      </c>
      <c r="K11" s="99">
        <v>1861</v>
      </c>
      <c r="L11" s="99">
        <v>2524</v>
      </c>
      <c r="M11" s="99">
        <v>1456</v>
      </c>
      <c r="N11" s="99">
        <v>763</v>
      </c>
      <c r="O11" s="99">
        <v>486</v>
      </c>
      <c r="P11" s="158">
        <v>486</v>
      </c>
      <c r="Q11" s="99">
        <v>59</v>
      </c>
      <c r="R11" s="99">
        <v>141</v>
      </c>
      <c r="S11" s="99">
        <v>74</v>
      </c>
      <c r="T11" s="99">
        <v>86</v>
      </c>
      <c r="U11" s="99">
        <v>21</v>
      </c>
      <c r="V11" s="99">
        <v>82</v>
      </c>
      <c r="W11" s="99">
        <v>96</v>
      </c>
      <c r="X11" s="99">
        <v>93</v>
      </c>
      <c r="Y11" s="99">
        <v>207</v>
      </c>
      <c r="Z11" s="99">
        <v>113</v>
      </c>
      <c r="AA11" s="99">
        <v>25</v>
      </c>
      <c r="AB11" s="99">
        <v>61</v>
      </c>
      <c r="AC11" s="99">
        <v>20</v>
      </c>
      <c r="AD11" s="98" t="s">
        <v>132</v>
      </c>
      <c r="AE11" s="100">
        <v>0.292089650626236</v>
      </c>
      <c r="AF11" s="100">
        <v>0.12</v>
      </c>
      <c r="AG11" s="98">
        <v>744.8912326961107</v>
      </c>
      <c r="AH11" s="98">
        <v>369.1496374423204</v>
      </c>
      <c r="AI11" s="100">
        <v>0.030899999999999997</v>
      </c>
      <c r="AJ11" s="100">
        <v>0.80867</v>
      </c>
      <c r="AK11" s="100">
        <v>0.816945</v>
      </c>
      <c r="AL11" s="100">
        <v>0.775184</v>
      </c>
      <c r="AM11" s="100">
        <v>0.599424</v>
      </c>
      <c r="AN11" s="100">
        <v>0.585123</v>
      </c>
      <c r="AO11" s="98">
        <v>3203.6914963744234</v>
      </c>
      <c r="AP11" s="157">
        <v>1.1959</v>
      </c>
      <c r="AQ11" s="100">
        <v>0.12139917695473251</v>
      </c>
      <c r="AR11" s="100">
        <v>0.41843971631205673</v>
      </c>
      <c r="AS11" s="98">
        <v>487.8048780487805</v>
      </c>
      <c r="AT11" s="98">
        <v>566.9083717864206</v>
      </c>
      <c r="AU11" s="98">
        <v>138.43111404087014</v>
      </c>
      <c r="AV11" s="98">
        <v>540.5405405405405</v>
      </c>
      <c r="AW11" s="98">
        <v>632.8279499011206</v>
      </c>
      <c r="AX11" s="98">
        <v>613.0520764667106</v>
      </c>
      <c r="AY11" s="98">
        <v>1364.5352669742913</v>
      </c>
      <c r="AZ11" s="98">
        <v>744.8912326961107</v>
      </c>
      <c r="BA11" s="100">
        <v>0.2358490566037736</v>
      </c>
      <c r="BB11" s="100">
        <v>0.5754716981132075</v>
      </c>
      <c r="BC11" s="100">
        <v>0.18867924528301888</v>
      </c>
      <c r="BD11" s="157">
        <v>1.0918999999999999</v>
      </c>
      <c r="BE11" s="157">
        <v>1.3071000000000002</v>
      </c>
      <c r="BF11" s="161">
        <v>2399</v>
      </c>
      <c r="BG11" s="161">
        <v>2278</v>
      </c>
      <c r="BH11" s="161">
        <v>3256</v>
      </c>
      <c r="BI11" s="161">
        <v>2429</v>
      </c>
      <c r="BJ11" s="161">
        <v>1304</v>
      </c>
      <c r="BK11" s="97"/>
      <c r="BL11" s="97"/>
      <c r="BM11" s="97"/>
      <c r="BN11" s="97"/>
    </row>
    <row r="12" spans="1:66" ht="12.75">
      <c r="A12" s="79" t="s">
        <v>234</v>
      </c>
      <c r="B12" s="79" t="s">
        <v>74</v>
      </c>
      <c r="C12" s="79" t="s">
        <v>284</v>
      </c>
      <c r="D12" s="99">
        <v>5312</v>
      </c>
      <c r="E12" s="99">
        <v>1258</v>
      </c>
      <c r="F12" s="99" t="s">
        <v>151</v>
      </c>
      <c r="G12" s="99">
        <v>26</v>
      </c>
      <c r="H12" s="99">
        <v>21</v>
      </c>
      <c r="I12" s="99">
        <v>135</v>
      </c>
      <c r="J12" s="99">
        <v>707</v>
      </c>
      <c r="K12" s="99">
        <v>6</v>
      </c>
      <c r="L12" s="99">
        <v>960</v>
      </c>
      <c r="M12" s="99">
        <v>517</v>
      </c>
      <c r="N12" s="99">
        <v>283</v>
      </c>
      <c r="O12" s="99">
        <v>109</v>
      </c>
      <c r="P12" s="158">
        <v>109</v>
      </c>
      <c r="Q12" s="99">
        <v>25</v>
      </c>
      <c r="R12" s="99">
        <v>44</v>
      </c>
      <c r="S12" s="99">
        <v>23</v>
      </c>
      <c r="T12" s="99">
        <v>16</v>
      </c>
      <c r="U12" s="99" t="s">
        <v>868</v>
      </c>
      <c r="V12" s="99">
        <v>19</v>
      </c>
      <c r="W12" s="99">
        <v>21</v>
      </c>
      <c r="X12" s="99">
        <v>13</v>
      </c>
      <c r="Y12" s="99">
        <v>51</v>
      </c>
      <c r="Z12" s="99">
        <v>40</v>
      </c>
      <c r="AA12" s="99">
        <v>9</v>
      </c>
      <c r="AB12" s="99">
        <v>14</v>
      </c>
      <c r="AC12" s="99">
        <v>14</v>
      </c>
      <c r="AD12" s="98" t="s">
        <v>132</v>
      </c>
      <c r="AE12" s="100">
        <v>0.2368222891566265</v>
      </c>
      <c r="AF12" s="100">
        <v>0.09</v>
      </c>
      <c r="AG12" s="98">
        <v>489.4578313253012</v>
      </c>
      <c r="AH12" s="98">
        <v>395.3313253012048</v>
      </c>
      <c r="AI12" s="100">
        <v>0.0254</v>
      </c>
      <c r="AJ12" s="100">
        <v>0.840666</v>
      </c>
      <c r="AK12" s="100">
        <v>0.461538</v>
      </c>
      <c r="AL12" s="100">
        <v>0.807401</v>
      </c>
      <c r="AM12" s="100">
        <v>0.647059</v>
      </c>
      <c r="AN12" s="100">
        <v>0.649083</v>
      </c>
      <c r="AO12" s="98">
        <v>2051.9578313253014</v>
      </c>
      <c r="AP12" s="157">
        <v>0.8471</v>
      </c>
      <c r="AQ12" s="100">
        <v>0.22935779816513763</v>
      </c>
      <c r="AR12" s="100">
        <v>0.5681818181818182</v>
      </c>
      <c r="AS12" s="98">
        <v>432.98192771084337</v>
      </c>
      <c r="AT12" s="98">
        <v>301.2048192771084</v>
      </c>
      <c r="AU12" s="98" t="s">
        <v>868</v>
      </c>
      <c r="AV12" s="98">
        <v>357.6807228915663</v>
      </c>
      <c r="AW12" s="98">
        <v>395.3313253012048</v>
      </c>
      <c r="AX12" s="98">
        <v>244.7289156626506</v>
      </c>
      <c r="AY12" s="98">
        <v>960.0903614457832</v>
      </c>
      <c r="AZ12" s="98">
        <v>753.0120481927711</v>
      </c>
      <c r="BA12" s="100">
        <v>0.24324324324324326</v>
      </c>
      <c r="BB12" s="100">
        <v>0.3783783783783784</v>
      </c>
      <c r="BC12" s="100">
        <v>0.3783783783783784</v>
      </c>
      <c r="BD12" s="157">
        <v>0.6955</v>
      </c>
      <c r="BE12" s="157">
        <v>1.0218</v>
      </c>
      <c r="BF12" s="161">
        <v>841</v>
      </c>
      <c r="BG12" s="161">
        <v>13</v>
      </c>
      <c r="BH12" s="161">
        <v>1189</v>
      </c>
      <c r="BI12" s="161">
        <v>799</v>
      </c>
      <c r="BJ12" s="161">
        <v>436</v>
      </c>
      <c r="BK12" s="97"/>
      <c r="BL12" s="97"/>
      <c r="BM12" s="97"/>
      <c r="BN12" s="97"/>
    </row>
    <row r="13" spans="1:66" ht="12.75">
      <c r="A13" s="79" t="s">
        <v>229</v>
      </c>
      <c r="B13" s="79" t="s">
        <v>67</v>
      </c>
      <c r="C13" s="79" t="s">
        <v>284</v>
      </c>
      <c r="D13" s="99">
        <v>7422</v>
      </c>
      <c r="E13" s="99">
        <v>1750</v>
      </c>
      <c r="F13" s="99" t="s">
        <v>153</v>
      </c>
      <c r="G13" s="99">
        <v>48</v>
      </c>
      <c r="H13" s="99">
        <v>28</v>
      </c>
      <c r="I13" s="99">
        <v>189</v>
      </c>
      <c r="J13" s="99">
        <v>899</v>
      </c>
      <c r="K13" s="99">
        <v>887</v>
      </c>
      <c r="L13" s="99">
        <v>1406</v>
      </c>
      <c r="M13" s="99">
        <v>694</v>
      </c>
      <c r="N13" s="99">
        <v>335</v>
      </c>
      <c r="O13" s="99">
        <v>252</v>
      </c>
      <c r="P13" s="158">
        <v>252</v>
      </c>
      <c r="Q13" s="99">
        <v>21</v>
      </c>
      <c r="R13" s="99">
        <v>43</v>
      </c>
      <c r="S13" s="99">
        <v>36</v>
      </c>
      <c r="T13" s="99">
        <v>47</v>
      </c>
      <c r="U13" s="99">
        <v>7</v>
      </c>
      <c r="V13" s="99">
        <v>26</v>
      </c>
      <c r="W13" s="99">
        <v>39</v>
      </c>
      <c r="X13" s="99">
        <v>60</v>
      </c>
      <c r="Y13" s="99">
        <v>106</v>
      </c>
      <c r="Z13" s="99">
        <v>46</v>
      </c>
      <c r="AA13" s="99">
        <v>12</v>
      </c>
      <c r="AB13" s="99">
        <v>24</v>
      </c>
      <c r="AC13" s="99">
        <v>14</v>
      </c>
      <c r="AD13" s="98" t="s">
        <v>132</v>
      </c>
      <c r="AE13" s="100">
        <v>0.2357855025599569</v>
      </c>
      <c r="AF13" s="100">
        <v>0.08</v>
      </c>
      <c r="AG13" s="98">
        <v>646.7259498787389</v>
      </c>
      <c r="AH13" s="98">
        <v>377.256804095931</v>
      </c>
      <c r="AI13" s="100">
        <v>0.0255</v>
      </c>
      <c r="AJ13" s="100">
        <v>0.815789</v>
      </c>
      <c r="AK13" s="100">
        <v>0.815257</v>
      </c>
      <c r="AL13" s="100">
        <v>0.81887</v>
      </c>
      <c r="AM13" s="100">
        <v>0.667308</v>
      </c>
      <c r="AN13" s="100">
        <v>0.613553</v>
      </c>
      <c r="AO13" s="98">
        <v>3395.3112368633792</v>
      </c>
      <c r="AP13" s="157">
        <v>1.4112</v>
      </c>
      <c r="AQ13" s="100">
        <v>0.08333333333333333</v>
      </c>
      <c r="AR13" s="100">
        <v>0.4883720930232558</v>
      </c>
      <c r="AS13" s="98">
        <v>485.0444624090542</v>
      </c>
      <c r="AT13" s="98">
        <v>633.2524925895985</v>
      </c>
      <c r="AU13" s="98">
        <v>94.31420102398275</v>
      </c>
      <c r="AV13" s="98">
        <v>350.3098895176502</v>
      </c>
      <c r="AW13" s="98">
        <v>525.4648342764754</v>
      </c>
      <c r="AX13" s="98">
        <v>808.4074373484236</v>
      </c>
      <c r="AY13" s="98">
        <v>1428.1864726488816</v>
      </c>
      <c r="AZ13" s="98">
        <v>619.7790353004581</v>
      </c>
      <c r="BA13" s="100">
        <v>0.24</v>
      </c>
      <c r="BB13" s="100">
        <v>0.48</v>
      </c>
      <c r="BC13" s="100">
        <v>0.28</v>
      </c>
      <c r="BD13" s="157">
        <v>1.2423</v>
      </c>
      <c r="BE13" s="157">
        <v>1.5966</v>
      </c>
      <c r="BF13" s="161">
        <v>1102</v>
      </c>
      <c r="BG13" s="161">
        <v>1088</v>
      </c>
      <c r="BH13" s="161">
        <v>1717</v>
      </c>
      <c r="BI13" s="161">
        <v>1040</v>
      </c>
      <c r="BJ13" s="161">
        <v>546</v>
      </c>
      <c r="BK13" s="97"/>
      <c r="BL13" s="97"/>
      <c r="BM13" s="97"/>
      <c r="BN13" s="97"/>
    </row>
    <row r="14" spans="1:66" ht="12.75">
      <c r="A14" s="79" t="s">
        <v>287</v>
      </c>
      <c r="B14" s="79" t="s">
        <v>63</v>
      </c>
      <c r="C14" s="79" t="s">
        <v>284</v>
      </c>
      <c r="D14" s="99">
        <v>10970</v>
      </c>
      <c r="E14" s="99">
        <v>2898</v>
      </c>
      <c r="F14" s="99" t="s">
        <v>151</v>
      </c>
      <c r="G14" s="99">
        <v>73</v>
      </c>
      <c r="H14" s="99">
        <v>41</v>
      </c>
      <c r="I14" s="99">
        <v>289</v>
      </c>
      <c r="J14" s="99">
        <v>1259</v>
      </c>
      <c r="K14" s="99">
        <v>28</v>
      </c>
      <c r="L14" s="99">
        <v>2040</v>
      </c>
      <c r="M14" s="99">
        <v>1106</v>
      </c>
      <c r="N14" s="99">
        <v>566</v>
      </c>
      <c r="O14" s="99">
        <v>301</v>
      </c>
      <c r="P14" s="158">
        <v>301</v>
      </c>
      <c r="Q14" s="99">
        <v>46</v>
      </c>
      <c r="R14" s="99">
        <v>69</v>
      </c>
      <c r="S14" s="99">
        <v>40</v>
      </c>
      <c r="T14" s="99">
        <v>54</v>
      </c>
      <c r="U14" s="99">
        <v>13</v>
      </c>
      <c r="V14" s="99">
        <v>52</v>
      </c>
      <c r="W14" s="99">
        <v>91</v>
      </c>
      <c r="X14" s="99">
        <v>110</v>
      </c>
      <c r="Y14" s="99">
        <v>148</v>
      </c>
      <c r="Z14" s="99">
        <v>64</v>
      </c>
      <c r="AA14" s="99">
        <v>17</v>
      </c>
      <c r="AB14" s="99">
        <v>31</v>
      </c>
      <c r="AC14" s="99">
        <v>23</v>
      </c>
      <c r="AD14" s="98" t="s">
        <v>132</v>
      </c>
      <c r="AE14" s="100">
        <v>0.26417502278942573</v>
      </c>
      <c r="AF14" s="100">
        <v>0.09</v>
      </c>
      <c r="AG14" s="98">
        <v>665.4512306289881</v>
      </c>
      <c r="AH14" s="98">
        <v>373.74658158614403</v>
      </c>
      <c r="AI14" s="100">
        <v>0.0263</v>
      </c>
      <c r="AJ14" s="100">
        <v>0.726067</v>
      </c>
      <c r="AK14" s="100">
        <v>0.474576</v>
      </c>
      <c r="AL14" s="100">
        <v>0.807921</v>
      </c>
      <c r="AM14" s="100">
        <v>0.632723</v>
      </c>
      <c r="AN14" s="100">
        <v>0.61723</v>
      </c>
      <c r="AO14" s="98">
        <v>2743.8468550592524</v>
      </c>
      <c r="AP14" s="157">
        <v>1.0753</v>
      </c>
      <c r="AQ14" s="100">
        <v>0.15282392026578073</v>
      </c>
      <c r="AR14" s="100">
        <v>0.6666666666666666</v>
      </c>
      <c r="AS14" s="98">
        <v>364.63081130355516</v>
      </c>
      <c r="AT14" s="98">
        <v>492.25159525979944</v>
      </c>
      <c r="AU14" s="98">
        <v>118.50501367365543</v>
      </c>
      <c r="AV14" s="98">
        <v>474.0200546946217</v>
      </c>
      <c r="AW14" s="98">
        <v>829.535095715588</v>
      </c>
      <c r="AX14" s="98">
        <v>1002.7347310847766</v>
      </c>
      <c r="AY14" s="98">
        <v>1349.134001823154</v>
      </c>
      <c r="AZ14" s="98">
        <v>583.4092980856882</v>
      </c>
      <c r="BA14" s="100">
        <v>0.23943661971830985</v>
      </c>
      <c r="BB14" s="100">
        <v>0.43661971830985913</v>
      </c>
      <c r="BC14" s="100">
        <v>0.323943661971831</v>
      </c>
      <c r="BD14" s="157">
        <v>0.9573</v>
      </c>
      <c r="BE14" s="157">
        <v>1.2039</v>
      </c>
      <c r="BF14" s="161">
        <v>1734</v>
      </c>
      <c r="BG14" s="161">
        <v>59</v>
      </c>
      <c r="BH14" s="161">
        <v>2525</v>
      </c>
      <c r="BI14" s="161">
        <v>1748</v>
      </c>
      <c r="BJ14" s="161">
        <v>917</v>
      </c>
      <c r="BK14" s="97"/>
      <c r="BL14" s="97"/>
      <c r="BM14" s="97"/>
      <c r="BN14" s="97"/>
    </row>
    <row r="15" spans="1:66" ht="12.75">
      <c r="A15" s="79" t="s">
        <v>310</v>
      </c>
      <c r="B15" s="79" t="s">
        <v>129</v>
      </c>
      <c r="C15" s="79" t="s">
        <v>284</v>
      </c>
      <c r="D15" s="99">
        <v>2266</v>
      </c>
      <c r="E15" s="99">
        <v>746</v>
      </c>
      <c r="F15" s="99" t="s">
        <v>153</v>
      </c>
      <c r="G15" s="99">
        <v>11</v>
      </c>
      <c r="H15" s="99">
        <v>9</v>
      </c>
      <c r="I15" s="99">
        <v>84</v>
      </c>
      <c r="J15" s="99">
        <v>323</v>
      </c>
      <c r="K15" s="99">
        <v>7</v>
      </c>
      <c r="L15" s="99">
        <v>420</v>
      </c>
      <c r="M15" s="99">
        <v>311</v>
      </c>
      <c r="N15" s="99">
        <v>151</v>
      </c>
      <c r="O15" s="99">
        <v>52</v>
      </c>
      <c r="P15" s="158">
        <v>52</v>
      </c>
      <c r="Q15" s="99">
        <v>8</v>
      </c>
      <c r="R15" s="99">
        <v>20</v>
      </c>
      <c r="S15" s="99">
        <v>8</v>
      </c>
      <c r="T15" s="99" t="s">
        <v>868</v>
      </c>
      <c r="U15" s="99" t="s">
        <v>868</v>
      </c>
      <c r="V15" s="99">
        <v>12</v>
      </c>
      <c r="W15" s="99">
        <v>14</v>
      </c>
      <c r="X15" s="99">
        <v>17</v>
      </c>
      <c r="Y15" s="99">
        <v>18</v>
      </c>
      <c r="Z15" s="99">
        <v>9</v>
      </c>
      <c r="AA15" s="99" t="s">
        <v>868</v>
      </c>
      <c r="AB15" s="99">
        <v>12</v>
      </c>
      <c r="AC15" s="99" t="s">
        <v>868</v>
      </c>
      <c r="AD15" s="98" t="s">
        <v>132</v>
      </c>
      <c r="AE15" s="100">
        <v>0.3292144748455428</v>
      </c>
      <c r="AF15" s="100">
        <v>0.08</v>
      </c>
      <c r="AG15" s="98">
        <v>485.43689320388347</v>
      </c>
      <c r="AH15" s="98">
        <v>397.1756398940865</v>
      </c>
      <c r="AI15" s="100">
        <v>0.0371</v>
      </c>
      <c r="AJ15" s="100">
        <v>0.767221</v>
      </c>
      <c r="AK15" s="100">
        <v>0.583333</v>
      </c>
      <c r="AL15" s="100">
        <v>0.865979</v>
      </c>
      <c r="AM15" s="100">
        <v>0.665953</v>
      </c>
      <c r="AN15" s="100">
        <v>0.623967</v>
      </c>
      <c r="AO15" s="98">
        <v>2294.792586054722</v>
      </c>
      <c r="AP15" s="157">
        <v>0.8075</v>
      </c>
      <c r="AQ15" s="100">
        <v>0.15384615384615385</v>
      </c>
      <c r="AR15" s="100">
        <v>0.4</v>
      </c>
      <c r="AS15" s="98">
        <v>353.045013239188</v>
      </c>
      <c r="AT15" s="98" t="s">
        <v>868</v>
      </c>
      <c r="AU15" s="98" t="s">
        <v>868</v>
      </c>
      <c r="AV15" s="98">
        <v>529.567519858782</v>
      </c>
      <c r="AW15" s="98">
        <v>617.828773168579</v>
      </c>
      <c r="AX15" s="98">
        <v>750.2206531332745</v>
      </c>
      <c r="AY15" s="98">
        <v>794.351279788173</v>
      </c>
      <c r="AZ15" s="98">
        <v>397.1756398940865</v>
      </c>
      <c r="BA15" s="100" t="s">
        <v>868</v>
      </c>
      <c r="BB15" s="100">
        <v>0.5</v>
      </c>
      <c r="BC15" s="100" t="s">
        <v>868</v>
      </c>
      <c r="BD15" s="157">
        <v>0.6031</v>
      </c>
      <c r="BE15" s="157">
        <v>1.0589</v>
      </c>
      <c r="BF15" s="161">
        <v>421</v>
      </c>
      <c r="BG15" s="161">
        <v>12</v>
      </c>
      <c r="BH15" s="161">
        <v>485</v>
      </c>
      <c r="BI15" s="161">
        <v>467</v>
      </c>
      <c r="BJ15" s="161">
        <v>242</v>
      </c>
      <c r="BK15" s="97"/>
      <c r="BL15" s="97"/>
      <c r="BM15" s="97"/>
      <c r="BN15" s="97"/>
    </row>
    <row r="16" spans="1:66" ht="12.75">
      <c r="A16" s="79" t="s">
        <v>290</v>
      </c>
      <c r="B16" s="79" t="s">
        <v>77</v>
      </c>
      <c r="C16" s="79" t="s">
        <v>284</v>
      </c>
      <c r="D16" s="99">
        <v>12255</v>
      </c>
      <c r="E16" s="99">
        <v>3248</v>
      </c>
      <c r="F16" s="99" t="s">
        <v>153</v>
      </c>
      <c r="G16" s="99">
        <v>75</v>
      </c>
      <c r="H16" s="99">
        <v>52</v>
      </c>
      <c r="I16" s="99">
        <v>326</v>
      </c>
      <c r="J16" s="99">
        <v>1481</v>
      </c>
      <c r="K16" s="99">
        <v>1409</v>
      </c>
      <c r="L16" s="99">
        <v>2234</v>
      </c>
      <c r="M16" s="99">
        <v>1090</v>
      </c>
      <c r="N16" s="99">
        <v>536</v>
      </c>
      <c r="O16" s="99">
        <v>347</v>
      </c>
      <c r="P16" s="158">
        <v>347</v>
      </c>
      <c r="Q16" s="99">
        <v>57</v>
      </c>
      <c r="R16" s="99">
        <v>110</v>
      </c>
      <c r="S16" s="99">
        <v>52</v>
      </c>
      <c r="T16" s="99">
        <v>86</v>
      </c>
      <c r="U16" s="99">
        <v>12</v>
      </c>
      <c r="V16" s="99">
        <v>64</v>
      </c>
      <c r="W16" s="99">
        <v>53</v>
      </c>
      <c r="X16" s="99">
        <v>69</v>
      </c>
      <c r="Y16" s="99">
        <v>83</v>
      </c>
      <c r="Z16" s="99">
        <v>122</v>
      </c>
      <c r="AA16" s="99">
        <v>20</v>
      </c>
      <c r="AB16" s="99">
        <v>41</v>
      </c>
      <c r="AC16" s="99">
        <v>37</v>
      </c>
      <c r="AD16" s="98" t="s">
        <v>132</v>
      </c>
      <c r="AE16" s="100">
        <v>0.2650346797225622</v>
      </c>
      <c r="AF16" s="100">
        <v>0.07</v>
      </c>
      <c r="AG16" s="98">
        <v>611.9951040391677</v>
      </c>
      <c r="AH16" s="98">
        <v>424.31660546715625</v>
      </c>
      <c r="AI16" s="100">
        <v>0.026600000000000002</v>
      </c>
      <c r="AJ16" s="100">
        <v>0.841477</v>
      </c>
      <c r="AK16" s="100">
        <v>0.840692</v>
      </c>
      <c r="AL16" s="100">
        <v>0.828942</v>
      </c>
      <c r="AM16" s="100">
        <v>0.685535</v>
      </c>
      <c r="AN16" s="100">
        <v>0.662546</v>
      </c>
      <c r="AO16" s="98">
        <v>2831.4973480212157</v>
      </c>
      <c r="AP16" s="157">
        <v>1.1365</v>
      </c>
      <c r="AQ16" s="100">
        <v>0.1642651296829971</v>
      </c>
      <c r="AR16" s="100">
        <v>0.5181818181818182</v>
      </c>
      <c r="AS16" s="98">
        <v>424.31660546715625</v>
      </c>
      <c r="AT16" s="98">
        <v>701.7543859649123</v>
      </c>
      <c r="AU16" s="98">
        <v>97.91921664626683</v>
      </c>
      <c r="AV16" s="98">
        <v>522.2358221134231</v>
      </c>
      <c r="AW16" s="98">
        <v>432.4765401876785</v>
      </c>
      <c r="AX16" s="98">
        <v>563.0354957160342</v>
      </c>
      <c r="AY16" s="98">
        <v>677.2745818033455</v>
      </c>
      <c r="AZ16" s="98">
        <v>995.5120359037128</v>
      </c>
      <c r="BA16" s="100">
        <v>0.20408163265306123</v>
      </c>
      <c r="BB16" s="100">
        <v>0.41836734693877553</v>
      </c>
      <c r="BC16" s="100">
        <v>0.37755102040816324</v>
      </c>
      <c r="BD16" s="157">
        <v>1.02</v>
      </c>
      <c r="BE16" s="157">
        <v>1.2626</v>
      </c>
      <c r="BF16" s="161">
        <v>1760</v>
      </c>
      <c r="BG16" s="161">
        <v>1676</v>
      </c>
      <c r="BH16" s="161">
        <v>2695</v>
      </c>
      <c r="BI16" s="161">
        <v>1590</v>
      </c>
      <c r="BJ16" s="161">
        <v>809</v>
      </c>
      <c r="BK16" s="97"/>
      <c r="BL16" s="97"/>
      <c r="BM16" s="97"/>
      <c r="BN16" s="97"/>
    </row>
    <row r="17" spans="1:66" ht="12.75">
      <c r="A17" s="79" t="s">
        <v>237</v>
      </c>
      <c r="B17" s="79" t="s">
        <v>81</v>
      </c>
      <c r="C17" s="79" t="s">
        <v>284</v>
      </c>
      <c r="D17" s="99">
        <v>7991</v>
      </c>
      <c r="E17" s="99">
        <v>1567</v>
      </c>
      <c r="F17" s="99" t="s">
        <v>152</v>
      </c>
      <c r="G17" s="99">
        <v>38</v>
      </c>
      <c r="H17" s="99">
        <v>32</v>
      </c>
      <c r="I17" s="99">
        <v>166</v>
      </c>
      <c r="J17" s="99">
        <v>834</v>
      </c>
      <c r="K17" s="99">
        <v>27</v>
      </c>
      <c r="L17" s="99">
        <v>1344</v>
      </c>
      <c r="M17" s="99">
        <v>570</v>
      </c>
      <c r="N17" s="99">
        <v>287</v>
      </c>
      <c r="O17" s="99">
        <v>232</v>
      </c>
      <c r="P17" s="158">
        <v>232</v>
      </c>
      <c r="Q17" s="99">
        <v>33</v>
      </c>
      <c r="R17" s="99">
        <v>59</v>
      </c>
      <c r="S17" s="99">
        <v>37</v>
      </c>
      <c r="T17" s="99">
        <v>40</v>
      </c>
      <c r="U17" s="99">
        <v>9</v>
      </c>
      <c r="V17" s="99">
        <v>34</v>
      </c>
      <c r="W17" s="99">
        <v>46</v>
      </c>
      <c r="X17" s="99">
        <v>47</v>
      </c>
      <c r="Y17" s="99">
        <v>91</v>
      </c>
      <c r="Z17" s="99">
        <v>59</v>
      </c>
      <c r="AA17" s="99">
        <v>8</v>
      </c>
      <c r="AB17" s="99">
        <v>25</v>
      </c>
      <c r="AC17" s="99">
        <v>12</v>
      </c>
      <c r="AD17" s="98" t="s">
        <v>132</v>
      </c>
      <c r="AE17" s="100">
        <v>0.1960956075585033</v>
      </c>
      <c r="AF17" s="100">
        <v>0.15</v>
      </c>
      <c r="AG17" s="98">
        <v>475.53497684895507</v>
      </c>
      <c r="AH17" s="98">
        <v>400.4505068201727</v>
      </c>
      <c r="AI17" s="100">
        <v>0.0208</v>
      </c>
      <c r="AJ17" s="100">
        <v>0.825743</v>
      </c>
      <c r="AK17" s="100">
        <v>0.482143</v>
      </c>
      <c r="AL17" s="100">
        <v>0.741722</v>
      </c>
      <c r="AM17" s="100">
        <v>0.598739</v>
      </c>
      <c r="AN17" s="100">
        <v>0.563851</v>
      </c>
      <c r="AO17" s="98">
        <v>2903.266174446252</v>
      </c>
      <c r="AP17" s="157">
        <v>1.3444999999999998</v>
      </c>
      <c r="AQ17" s="100">
        <v>0.14224137931034483</v>
      </c>
      <c r="AR17" s="100">
        <v>0.559322033898305</v>
      </c>
      <c r="AS17" s="98">
        <v>463.0208985108247</v>
      </c>
      <c r="AT17" s="98">
        <v>500.56313352521585</v>
      </c>
      <c r="AU17" s="98">
        <v>112.62670504317357</v>
      </c>
      <c r="AV17" s="98">
        <v>425.4786634964335</v>
      </c>
      <c r="AW17" s="98">
        <v>575.6476035539982</v>
      </c>
      <c r="AX17" s="98">
        <v>588.1616818921286</v>
      </c>
      <c r="AY17" s="98">
        <v>1138.7811287698662</v>
      </c>
      <c r="AZ17" s="98">
        <v>738.3306219496934</v>
      </c>
      <c r="BA17" s="100">
        <v>0.17777777777777778</v>
      </c>
      <c r="BB17" s="100">
        <v>0.5555555555555556</v>
      </c>
      <c r="BC17" s="100">
        <v>0.26666666666666666</v>
      </c>
      <c r="BD17" s="157">
        <v>1.1771</v>
      </c>
      <c r="BE17" s="157">
        <v>1.5291</v>
      </c>
      <c r="BF17" s="161">
        <v>1010</v>
      </c>
      <c r="BG17" s="161">
        <v>56</v>
      </c>
      <c r="BH17" s="161">
        <v>1812</v>
      </c>
      <c r="BI17" s="161">
        <v>952</v>
      </c>
      <c r="BJ17" s="161">
        <v>509</v>
      </c>
      <c r="BK17" s="97"/>
      <c r="BL17" s="97"/>
      <c r="BM17" s="97"/>
      <c r="BN17" s="97"/>
    </row>
    <row r="18" spans="1:66" ht="12.75">
      <c r="A18" s="79" t="s">
        <v>260</v>
      </c>
      <c r="B18" s="79" t="s">
        <v>123</v>
      </c>
      <c r="C18" s="79" t="s">
        <v>284</v>
      </c>
      <c r="D18" s="99">
        <v>3160</v>
      </c>
      <c r="E18" s="99">
        <v>776</v>
      </c>
      <c r="F18" s="99" t="s">
        <v>153</v>
      </c>
      <c r="G18" s="99">
        <v>22</v>
      </c>
      <c r="H18" s="99">
        <v>9</v>
      </c>
      <c r="I18" s="99">
        <v>113</v>
      </c>
      <c r="J18" s="99">
        <v>350</v>
      </c>
      <c r="K18" s="99">
        <v>17</v>
      </c>
      <c r="L18" s="99">
        <v>583</v>
      </c>
      <c r="M18" s="99">
        <v>323</v>
      </c>
      <c r="N18" s="99">
        <v>164</v>
      </c>
      <c r="O18" s="99">
        <v>93</v>
      </c>
      <c r="P18" s="158">
        <v>93</v>
      </c>
      <c r="Q18" s="99">
        <v>13</v>
      </c>
      <c r="R18" s="99">
        <v>29</v>
      </c>
      <c r="S18" s="99">
        <v>21</v>
      </c>
      <c r="T18" s="99">
        <v>16</v>
      </c>
      <c r="U18" s="99" t="s">
        <v>868</v>
      </c>
      <c r="V18" s="99">
        <v>16</v>
      </c>
      <c r="W18" s="99">
        <v>20</v>
      </c>
      <c r="X18" s="99">
        <v>18</v>
      </c>
      <c r="Y18" s="99">
        <v>36</v>
      </c>
      <c r="Z18" s="99">
        <v>34</v>
      </c>
      <c r="AA18" s="99">
        <v>6</v>
      </c>
      <c r="AB18" s="99">
        <v>7</v>
      </c>
      <c r="AC18" s="99">
        <v>6</v>
      </c>
      <c r="AD18" s="98" t="s">
        <v>132</v>
      </c>
      <c r="AE18" s="100">
        <v>0.24556962025316456</v>
      </c>
      <c r="AF18" s="100">
        <v>0.06</v>
      </c>
      <c r="AG18" s="98">
        <v>696.2025316455696</v>
      </c>
      <c r="AH18" s="98">
        <v>284.8101265822785</v>
      </c>
      <c r="AI18" s="100">
        <v>0.0358</v>
      </c>
      <c r="AJ18" s="100">
        <v>0.730689</v>
      </c>
      <c r="AK18" s="100">
        <v>0.944444</v>
      </c>
      <c r="AL18" s="100">
        <v>0.811978</v>
      </c>
      <c r="AM18" s="100">
        <v>0.660532</v>
      </c>
      <c r="AN18" s="100">
        <v>0.607407</v>
      </c>
      <c r="AO18" s="98">
        <v>2943.0379746835442</v>
      </c>
      <c r="AP18" s="157">
        <v>1.205</v>
      </c>
      <c r="AQ18" s="100">
        <v>0.13978494623655913</v>
      </c>
      <c r="AR18" s="100">
        <v>0.4482758620689655</v>
      </c>
      <c r="AS18" s="98">
        <v>664.5569620253165</v>
      </c>
      <c r="AT18" s="98">
        <v>506.32911392405066</v>
      </c>
      <c r="AU18" s="98" t="s">
        <v>868</v>
      </c>
      <c r="AV18" s="98">
        <v>506.32911392405066</v>
      </c>
      <c r="AW18" s="98">
        <v>632.9113924050633</v>
      </c>
      <c r="AX18" s="98">
        <v>569.620253164557</v>
      </c>
      <c r="AY18" s="98">
        <v>1139.240506329114</v>
      </c>
      <c r="AZ18" s="98">
        <v>1075.9493670886077</v>
      </c>
      <c r="BA18" s="100">
        <v>0.3157894736842105</v>
      </c>
      <c r="BB18" s="100">
        <v>0.3684210526315789</v>
      </c>
      <c r="BC18" s="100">
        <v>0.3157894736842105</v>
      </c>
      <c r="BD18" s="157">
        <v>0.9726</v>
      </c>
      <c r="BE18" s="157">
        <v>1.4762</v>
      </c>
      <c r="BF18" s="161">
        <v>479</v>
      </c>
      <c r="BG18" s="161">
        <v>18</v>
      </c>
      <c r="BH18" s="161">
        <v>718</v>
      </c>
      <c r="BI18" s="161">
        <v>489</v>
      </c>
      <c r="BJ18" s="161">
        <v>270</v>
      </c>
      <c r="BK18" s="97"/>
      <c r="BL18" s="97"/>
      <c r="BM18" s="97"/>
      <c r="BN18" s="97"/>
    </row>
    <row r="19" spans="1:66" ht="12.75">
      <c r="A19" s="79" t="s">
        <v>285</v>
      </c>
      <c r="B19" s="79" t="s">
        <v>60</v>
      </c>
      <c r="C19" s="79" t="s">
        <v>284</v>
      </c>
      <c r="D19" s="99">
        <v>11818</v>
      </c>
      <c r="E19" s="99">
        <v>3116</v>
      </c>
      <c r="F19" s="99" t="s">
        <v>151</v>
      </c>
      <c r="G19" s="99">
        <v>100</v>
      </c>
      <c r="H19" s="99">
        <v>26</v>
      </c>
      <c r="I19" s="99">
        <v>313</v>
      </c>
      <c r="J19" s="99">
        <v>1449</v>
      </c>
      <c r="K19" s="99">
        <v>24</v>
      </c>
      <c r="L19" s="99">
        <v>2049</v>
      </c>
      <c r="M19" s="99">
        <v>1181</v>
      </c>
      <c r="N19" s="99">
        <v>615</v>
      </c>
      <c r="O19" s="99">
        <v>358</v>
      </c>
      <c r="P19" s="158">
        <v>358</v>
      </c>
      <c r="Q19" s="99">
        <v>47</v>
      </c>
      <c r="R19" s="99">
        <v>83</v>
      </c>
      <c r="S19" s="99">
        <v>48</v>
      </c>
      <c r="T19" s="99">
        <v>66</v>
      </c>
      <c r="U19" s="99">
        <v>9</v>
      </c>
      <c r="V19" s="99">
        <v>71</v>
      </c>
      <c r="W19" s="99">
        <v>75</v>
      </c>
      <c r="X19" s="99">
        <v>125</v>
      </c>
      <c r="Y19" s="99">
        <v>147</v>
      </c>
      <c r="Z19" s="99">
        <v>90</v>
      </c>
      <c r="AA19" s="99">
        <v>12</v>
      </c>
      <c r="AB19" s="99">
        <v>22</v>
      </c>
      <c r="AC19" s="99">
        <v>14</v>
      </c>
      <c r="AD19" s="98" t="s">
        <v>132</v>
      </c>
      <c r="AE19" s="100">
        <v>0.26366559485530544</v>
      </c>
      <c r="AF19" s="100">
        <v>0.1</v>
      </c>
      <c r="AG19" s="98">
        <v>846.1668641056016</v>
      </c>
      <c r="AH19" s="98">
        <v>220.00338466745643</v>
      </c>
      <c r="AI19" s="100">
        <v>0.0265</v>
      </c>
      <c r="AJ19" s="100">
        <v>0.781975</v>
      </c>
      <c r="AK19" s="100">
        <v>0.571429</v>
      </c>
      <c r="AL19" s="100">
        <v>0.771461</v>
      </c>
      <c r="AM19" s="100">
        <v>0.626193</v>
      </c>
      <c r="AN19" s="100">
        <v>0.607108</v>
      </c>
      <c r="AO19" s="98">
        <v>3029.2773734980537</v>
      </c>
      <c r="AP19" s="157">
        <v>1.2012</v>
      </c>
      <c r="AQ19" s="100">
        <v>0.13128491620111732</v>
      </c>
      <c r="AR19" s="100">
        <v>0.5662650602409639</v>
      </c>
      <c r="AS19" s="98">
        <v>406.1600947706888</v>
      </c>
      <c r="AT19" s="98">
        <v>558.4701303096971</v>
      </c>
      <c r="AU19" s="98">
        <v>76.15501776950414</v>
      </c>
      <c r="AV19" s="98">
        <v>600.7784735149771</v>
      </c>
      <c r="AW19" s="98">
        <v>634.6251480792013</v>
      </c>
      <c r="AX19" s="98">
        <v>1057.708580132002</v>
      </c>
      <c r="AY19" s="98">
        <v>1243.8652902352344</v>
      </c>
      <c r="AZ19" s="98">
        <v>761.5501776950415</v>
      </c>
      <c r="BA19" s="100">
        <v>0.25</v>
      </c>
      <c r="BB19" s="100">
        <v>0.4583333333333333</v>
      </c>
      <c r="BC19" s="100">
        <v>0.2916666666666667</v>
      </c>
      <c r="BD19" s="157">
        <v>1.0798999999999999</v>
      </c>
      <c r="BE19" s="157">
        <v>1.3322999999999998</v>
      </c>
      <c r="BF19" s="161">
        <v>1853</v>
      </c>
      <c r="BG19" s="161">
        <v>42</v>
      </c>
      <c r="BH19" s="161">
        <v>2656</v>
      </c>
      <c r="BI19" s="161">
        <v>1886</v>
      </c>
      <c r="BJ19" s="161">
        <v>1013</v>
      </c>
      <c r="BK19" s="97"/>
      <c r="BL19" s="97"/>
      <c r="BM19" s="97"/>
      <c r="BN19" s="97"/>
    </row>
    <row r="20" spans="1:66" ht="12.75">
      <c r="A20" s="79" t="s">
        <v>286</v>
      </c>
      <c r="B20" s="79" t="s">
        <v>62</v>
      </c>
      <c r="C20" s="79" t="s">
        <v>284</v>
      </c>
      <c r="D20" s="99">
        <v>9212</v>
      </c>
      <c r="E20" s="99">
        <v>1376</v>
      </c>
      <c r="F20" s="99" t="s">
        <v>152</v>
      </c>
      <c r="G20" s="99">
        <v>37</v>
      </c>
      <c r="H20" s="99">
        <v>24</v>
      </c>
      <c r="I20" s="99">
        <v>177</v>
      </c>
      <c r="J20" s="99">
        <v>756</v>
      </c>
      <c r="K20" s="99">
        <v>14</v>
      </c>
      <c r="L20" s="99">
        <v>1842</v>
      </c>
      <c r="M20" s="99">
        <v>587</v>
      </c>
      <c r="N20" s="99">
        <v>310</v>
      </c>
      <c r="O20" s="99">
        <v>253</v>
      </c>
      <c r="P20" s="158">
        <v>253</v>
      </c>
      <c r="Q20" s="99">
        <v>30</v>
      </c>
      <c r="R20" s="99">
        <v>49</v>
      </c>
      <c r="S20" s="99">
        <v>40</v>
      </c>
      <c r="T20" s="99">
        <v>32</v>
      </c>
      <c r="U20" s="99">
        <v>9</v>
      </c>
      <c r="V20" s="99">
        <v>39</v>
      </c>
      <c r="W20" s="99">
        <v>45</v>
      </c>
      <c r="X20" s="99">
        <v>52</v>
      </c>
      <c r="Y20" s="99">
        <v>88</v>
      </c>
      <c r="Z20" s="99">
        <v>73</v>
      </c>
      <c r="AA20" s="99">
        <v>12</v>
      </c>
      <c r="AB20" s="99">
        <v>22</v>
      </c>
      <c r="AC20" s="99">
        <v>9</v>
      </c>
      <c r="AD20" s="98" t="s">
        <v>132</v>
      </c>
      <c r="AE20" s="100">
        <v>0.14937038645245332</v>
      </c>
      <c r="AF20" s="100">
        <v>0.12</v>
      </c>
      <c r="AG20" s="98">
        <v>401.650021710812</v>
      </c>
      <c r="AH20" s="98">
        <v>260.5297438124186</v>
      </c>
      <c r="AI20" s="100">
        <v>0.0192</v>
      </c>
      <c r="AJ20" s="100">
        <v>0.697417</v>
      </c>
      <c r="AK20" s="100">
        <v>0.583333</v>
      </c>
      <c r="AL20" s="100">
        <v>0.811454</v>
      </c>
      <c r="AM20" s="100">
        <v>0.604531</v>
      </c>
      <c r="AN20" s="100">
        <v>0.597303</v>
      </c>
      <c r="AO20" s="98">
        <v>2746.417716022579</v>
      </c>
      <c r="AP20" s="157">
        <v>1.4150999999999998</v>
      </c>
      <c r="AQ20" s="100">
        <v>0.11857707509881422</v>
      </c>
      <c r="AR20" s="100">
        <v>0.6122448979591837</v>
      </c>
      <c r="AS20" s="98">
        <v>434.2162396873643</v>
      </c>
      <c r="AT20" s="98">
        <v>347.37299174989147</v>
      </c>
      <c r="AU20" s="98">
        <v>97.69865392965697</v>
      </c>
      <c r="AV20" s="98">
        <v>423.3608336951802</v>
      </c>
      <c r="AW20" s="98">
        <v>488.49326964828487</v>
      </c>
      <c r="AX20" s="98">
        <v>564.4811115935736</v>
      </c>
      <c r="AY20" s="98">
        <v>955.2757273122015</v>
      </c>
      <c r="AZ20" s="98">
        <v>792.4446374294398</v>
      </c>
      <c r="BA20" s="100">
        <v>0.27906976744186046</v>
      </c>
      <c r="BB20" s="100">
        <v>0.5116279069767442</v>
      </c>
      <c r="BC20" s="100">
        <v>0.20930232558139536</v>
      </c>
      <c r="BD20" s="157">
        <v>1.2461</v>
      </c>
      <c r="BE20" s="157">
        <v>1.6007</v>
      </c>
      <c r="BF20" s="161">
        <v>1084</v>
      </c>
      <c r="BG20" s="161">
        <v>24</v>
      </c>
      <c r="BH20" s="161">
        <v>2270</v>
      </c>
      <c r="BI20" s="161">
        <v>971</v>
      </c>
      <c r="BJ20" s="161">
        <v>519</v>
      </c>
      <c r="BK20" s="97"/>
      <c r="BL20" s="97"/>
      <c r="BM20" s="97"/>
      <c r="BN20" s="97"/>
    </row>
    <row r="21" spans="1:66" ht="12.75">
      <c r="A21" s="79" t="s">
        <v>412</v>
      </c>
      <c r="B21" s="79" t="s">
        <v>131</v>
      </c>
      <c r="C21" s="79" t="s">
        <v>284</v>
      </c>
      <c r="D21" s="99">
        <v>1602</v>
      </c>
      <c r="E21" s="99">
        <v>335</v>
      </c>
      <c r="F21" s="99" t="s">
        <v>151</v>
      </c>
      <c r="G21" s="99">
        <v>10</v>
      </c>
      <c r="H21" s="99">
        <v>9</v>
      </c>
      <c r="I21" s="99">
        <v>44</v>
      </c>
      <c r="J21" s="99">
        <v>127</v>
      </c>
      <c r="K21" s="99" t="s">
        <v>868</v>
      </c>
      <c r="L21" s="99">
        <v>277</v>
      </c>
      <c r="M21" s="99">
        <v>120</v>
      </c>
      <c r="N21" s="99">
        <v>53</v>
      </c>
      <c r="O21" s="99">
        <v>53</v>
      </c>
      <c r="P21" s="158">
        <v>53</v>
      </c>
      <c r="Q21" s="99">
        <v>9</v>
      </c>
      <c r="R21" s="99">
        <v>13</v>
      </c>
      <c r="S21" s="99">
        <v>9</v>
      </c>
      <c r="T21" s="99">
        <v>9</v>
      </c>
      <c r="U21" s="99" t="s">
        <v>868</v>
      </c>
      <c r="V21" s="99">
        <v>7</v>
      </c>
      <c r="W21" s="99">
        <v>11</v>
      </c>
      <c r="X21" s="99">
        <v>18</v>
      </c>
      <c r="Y21" s="99">
        <v>20</v>
      </c>
      <c r="Z21" s="99">
        <v>16</v>
      </c>
      <c r="AA21" s="99" t="s">
        <v>868</v>
      </c>
      <c r="AB21" s="99" t="s">
        <v>868</v>
      </c>
      <c r="AC21" s="99" t="s">
        <v>868</v>
      </c>
      <c r="AD21" s="98" t="s">
        <v>132</v>
      </c>
      <c r="AE21" s="100">
        <v>0.2091136079900125</v>
      </c>
      <c r="AF21" s="100">
        <v>0.08</v>
      </c>
      <c r="AG21" s="98">
        <v>624.2197253433209</v>
      </c>
      <c r="AH21" s="98">
        <v>561.7977528089888</v>
      </c>
      <c r="AI21" s="100">
        <v>0.0275</v>
      </c>
      <c r="AJ21" s="100">
        <v>0.697802</v>
      </c>
      <c r="AK21" s="100" t="s">
        <v>868</v>
      </c>
      <c r="AL21" s="100">
        <v>0.77591</v>
      </c>
      <c r="AM21" s="100">
        <v>0.606061</v>
      </c>
      <c r="AN21" s="100">
        <v>0.540816</v>
      </c>
      <c r="AO21" s="98">
        <v>3308.3645443196006</v>
      </c>
      <c r="AP21" s="157">
        <v>1.4957</v>
      </c>
      <c r="AQ21" s="100">
        <v>0.16981132075471697</v>
      </c>
      <c r="AR21" s="100">
        <v>0.6923076923076923</v>
      </c>
      <c r="AS21" s="98">
        <v>561.7977528089888</v>
      </c>
      <c r="AT21" s="98">
        <v>561.7977528089888</v>
      </c>
      <c r="AU21" s="98" t="s">
        <v>868</v>
      </c>
      <c r="AV21" s="98">
        <v>436.9538077403246</v>
      </c>
      <c r="AW21" s="98">
        <v>686.641697877653</v>
      </c>
      <c r="AX21" s="98">
        <v>1123.5955056179776</v>
      </c>
      <c r="AY21" s="98">
        <v>1248.4394506866417</v>
      </c>
      <c r="AZ21" s="98">
        <v>998.7515605493134</v>
      </c>
      <c r="BA21" s="100" t="s">
        <v>868</v>
      </c>
      <c r="BB21" s="100" t="s">
        <v>868</v>
      </c>
      <c r="BC21" s="100" t="s">
        <v>868</v>
      </c>
      <c r="BD21" s="157">
        <v>1.1204</v>
      </c>
      <c r="BE21" s="157">
        <v>1.9564</v>
      </c>
      <c r="BF21" s="161">
        <v>182</v>
      </c>
      <c r="BG21" s="161" t="s">
        <v>868</v>
      </c>
      <c r="BH21" s="161">
        <v>357</v>
      </c>
      <c r="BI21" s="161">
        <v>198</v>
      </c>
      <c r="BJ21" s="161">
        <v>98</v>
      </c>
      <c r="BK21" s="97"/>
      <c r="BL21" s="97"/>
      <c r="BM21" s="97"/>
      <c r="BN21" s="97"/>
    </row>
    <row r="22" spans="1:66" ht="12.75">
      <c r="A22" s="79" t="s">
        <v>871</v>
      </c>
      <c r="B22" s="79" t="s">
        <v>112</v>
      </c>
      <c r="C22" s="79" t="s">
        <v>284</v>
      </c>
      <c r="D22" s="99">
        <v>8134</v>
      </c>
      <c r="E22" s="99">
        <v>1872</v>
      </c>
      <c r="F22" s="99" t="s">
        <v>151</v>
      </c>
      <c r="G22" s="99">
        <v>56</v>
      </c>
      <c r="H22" s="99">
        <v>25</v>
      </c>
      <c r="I22" s="99">
        <v>203</v>
      </c>
      <c r="J22" s="99">
        <v>920</v>
      </c>
      <c r="K22" s="99">
        <v>24</v>
      </c>
      <c r="L22" s="99">
        <v>1441</v>
      </c>
      <c r="M22" s="99">
        <v>693</v>
      </c>
      <c r="N22" s="99">
        <v>334</v>
      </c>
      <c r="O22" s="99">
        <v>155</v>
      </c>
      <c r="P22" s="158">
        <v>155</v>
      </c>
      <c r="Q22" s="99">
        <v>32</v>
      </c>
      <c r="R22" s="99">
        <v>53</v>
      </c>
      <c r="S22" s="99">
        <v>28</v>
      </c>
      <c r="T22" s="99">
        <v>21</v>
      </c>
      <c r="U22" s="99" t="s">
        <v>868</v>
      </c>
      <c r="V22" s="99">
        <v>23</v>
      </c>
      <c r="W22" s="99">
        <v>47</v>
      </c>
      <c r="X22" s="99">
        <v>39</v>
      </c>
      <c r="Y22" s="99">
        <v>81</v>
      </c>
      <c r="Z22" s="99">
        <v>65</v>
      </c>
      <c r="AA22" s="99">
        <v>9</v>
      </c>
      <c r="AB22" s="99">
        <v>23</v>
      </c>
      <c r="AC22" s="99">
        <v>13</v>
      </c>
      <c r="AD22" s="98" t="s">
        <v>132</v>
      </c>
      <c r="AE22" s="100">
        <v>0.23014507007622326</v>
      </c>
      <c r="AF22" s="100">
        <v>0.11</v>
      </c>
      <c r="AG22" s="98">
        <v>688.4681583476764</v>
      </c>
      <c r="AH22" s="98">
        <v>307.3518564052127</v>
      </c>
      <c r="AI22" s="100">
        <v>0.025</v>
      </c>
      <c r="AJ22" s="100">
        <v>0.781648</v>
      </c>
      <c r="AK22" s="100">
        <v>0.631579</v>
      </c>
      <c r="AL22" s="100">
        <v>0.760021</v>
      </c>
      <c r="AM22" s="100">
        <v>0.643454</v>
      </c>
      <c r="AN22" s="100">
        <v>0.57094</v>
      </c>
      <c r="AO22" s="98">
        <v>1905.5815097123186</v>
      </c>
      <c r="AP22" s="157">
        <v>0.813</v>
      </c>
      <c r="AQ22" s="100">
        <v>0.2064516129032258</v>
      </c>
      <c r="AR22" s="100">
        <v>0.6037735849056604</v>
      </c>
      <c r="AS22" s="98">
        <v>344.2340791738382</v>
      </c>
      <c r="AT22" s="98">
        <v>258.1755593803787</v>
      </c>
      <c r="AU22" s="98" t="s">
        <v>868</v>
      </c>
      <c r="AV22" s="98">
        <v>282.76370789279565</v>
      </c>
      <c r="AW22" s="98">
        <v>577.8214900417998</v>
      </c>
      <c r="AX22" s="98">
        <v>479.4688959921318</v>
      </c>
      <c r="AY22" s="98">
        <v>995.820014752889</v>
      </c>
      <c r="AZ22" s="98">
        <v>799.114826653553</v>
      </c>
      <c r="BA22" s="100">
        <v>0.2</v>
      </c>
      <c r="BB22" s="100">
        <v>0.5111111111111111</v>
      </c>
      <c r="BC22" s="100">
        <v>0.28888888888888886</v>
      </c>
      <c r="BD22" s="157">
        <v>0.6901</v>
      </c>
      <c r="BE22" s="157">
        <v>0.9516</v>
      </c>
      <c r="BF22" s="161">
        <v>1177</v>
      </c>
      <c r="BG22" s="161">
        <v>38</v>
      </c>
      <c r="BH22" s="161">
        <v>1896</v>
      </c>
      <c r="BI22" s="161">
        <v>1077</v>
      </c>
      <c r="BJ22" s="161">
        <v>585</v>
      </c>
      <c r="BK22" s="97"/>
      <c r="BL22" s="97"/>
      <c r="BM22" s="97"/>
      <c r="BN22" s="97"/>
    </row>
    <row r="23" spans="1:66" ht="12.75">
      <c r="A23" s="79" t="s">
        <v>869</v>
      </c>
      <c r="B23" s="79" t="s">
        <v>101</v>
      </c>
      <c r="C23" s="79" t="s">
        <v>284</v>
      </c>
      <c r="D23" s="99">
        <v>2290</v>
      </c>
      <c r="E23" s="99">
        <v>590</v>
      </c>
      <c r="F23" s="99" t="s">
        <v>151</v>
      </c>
      <c r="G23" s="99">
        <v>19</v>
      </c>
      <c r="H23" s="99" t="s">
        <v>868</v>
      </c>
      <c r="I23" s="99">
        <v>82</v>
      </c>
      <c r="J23" s="99">
        <v>270</v>
      </c>
      <c r="K23" s="99" t="s">
        <v>868</v>
      </c>
      <c r="L23" s="99">
        <v>465</v>
      </c>
      <c r="M23" s="99">
        <v>213</v>
      </c>
      <c r="N23" s="99">
        <v>111</v>
      </c>
      <c r="O23" s="99">
        <v>52</v>
      </c>
      <c r="P23" s="158">
        <v>52</v>
      </c>
      <c r="Q23" s="99" t="s">
        <v>868</v>
      </c>
      <c r="R23" s="99">
        <v>14</v>
      </c>
      <c r="S23" s="99">
        <v>14</v>
      </c>
      <c r="T23" s="99">
        <v>10</v>
      </c>
      <c r="U23" s="99" t="s">
        <v>868</v>
      </c>
      <c r="V23" s="99">
        <v>8</v>
      </c>
      <c r="W23" s="99">
        <v>16</v>
      </c>
      <c r="X23" s="99">
        <v>20</v>
      </c>
      <c r="Y23" s="99">
        <v>22</v>
      </c>
      <c r="Z23" s="99">
        <v>15</v>
      </c>
      <c r="AA23" s="99" t="s">
        <v>868</v>
      </c>
      <c r="AB23" s="99">
        <v>11</v>
      </c>
      <c r="AC23" s="99" t="s">
        <v>868</v>
      </c>
      <c r="AD23" s="98" t="s">
        <v>132</v>
      </c>
      <c r="AE23" s="100">
        <v>0.2576419213973799</v>
      </c>
      <c r="AF23" s="100">
        <v>0.08</v>
      </c>
      <c r="AG23" s="98">
        <v>829.6943231441048</v>
      </c>
      <c r="AH23" s="98" t="s">
        <v>868</v>
      </c>
      <c r="AI23" s="100">
        <v>0.0358</v>
      </c>
      <c r="AJ23" s="100">
        <v>0.747922</v>
      </c>
      <c r="AK23" s="100" t="s">
        <v>868</v>
      </c>
      <c r="AL23" s="100">
        <v>0.83935</v>
      </c>
      <c r="AM23" s="100">
        <v>0.613833</v>
      </c>
      <c r="AN23" s="100">
        <v>0.581152</v>
      </c>
      <c r="AO23" s="98">
        <v>2270.7423580786026</v>
      </c>
      <c r="AP23" s="157">
        <v>0.9039</v>
      </c>
      <c r="AQ23" s="100" t="s">
        <v>868</v>
      </c>
      <c r="AR23" s="100" t="s">
        <v>868</v>
      </c>
      <c r="AS23" s="98">
        <v>611.353711790393</v>
      </c>
      <c r="AT23" s="98">
        <v>436.68122270742356</v>
      </c>
      <c r="AU23" s="98" t="s">
        <v>868</v>
      </c>
      <c r="AV23" s="98">
        <v>349.34497816593887</v>
      </c>
      <c r="AW23" s="98">
        <v>698.6899563318777</v>
      </c>
      <c r="AX23" s="98">
        <v>873.3624454148471</v>
      </c>
      <c r="AY23" s="98">
        <v>960.6986899563319</v>
      </c>
      <c r="AZ23" s="98">
        <v>655.0218340611353</v>
      </c>
      <c r="BA23" s="100" t="s">
        <v>868</v>
      </c>
      <c r="BB23" s="100">
        <v>0.6111111111111112</v>
      </c>
      <c r="BC23" s="100" t="s">
        <v>868</v>
      </c>
      <c r="BD23" s="157">
        <v>0.6751</v>
      </c>
      <c r="BE23" s="157">
        <v>1.1853</v>
      </c>
      <c r="BF23" s="161">
        <v>361</v>
      </c>
      <c r="BG23" s="161" t="s">
        <v>868</v>
      </c>
      <c r="BH23" s="161">
        <v>554</v>
      </c>
      <c r="BI23" s="161">
        <v>347</v>
      </c>
      <c r="BJ23" s="161">
        <v>191</v>
      </c>
      <c r="BK23" s="97"/>
      <c r="BL23" s="97"/>
      <c r="BM23" s="97"/>
      <c r="BN23" s="97"/>
    </row>
    <row r="24" spans="1:66" ht="12.75">
      <c r="A24" s="79" t="s">
        <v>872</v>
      </c>
      <c r="B24" s="79" t="s">
        <v>85</v>
      </c>
      <c r="C24" s="79" t="s">
        <v>284</v>
      </c>
      <c r="D24" s="99">
        <v>8169</v>
      </c>
      <c r="E24" s="99">
        <v>1706</v>
      </c>
      <c r="F24" s="99" t="s">
        <v>151</v>
      </c>
      <c r="G24" s="99">
        <v>29</v>
      </c>
      <c r="H24" s="99">
        <v>19</v>
      </c>
      <c r="I24" s="99">
        <v>196</v>
      </c>
      <c r="J24" s="99">
        <v>865</v>
      </c>
      <c r="K24" s="99">
        <v>850</v>
      </c>
      <c r="L24" s="99">
        <v>1484</v>
      </c>
      <c r="M24" s="99">
        <v>649</v>
      </c>
      <c r="N24" s="99">
        <v>321</v>
      </c>
      <c r="O24" s="99">
        <v>190</v>
      </c>
      <c r="P24" s="158">
        <v>190</v>
      </c>
      <c r="Q24" s="99">
        <v>24</v>
      </c>
      <c r="R24" s="99">
        <v>54</v>
      </c>
      <c r="S24" s="99">
        <v>43</v>
      </c>
      <c r="T24" s="99">
        <v>22</v>
      </c>
      <c r="U24" s="99" t="s">
        <v>868</v>
      </c>
      <c r="V24" s="99">
        <v>34</v>
      </c>
      <c r="W24" s="99">
        <v>42</v>
      </c>
      <c r="X24" s="99">
        <v>44</v>
      </c>
      <c r="Y24" s="99">
        <v>79</v>
      </c>
      <c r="Z24" s="99">
        <v>49</v>
      </c>
      <c r="AA24" s="99">
        <v>13</v>
      </c>
      <c r="AB24" s="99">
        <v>24</v>
      </c>
      <c r="AC24" s="99">
        <v>15</v>
      </c>
      <c r="AD24" s="98" t="s">
        <v>132</v>
      </c>
      <c r="AE24" s="100">
        <v>0.2088382911005019</v>
      </c>
      <c r="AF24" s="100">
        <v>0.1</v>
      </c>
      <c r="AG24" s="98">
        <v>355.0006120700208</v>
      </c>
      <c r="AH24" s="98">
        <v>232.58660790794468</v>
      </c>
      <c r="AI24" s="100">
        <v>0.024</v>
      </c>
      <c r="AJ24" s="100">
        <v>0.776481</v>
      </c>
      <c r="AK24" s="100">
        <v>0.774135</v>
      </c>
      <c r="AL24" s="100">
        <v>0.754832</v>
      </c>
      <c r="AM24" s="100">
        <v>0.644489</v>
      </c>
      <c r="AN24" s="100">
        <v>0.602251</v>
      </c>
      <c r="AO24" s="98">
        <v>2325.8660790794465</v>
      </c>
      <c r="AP24" s="157">
        <v>1.0386</v>
      </c>
      <c r="AQ24" s="100">
        <v>0.12631578947368421</v>
      </c>
      <c r="AR24" s="100">
        <v>0.4444444444444444</v>
      </c>
      <c r="AS24" s="98">
        <v>526.3802178969274</v>
      </c>
      <c r="AT24" s="98">
        <v>269.31080915656753</v>
      </c>
      <c r="AU24" s="98" t="s">
        <v>868</v>
      </c>
      <c r="AV24" s="98">
        <v>416.20761415105886</v>
      </c>
      <c r="AW24" s="98">
        <v>514.1388174807198</v>
      </c>
      <c r="AX24" s="98">
        <v>538.6216183131351</v>
      </c>
      <c r="AY24" s="98">
        <v>967.0706328804015</v>
      </c>
      <c r="AZ24" s="98">
        <v>599.8286203941731</v>
      </c>
      <c r="BA24" s="100">
        <v>0.25</v>
      </c>
      <c r="BB24" s="100">
        <v>0.46153846153846156</v>
      </c>
      <c r="BC24" s="100">
        <v>0.28846153846153844</v>
      </c>
      <c r="BD24" s="157">
        <v>0.8962</v>
      </c>
      <c r="BE24" s="157">
        <v>1.1972</v>
      </c>
      <c r="BF24" s="161">
        <v>1114</v>
      </c>
      <c r="BG24" s="161">
        <v>1098</v>
      </c>
      <c r="BH24" s="161">
        <v>1966</v>
      </c>
      <c r="BI24" s="161">
        <v>1007</v>
      </c>
      <c r="BJ24" s="161">
        <v>533</v>
      </c>
      <c r="BK24" s="97"/>
      <c r="BL24" s="97"/>
      <c r="BM24" s="97"/>
      <c r="BN24" s="97"/>
    </row>
    <row r="25" spans="1:66" ht="12.75">
      <c r="A25" s="79" t="s">
        <v>870</v>
      </c>
      <c r="B25" s="79" t="s">
        <v>113</v>
      </c>
      <c r="C25" s="79" t="s">
        <v>284</v>
      </c>
      <c r="D25" s="99">
        <v>4032</v>
      </c>
      <c r="E25" s="99">
        <v>921</v>
      </c>
      <c r="F25" s="99" t="s">
        <v>151</v>
      </c>
      <c r="G25" s="99">
        <v>23</v>
      </c>
      <c r="H25" s="99">
        <v>12</v>
      </c>
      <c r="I25" s="99">
        <v>106</v>
      </c>
      <c r="J25" s="99">
        <v>421</v>
      </c>
      <c r="K25" s="99">
        <v>415</v>
      </c>
      <c r="L25" s="99">
        <v>693</v>
      </c>
      <c r="M25" s="99">
        <v>356</v>
      </c>
      <c r="N25" s="99">
        <v>186</v>
      </c>
      <c r="O25" s="99">
        <v>106</v>
      </c>
      <c r="P25" s="158">
        <v>106</v>
      </c>
      <c r="Q25" s="99">
        <v>18</v>
      </c>
      <c r="R25" s="99">
        <v>28</v>
      </c>
      <c r="S25" s="99">
        <v>20</v>
      </c>
      <c r="T25" s="99">
        <v>12</v>
      </c>
      <c r="U25" s="99" t="s">
        <v>868</v>
      </c>
      <c r="V25" s="99">
        <v>18</v>
      </c>
      <c r="W25" s="99">
        <v>17</v>
      </c>
      <c r="X25" s="99">
        <v>13</v>
      </c>
      <c r="Y25" s="99">
        <v>33</v>
      </c>
      <c r="Z25" s="99">
        <v>45</v>
      </c>
      <c r="AA25" s="99" t="s">
        <v>868</v>
      </c>
      <c r="AB25" s="99">
        <v>12</v>
      </c>
      <c r="AC25" s="99" t="s">
        <v>868</v>
      </c>
      <c r="AD25" s="98" t="s">
        <v>132</v>
      </c>
      <c r="AE25" s="100">
        <v>0.22842261904761904</v>
      </c>
      <c r="AF25" s="100">
        <v>0.1</v>
      </c>
      <c r="AG25" s="98">
        <v>570.436507936508</v>
      </c>
      <c r="AH25" s="98">
        <v>297.6190476190476</v>
      </c>
      <c r="AI25" s="100">
        <v>0.0263</v>
      </c>
      <c r="AJ25" s="100">
        <v>0.755835</v>
      </c>
      <c r="AK25" s="100">
        <v>0.768519</v>
      </c>
      <c r="AL25" s="100">
        <v>0.764057</v>
      </c>
      <c r="AM25" s="100">
        <v>0.633452</v>
      </c>
      <c r="AN25" s="100">
        <v>0.605863</v>
      </c>
      <c r="AO25" s="98">
        <v>2628.968253968254</v>
      </c>
      <c r="AP25" s="157">
        <v>1.1146</v>
      </c>
      <c r="AQ25" s="100">
        <v>0.16981132075471697</v>
      </c>
      <c r="AR25" s="100">
        <v>0.6428571428571429</v>
      </c>
      <c r="AS25" s="98">
        <v>496.031746031746</v>
      </c>
      <c r="AT25" s="98">
        <v>297.6190476190476</v>
      </c>
      <c r="AU25" s="98" t="s">
        <v>868</v>
      </c>
      <c r="AV25" s="98">
        <v>446.42857142857144</v>
      </c>
      <c r="AW25" s="98">
        <v>421.62698412698415</v>
      </c>
      <c r="AX25" s="98">
        <v>322.42063492063494</v>
      </c>
      <c r="AY25" s="98">
        <v>818.452380952381</v>
      </c>
      <c r="AZ25" s="98">
        <v>1116.0714285714287</v>
      </c>
      <c r="BA25" s="100" t="s">
        <v>868</v>
      </c>
      <c r="BB25" s="100">
        <v>0.48</v>
      </c>
      <c r="BC25" s="100" t="s">
        <v>868</v>
      </c>
      <c r="BD25" s="157">
        <v>0.9125</v>
      </c>
      <c r="BE25" s="157">
        <v>1.3481</v>
      </c>
      <c r="BF25" s="161">
        <v>557</v>
      </c>
      <c r="BG25" s="161">
        <v>540</v>
      </c>
      <c r="BH25" s="161">
        <v>907</v>
      </c>
      <c r="BI25" s="161">
        <v>562</v>
      </c>
      <c r="BJ25" s="161">
        <v>307</v>
      </c>
      <c r="BK25" s="97"/>
      <c r="BL25" s="97"/>
      <c r="BM25" s="97"/>
      <c r="BN25" s="97"/>
    </row>
    <row r="26" spans="1:66" ht="12.75">
      <c r="A26" s="79" t="s">
        <v>873</v>
      </c>
      <c r="B26" s="79" t="s">
        <v>68</v>
      </c>
      <c r="C26" s="79" t="s">
        <v>284</v>
      </c>
      <c r="D26" s="99">
        <v>5976</v>
      </c>
      <c r="E26" s="99">
        <v>1349</v>
      </c>
      <c r="F26" s="99" t="s">
        <v>151</v>
      </c>
      <c r="G26" s="99">
        <v>35</v>
      </c>
      <c r="H26" s="99">
        <v>20</v>
      </c>
      <c r="I26" s="99">
        <v>128</v>
      </c>
      <c r="J26" s="99">
        <v>656</v>
      </c>
      <c r="K26" s="99">
        <v>15</v>
      </c>
      <c r="L26" s="99">
        <v>1136</v>
      </c>
      <c r="M26" s="99">
        <v>539</v>
      </c>
      <c r="N26" s="99">
        <v>275</v>
      </c>
      <c r="O26" s="99">
        <v>137</v>
      </c>
      <c r="P26" s="158">
        <v>137</v>
      </c>
      <c r="Q26" s="99">
        <v>22</v>
      </c>
      <c r="R26" s="99">
        <v>47</v>
      </c>
      <c r="S26" s="99">
        <v>27</v>
      </c>
      <c r="T26" s="99">
        <v>29</v>
      </c>
      <c r="U26" s="99" t="s">
        <v>868</v>
      </c>
      <c r="V26" s="99">
        <v>15</v>
      </c>
      <c r="W26" s="99">
        <v>28</v>
      </c>
      <c r="X26" s="99">
        <v>20</v>
      </c>
      <c r="Y26" s="99">
        <v>38</v>
      </c>
      <c r="Z26" s="99">
        <v>36</v>
      </c>
      <c r="AA26" s="99">
        <v>10</v>
      </c>
      <c r="AB26" s="99">
        <v>17</v>
      </c>
      <c r="AC26" s="99">
        <v>8</v>
      </c>
      <c r="AD26" s="98" t="s">
        <v>132</v>
      </c>
      <c r="AE26" s="100">
        <v>0.22573627844712182</v>
      </c>
      <c r="AF26" s="100">
        <v>0.11</v>
      </c>
      <c r="AG26" s="98">
        <v>585.6760374832664</v>
      </c>
      <c r="AH26" s="98">
        <v>334.67202141900935</v>
      </c>
      <c r="AI26" s="100">
        <v>0.021400000000000002</v>
      </c>
      <c r="AJ26" s="100">
        <v>0.780952</v>
      </c>
      <c r="AK26" s="100">
        <v>0.625</v>
      </c>
      <c r="AL26" s="100">
        <v>0.787795</v>
      </c>
      <c r="AM26" s="100">
        <v>0.632629</v>
      </c>
      <c r="AN26" s="100">
        <v>0.608407</v>
      </c>
      <c r="AO26" s="98">
        <v>2292.5033467202143</v>
      </c>
      <c r="AP26" s="157">
        <v>0.9789</v>
      </c>
      <c r="AQ26" s="100">
        <v>0.16058394160583941</v>
      </c>
      <c r="AR26" s="100">
        <v>0.46808510638297873</v>
      </c>
      <c r="AS26" s="98">
        <v>451.8072289156627</v>
      </c>
      <c r="AT26" s="98">
        <v>485.27443105756356</v>
      </c>
      <c r="AU26" s="98" t="s">
        <v>868</v>
      </c>
      <c r="AV26" s="98">
        <v>251.00401606425703</v>
      </c>
      <c r="AW26" s="98">
        <v>468.5408299866131</v>
      </c>
      <c r="AX26" s="98">
        <v>334.67202141900935</v>
      </c>
      <c r="AY26" s="98">
        <v>635.8768406961178</v>
      </c>
      <c r="AZ26" s="98">
        <v>602.4096385542168</v>
      </c>
      <c r="BA26" s="100">
        <v>0.2857142857142857</v>
      </c>
      <c r="BB26" s="100">
        <v>0.4857142857142857</v>
      </c>
      <c r="BC26" s="100">
        <v>0.22857142857142856</v>
      </c>
      <c r="BD26" s="157">
        <v>0.8219</v>
      </c>
      <c r="BE26" s="157">
        <v>1.1573</v>
      </c>
      <c r="BF26" s="161">
        <v>840</v>
      </c>
      <c r="BG26" s="161">
        <v>24</v>
      </c>
      <c r="BH26" s="161">
        <v>1442</v>
      </c>
      <c r="BI26" s="161">
        <v>852</v>
      </c>
      <c r="BJ26" s="161">
        <v>452</v>
      </c>
      <c r="BK26" s="97"/>
      <c r="BL26" s="97"/>
      <c r="BM26" s="97"/>
      <c r="BN26" s="97"/>
    </row>
    <row r="27" spans="1:66" ht="12.75">
      <c r="A27" s="79" t="s">
        <v>255</v>
      </c>
      <c r="B27" s="79" t="s">
        <v>117</v>
      </c>
      <c r="C27" s="79" t="s">
        <v>284</v>
      </c>
      <c r="D27" s="99">
        <v>2132</v>
      </c>
      <c r="E27" s="99">
        <v>674</v>
      </c>
      <c r="F27" s="99" t="s">
        <v>152</v>
      </c>
      <c r="G27" s="99">
        <v>28</v>
      </c>
      <c r="H27" s="99">
        <v>15</v>
      </c>
      <c r="I27" s="99">
        <v>72</v>
      </c>
      <c r="J27" s="99">
        <v>306</v>
      </c>
      <c r="K27" s="99" t="s">
        <v>868</v>
      </c>
      <c r="L27" s="99">
        <v>378</v>
      </c>
      <c r="M27" s="99">
        <v>261</v>
      </c>
      <c r="N27" s="99">
        <v>137</v>
      </c>
      <c r="O27" s="99">
        <v>56</v>
      </c>
      <c r="P27" s="158">
        <v>56</v>
      </c>
      <c r="Q27" s="99" t="s">
        <v>868</v>
      </c>
      <c r="R27" s="99">
        <v>14</v>
      </c>
      <c r="S27" s="99">
        <v>11</v>
      </c>
      <c r="T27" s="99">
        <v>16</v>
      </c>
      <c r="U27" s="99" t="s">
        <v>868</v>
      </c>
      <c r="V27" s="99" t="s">
        <v>868</v>
      </c>
      <c r="W27" s="99">
        <v>11</v>
      </c>
      <c r="X27" s="99" t="s">
        <v>868</v>
      </c>
      <c r="Y27" s="99">
        <v>17</v>
      </c>
      <c r="Z27" s="99">
        <v>36</v>
      </c>
      <c r="AA27" s="99" t="s">
        <v>868</v>
      </c>
      <c r="AB27" s="99" t="s">
        <v>868</v>
      </c>
      <c r="AC27" s="99" t="s">
        <v>868</v>
      </c>
      <c r="AD27" s="98" t="s">
        <v>132</v>
      </c>
      <c r="AE27" s="100">
        <v>0.31613508442776733</v>
      </c>
      <c r="AF27" s="100">
        <v>0.13</v>
      </c>
      <c r="AG27" s="98">
        <v>1313.3208255159475</v>
      </c>
      <c r="AH27" s="98">
        <v>703.5647279549719</v>
      </c>
      <c r="AI27" s="100">
        <v>0.0338</v>
      </c>
      <c r="AJ27" s="100">
        <v>0.805263</v>
      </c>
      <c r="AK27" s="100" t="s">
        <v>868</v>
      </c>
      <c r="AL27" s="100">
        <v>0.785863</v>
      </c>
      <c r="AM27" s="100">
        <v>0.676166</v>
      </c>
      <c r="AN27" s="100">
        <v>0.637209</v>
      </c>
      <c r="AO27" s="98">
        <v>2626.641651031895</v>
      </c>
      <c r="AP27" s="157">
        <v>0.9378</v>
      </c>
      <c r="AQ27" s="100" t="s">
        <v>868</v>
      </c>
      <c r="AR27" s="100" t="s">
        <v>868</v>
      </c>
      <c r="AS27" s="98">
        <v>515.9474671669793</v>
      </c>
      <c r="AT27" s="98">
        <v>750.46904315197</v>
      </c>
      <c r="AU27" s="98" t="s">
        <v>868</v>
      </c>
      <c r="AV27" s="98" t="s">
        <v>868</v>
      </c>
      <c r="AW27" s="98">
        <v>515.9474671669793</v>
      </c>
      <c r="AX27" s="98" t="s">
        <v>868</v>
      </c>
      <c r="AY27" s="98">
        <v>797.373358348968</v>
      </c>
      <c r="AZ27" s="98">
        <v>1688.5553470919324</v>
      </c>
      <c r="BA27" s="100" t="s">
        <v>868</v>
      </c>
      <c r="BB27" s="100" t="s">
        <v>868</v>
      </c>
      <c r="BC27" s="100" t="s">
        <v>868</v>
      </c>
      <c r="BD27" s="157">
        <v>0.7084</v>
      </c>
      <c r="BE27" s="157">
        <v>1.2178</v>
      </c>
      <c r="BF27" s="161">
        <v>380</v>
      </c>
      <c r="BG27" s="161" t="s">
        <v>868</v>
      </c>
      <c r="BH27" s="161">
        <v>481</v>
      </c>
      <c r="BI27" s="161">
        <v>386</v>
      </c>
      <c r="BJ27" s="161">
        <v>215</v>
      </c>
      <c r="BK27" s="97"/>
      <c r="BL27" s="97"/>
      <c r="BM27" s="97"/>
      <c r="BN27" s="97"/>
    </row>
    <row r="28" spans="1:66" ht="12.75">
      <c r="A28" s="79" t="s">
        <v>240</v>
      </c>
      <c r="B28" s="79" t="s">
        <v>91</v>
      </c>
      <c r="C28" s="79" t="s">
        <v>284</v>
      </c>
      <c r="D28" s="99">
        <v>14108</v>
      </c>
      <c r="E28" s="99">
        <v>2533</v>
      </c>
      <c r="F28" s="99" t="s">
        <v>152</v>
      </c>
      <c r="G28" s="99">
        <v>80</v>
      </c>
      <c r="H28" s="99">
        <v>33</v>
      </c>
      <c r="I28" s="99">
        <v>297</v>
      </c>
      <c r="J28" s="99">
        <v>1406</v>
      </c>
      <c r="K28" s="99">
        <v>16</v>
      </c>
      <c r="L28" s="99">
        <v>2765</v>
      </c>
      <c r="M28" s="99">
        <v>1055</v>
      </c>
      <c r="N28" s="99">
        <v>548</v>
      </c>
      <c r="O28" s="99">
        <v>377</v>
      </c>
      <c r="P28" s="158">
        <v>377</v>
      </c>
      <c r="Q28" s="99">
        <v>52</v>
      </c>
      <c r="R28" s="99">
        <v>83</v>
      </c>
      <c r="S28" s="99">
        <v>65</v>
      </c>
      <c r="T28" s="99">
        <v>67</v>
      </c>
      <c r="U28" s="99">
        <v>10</v>
      </c>
      <c r="V28" s="99">
        <v>49</v>
      </c>
      <c r="W28" s="99">
        <v>86</v>
      </c>
      <c r="X28" s="99">
        <v>69</v>
      </c>
      <c r="Y28" s="99">
        <v>153</v>
      </c>
      <c r="Z28" s="99">
        <v>114</v>
      </c>
      <c r="AA28" s="99">
        <v>13</v>
      </c>
      <c r="AB28" s="99">
        <v>31</v>
      </c>
      <c r="AC28" s="99">
        <v>28</v>
      </c>
      <c r="AD28" s="98" t="s">
        <v>132</v>
      </c>
      <c r="AE28" s="100">
        <v>0.1795435214062943</v>
      </c>
      <c r="AF28" s="100">
        <v>0.14</v>
      </c>
      <c r="AG28" s="98">
        <v>567.0541536716756</v>
      </c>
      <c r="AH28" s="98">
        <v>233.9098383895662</v>
      </c>
      <c r="AI28" s="100">
        <v>0.021099999999999997</v>
      </c>
      <c r="AJ28" s="100">
        <v>0.779811</v>
      </c>
      <c r="AK28" s="100">
        <v>0.444444</v>
      </c>
      <c r="AL28" s="100">
        <v>0.801217</v>
      </c>
      <c r="AM28" s="100">
        <v>0.611594</v>
      </c>
      <c r="AN28" s="100">
        <v>0.592432</v>
      </c>
      <c r="AO28" s="98">
        <v>2672.2426991777716</v>
      </c>
      <c r="AP28" s="157">
        <v>1.2771</v>
      </c>
      <c r="AQ28" s="100">
        <v>0.13793103448275862</v>
      </c>
      <c r="AR28" s="100">
        <v>0.6265060240963856</v>
      </c>
      <c r="AS28" s="98">
        <v>460.7314998582365</v>
      </c>
      <c r="AT28" s="98">
        <v>474.90785370002834</v>
      </c>
      <c r="AU28" s="98">
        <v>70.88176920895945</v>
      </c>
      <c r="AV28" s="98">
        <v>347.3206691239013</v>
      </c>
      <c r="AW28" s="98">
        <v>609.5832151970513</v>
      </c>
      <c r="AX28" s="98">
        <v>489.08420754182026</v>
      </c>
      <c r="AY28" s="98">
        <v>1084.4910688970797</v>
      </c>
      <c r="AZ28" s="98">
        <v>808.0521689821378</v>
      </c>
      <c r="BA28" s="100">
        <v>0.18055555555555555</v>
      </c>
      <c r="BB28" s="100">
        <v>0.4305555555555556</v>
      </c>
      <c r="BC28" s="100">
        <v>0.3888888888888889</v>
      </c>
      <c r="BD28" s="157">
        <v>1.1514</v>
      </c>
      <c r="BE28" s="157">
        <v>1.4127</v>
      </c>
      <c r="BF28" s="161">
        <v>1803</v>
      </c>
      <c r="BG28" s="161">
        <v>36</v>
      </c>
      <c r="BH28" s="161">
        <v>3451</v>
      </c>
      <c r="BI28" s="161">
        <v>1725</v>
      </c>
      <c r="BJ28" s="161">
        <v>925</v>
      </c>
      <c r="BK28" s="97"/>
      <c r="BL28" s="97"/>
      <c r="BM28" s="97"/>
      <c r="BN28" s="97"/>
    </row>
    <row r="29" spans="1:66" ht="12.75">
      <c r="A29" s="79" t="s">
        <v>297</v>
      </c>
      <c r="B29" s="79" t="s">
        <v>86</v>
      </c>
      <c r="C29" s="79" t="s">
        <v>284</v>
      </c>
      <c r="D29" s="99">
        <v>9243</v>
      </c>
      <c r="E29" s="99">
        <v>2199</v>
      </c>
      <c r="F29" s="99" t="s">
        <v>152</v>
      </c>
      <c r="G29" s="99">
        <v>54</v>
      </c>
      <c r="H29" s="99">
        <v>34</v>
      </c>
      <c r="I29" s="99">
        <v>210</v>
      </c>
      <c r="J29" s="99">
        <v>964</v>
      </c>
      <c r="K29" s="99">
        <v>16</v>
      </c>
      <c r="L29" s="99">
        <v>1546</v>
      </c>
      <c r="M29" s="99">
        <v>822</v>
      </c>
      <c r="N29" s="99">
        <v>403</v>
      </c>
      <c r="O29" s="99">
        <v>207</v>
      </c>
      <c r="P29" s="158">
        <v>207</v>
      </c>
      <c r="Q29" s="99">
        <v>25</v>
      </c>
      <c r="R29" s="99">
        <v>58</v>
      </c>
      <c r="S29" s="99">
        <v>36</v>
      </c>
      <c r="T29" s="99">
        <v>51</v>
      </c>
      <c r="U29" s="99" t="s">
        <v>868</v>
      </c>
      <c r="V29" s="99">
        <v>28</v>
      </c>
      <c r="W29" s="99">
        <v>48</v>
      </c>
      <c r="X29" s="99">
        <v>47</v>
      </c>
      <c r="Y29" s="99">
        <v>77</v>
      </c>
      <c r="Z29" s="99">
        <v>66</v>
      </c>
      <c r="AA29" s="99">
        <v>10</v>
      </c>
      <c r="AB29" s="99">
        <v>26</v>
      </c>
      <c r="AC29" s="99">
        <v>11</v>
      </c>
      <c r="AD29" s="98" t="s">
        <v>132</v>
      </c>
      <c r="AE29" s="100">
        <v>0.23790976955533918</v>
      </c>
      <c r="AF29" s="100">
        <v>0.11</v>
      </c>
      <c r="AG29" s="98">
        <v>584.2259006815968</v>
      </c>
      <c r="AH29" s="98">
        <v>367.8459374661906</v>
      </c>
      <c r="AI29" s="100">
        <v>0.0227</v>
      </c>
      <c r="AJ29" s="100">
        <v>0.769968</v>
      </c>
      <c r="AK29" s="100">
        <v>0.615385</v>
      </c>
      <c r="AL29" s="100">
        <v>0.787169</v>
      </c>
      <c r="AM29" s="100">
        <v>0.648265</v>
      </c>
      <c r="AN29" s="100">
        <v>0.607843</v>
      </c>
      <c r="AO29" s="98">
        <v>2239.5326192794546</v>
      </c>
      <c r="AP29" s="157">
        <v>0.9486</v>
      </c>
      <c r="AQ29" s="100">
        <v>0.12077294685990338</v>
      </c>
      <c r="AR29" s="100">
        <v>0.43103448275862066</v>
      </c>
      <c r="AS29" s="98">
        <v>389.48393378773125</v>
      </c>
      <c r="AT29" s="98">
        <v>551.768906199286</v>
      </c>
      <c r="AU29" s="98" t="s">
        <v>868</v>
      </c>
      <c r="AV29" s="98">
        <v>302.93194850156874</v>
      </c>
      <c r="AW29" s="98">
        <v>519.311911716975</v>
      </c>
      <c r="AX29" s="98">
        <v>508.4929135562047</v>
      </c>
      <c r="AY29" s="98">
        <v>833.0628583793141</v>
      </c>
      <c r="AZ29" s="98">
        <v>714.0538786108407</v>
      </c>
      <c r="BA29" s="100">
        <v>0.2127659574468085</v>
      </c>
      <c r="BB29" s="100">
        <v>0.5531914893617021</v>
      </c>
      <c r="BC29" s="100">
        <v>0.23404255319148937</v>
      </c>
      <c r="BD29" s="157">
        <v>0.8238</v>
      </c>
      <c r="BE29" s="157">
        <v>1.087</v>
      </c>
      <c r="BF29" s="161">
        <v>1252</v>
      </c>
      <c r="BG29" s="161">
        <v>26</v>
      </c>
      <c r="BH29" s="161">
        <v>1964</v>
      </c>
      <c r="BI29" s="161">
        <v>1268</v>
      </c>
      <c r="BJ29" s="161">
        <v>663</v>
      </c>
      <c r="BK29" s="97"/>
      <c r="BL29" s="97"/>
      <c r="BM29" s="97"/>
      <c r="BN29" s="97"/>
    </row>
    <row r="30" spans="1:66" ht="12.75">
      <c r="A30" s="79" t="s">
        <v>226</v>
      </c>
      <c r="B30" s="79" t="s">
        <v>59</v>
      </c>
      <c r="C30" s="79" t="s">
        <v>284</v>
      </c>
      <c r="D30" s="99">
        <v>3786</v>
      </c>
      <c r="E30" s="99">
        <v>1145</v>
      </c>
      <c r="F30" s="99" t="s">
        <v>151</v>
      </c>
      <c r="G30" s="99">
        <v>26</v>
      </c>
      <c r="H30" s="99">
        <v>14</v>
      </c>
      <c r="I30" s="99">
        <v>115</v>
      </c>
      <c r="J30" s="99">
        <v>510</v>
      </c>
      <c r="K30" s="99">
        <v>10</v>
      </c>
      <c r="L30" s="99">
        <v>655</v>
      </c>
      <c r="M30" s="99">
        <v>432</v>
      </c>
      <c r="N30" s="99">
        <v>215</v>
      </c>
      <c r="O30" s="99">
        <v>131</v>
      </c>
      <c r="P30" s="158">
        <v>131</v>
      </c>
      <c r="Q30" s="99">
        <v>18</v>
      </c>
      <c r="R30" s="99">
        <v>31</v>
      </c>
      <c r="S30" s="99">
        <v>14</v>
      </c>
      <c r="T30" s="99">
        <v>27</v>
      </c>
      <c r="U30" s="99" t="s">
        <v>868</v>
      </c>
      <c r="V30" s="99">
        <v>26</v>
      </c>
      <c r="W30" s="99">
        <v>31</v>
      </c>
      <c r="X30" s="99">
        <v>34</v>
      </c>
      <c r="Y30" s="99">
        <v>41</v>
      </c>
      <c r="Z30" s="99">
        <v>37</v>
      </c>
      <c r="AA30" s="99">
        <v>8</v>
      </c>
      <c r="AB30" s="99">
        <v>10</v>
      </c>
      <c r="AC30" s="99">
        <v>10</v>
      </c>
      <c r="AD30" s="98" t="s">
        <v>132</v>
      </c>
      <c r="AE30" s="100">
        <v>0.3024300052826202</v>
      </c>
      <c r="AF30" s="100">
        <v>0.11</v>
      </c>
      <c r="AG30" s="98">
        <v>686.7406233491812</v>
      </c>
      <c r="AH30" s="98">
        <v>369.78341257263605</v>
      </c>
      <c r="AI30" s="100">
        <v>0.0304</v>
      </c>
      <c r="AJ30" s="100">
        <v>0.730659</v>
      </c>
      <c r="AK30" s="100">
        <v>0.434783</v>
      </c>
      <c r="AL30" s="100">
        <v>0.733483</v>
      </c>
      <c r="AM30" s="100">
        <v>0.60251</v>
      </c>
      <c r="AN30" s="100">
        <v>0.551282</v>
      </c>
      <c r="AO30" s="98">
        <v>3460.1162176439516</v>
      </c>
      <c r="AP30" s="157">
        <v>1.2086</v>
      </c>
      <c r="AQ30" s="100">
        <v>0.13740458015267176</v>
      </c>
      <c r="AR30" s="100">
        <v>0.5806451612903226</v>
      </c>
      <c r="AS30" s="98">
        <v>369.78341257263605</v>
      </c>
      <c r="AT30" s="98">
        <v>713.1537242472266</v>
      </c>
      <c r="AU30" s="98" t="s">
        <v>868</v>
      </c>
      <c r="AV30" s="98">
        <v>686.7406233491812</v>
      </c>
      <c r="AW30" s="98">
        <v>818.8061278394083</v>
      </c>
      <c r="AX30" s="98">
        <v>898.0454305335446</v>
      </c>
      <c r="AY30" s="98">
        <v>1082.9371368198626</v>
      </c>
      <c r="AZ30" s="98">
        <v>977.2847332276809</v>
      </c>
      <c r="BA30" s="100">
        <v>0.2857142857142857</v>
      </c>
      <c r="BB30" s="100">
        <v>0.35714285714285715</v>
      </c>
      <c r="BC30" s="100">
        <v>0.35714285714285715</v>
      </c>
      <c r="BD30" s="157">
        <v>1.0105</v>
      </c>
      <c r="BE30" s="157">
        <v>1.4342</v>
      </c>
      <c r="BF30" s="161">
        <v>698</v>
      </c>
      <c r="BG30" s="161">
        <v>23</v>
      </c>
      <c r="BH30" s="161">
        <v>893</v>
      </c>
      <c r="BI30" s="161">
        <v>717</v>
      </c>
      <c r="BJ30" s="161">
        <v>390</v>
      </c>
      <c r="BK30" s="97"/>
      <c r="BL30" s="97"/>
      <c r="BM30" s="97"/>
      <c r="BN30" s="97"/>
    </row>
    <row r="31" spans="1:66" ht="12.75">
      <c r="A31" s="79" t="s">
        <v>283</v>
      </c>
      <c r="B31" s="79" t="s">
        <v>57</v>
      </c>
      <c r="C31" s="79" t="s">
        <v>284</v>
      </c>
      <c r="D31" s="99">
        <v>15688</v>
      </c>
      <c r="E31" s="99">
        <v>3025</v>
      </c>
      <c r="F31" s="99" t="s">
        <v>151</v>
      </c>
      <c r="G31" s="99">
        <v>98</v>
      </c>
      <c r="H31" s="99">
        <v>54</v>
      </c>
      <c r="I31" s="99">
        <v>312</v>
      </c>
      <c r="J31" s="99">
        <v>1481</v>
      </c>
      <c r="K31" s="99">
        <v>21</v>
      </c>
      <c r="L31" s="99">
        <v>2977</v>
      </c>
      <c r="M31" s="99">
        <v>1127</v>
      </c>
      <c r="N31" s="99">
        <v>586</v>
      </c>
      <c r="O31" s="99">
        <v>417</v>
      </c>
      <c r="P31" s="158">
        <v>417</v>
      </c>
      <c r="Q31" s="99">
        <v>60</v>
      </c>
      <c r="R31" s="99">
        <v>94</v>
      </c>
      <c r="S31" s="99">
        <v>87</v>
      </c>
      <c r="T31" s="99">
        <v>70</v>
      </c>
      <c r="U31" s="99">
        <v>19</v>
      </c>
      <c r="V31" s="99">
        <v>76</v>
      </c>
      <c r="W31" s="99">
        <v>75</v>
      </c>
      <c r="X31" s="99">
        <v>86</v>
      </c>
      <c r="Y31" s="99">
        <v>99</v>
      </c>
      <c r="Z31" s="99">
        <v>101</v>
      </c>
      <c r="AA31" s="99">
        <v>32</v>
      </c>
      <c r="AB31" s="99">
        <v>38</v>
      </c>
      <c r="AC31" s="99">
        <v>19</v>
      </c>
      <c r="AD31" s="98" t="s">
        <v>132</v>
      </c>
      <c r="AE31" s="100">
        <v>0.19282253952065273</v>
      </c>
      <c r="AF31" s="100">
        <v>0.11</v>
      </c>
      <c r="AG31" s="98">
        <v>624.6812850586435</v>
      </c>
      <c r="AH31" s="98">
        <v>344.21213666496686</v>
      </c>
      <c r="AI31" s="100">
        <v>0.0199</v>
      </c>
      <c r="AJ31" s="100">
        <v>0.721032</v>
      </c>
      <c r="AK31" s="100">
        <v>0.567568</v>
      </c>
      <c r="AL31" s="100">
        <v>0.80221</v>
      </c>
      <c r="AM31" s="100">
        <v>0.61084</v>
      </c>
      <c r="AN31" s="100">
        <v>0.584247</v>
      </c>
      <c r="AO31" s="98">
        <v>2658.0826109127997</v>
      </c>
      <c r="AP31" s="157">
        <v>1.2449</v>
      </c>
      <c r="AQ31" s="100">
        <v>0.14388489208633093</v>
      </c>
      <c r="AR31" s="100">
        <v>0.6382978723404256</v>
      </c>
      <c r="AS31" s="98">
        <v>554.5639979602244</v>
      </c>
      <c r="AT31" s="98">
        <v>446.2009178990311</v>
      </c>
      <c r="AU31" s="98">
        <v>121.11167771545131</v>
      </c>
      <c r="AV31" s="98">
        <v>484.44671086180523</v>
      </c>
      <c r="AW31" s="98">
        <v>478.0724120346762</v>
      </c>
      <c r="AX31" s="98">
        <v>548.1896991330954</v>
      </c>
      <c r="AY31" s="98">
        <v>631.0555838857725</v>
      </c>
      <c r="AZ31" s="98">
        <v>643.8041815400306</v>
      </c>
      <c r="BA31" s="100">
        <v>0.3595505617977528</v>
      </c>
      <c r="BB31" s="100">
        <v>0.42696629213483145</v>
      </c>
      <c r="BC31" s="100">
        <v>0.21348314606741572</v>
      </c>
      <c r="BD31" s="157">
        <v>1.1283</v>
      </c>
      <c r="BE31" s="157">
        <v>1.3703999999999998</v>
      </c>
      <c r="BF31" s="161">
        <v>2054</v>
      </c>
      <c r="BG31" s="161">
        <v>37</v>
      </c>
      <c r="BH31" s="161">
        <v>3711</v>
      </c>
      <c r="BI31" s="161">
        <v>1845</v>
      </c>
      <c r="BJ31" s="161">
        <v>1003</v>
      </c>
      <c r="BK31" s="97"/>
      <c r="BL31" s="97"/>
      <c r="BM31" s="97"/>
      <c r="BN31" s="97"/>
    </row>
    <row r="32" spans="1:66" ht="12.75">
      <c r="A32" s="79" t="s">
        <v>227</v>
      </c>
      <c r="B32" s="79" t="s">
        <v>64</v>
      </c>
      <c r="C32" s="79" t="s">
        <v>284</v>
      </c>
      <c r="D32" s="99">
        <v>28621</v>
      </c>
      <c r="E32" s="99">
        <v>5025</v>
      </c>
      <c r="F32" s="99" t="s">
        <v>152</v>
      </c>
      <c r="G32" s="99">
        <v>126</v>
      </c>
      <c r="H32" s="99">
        <v>60</v>
      </c>
      <c r="I32" s="99">
        <v>600</v>
      </c>
      <c r="J32" s="99">
        <v>2784</v>
      </c>
      <c r="K32" s="99">
        <v>2739</v>
      </c>
      <c r="L32" s="99">
        <v>5487</v>
      </c>
      <c r="M32" s="99">
        <v>2047</v>
      </c>
      <c r="N32" s="99">
        <v>1039</v>
      </c>
      <c r="O32" s="99">
        <v>596</v>
      </c>
      <c r="P32" s="158">
        <v>596</v>
      </c>
      <c r="Q32" s="99">
        <v>60</v>
      </c>
      <c r="R32" s="99">
        <v>122</v>
      </c>
      <c r="S32" s="99">
        <v>95</v>
      </c>
      <c r="T32" s="99">
        <v>104</v>
      </c>
      <c r="U32" s="99">
        <v>20</v>
      </c>
      <c r="V32" s="99">
        <v>108</v>
      </c>
      <c r="W32" s="99">
        <v>188</v>
      </c>
      <c r="X32" s="99">
        <v>78</v>
      </c>
      <c r="Y32" s="99">
        <v>294</v>
      </c>
      <c r="Z32" s="99">
        <v>119</v>
      </c>
      <c r="AA32" s="99">
        <v>25</v>
      </c>
      <c r="AB32" s="99">
        <v>54</v>
      </c>
      <c r="AC32" s="99">
        <v>41</v>
      </c>
      <c r="AD32" s="98" t="s">
        <v>132</v>
      </c>
      <c r="AE32" s="100">
        <v>0.17557038538136333</v>
      </c>
      <c r="AF32" s="100">
        <v>0.12</v>
      </c>
      <c r="AG32" s="98">
        <v>440.2361902099857</v>
      </c>
      <c r="AH32" s="98">
        <v>209.63628105237413</v>
      </c>
      <c r="AI32" s="100">
        <v>0.021</v>
      </c>
      <c r="AJ32" s="100">
        <v>0.749596</v>
      </c>
      <c r="AK32" s="100">
        <v>0.750205</v>
      </c>
      <c r="AL32" s="100">
        <v>0.771513</v>
      </c>
      <c r="AM32" s="100">
        <v>0.595231</v>
      </c>
      <c r="AN32" s="100">
        <v>0.561015</v>
      </c>
      <c r="AO32" s="98">
        <v>2082.387058453583</v>
      </c>
      <c r="AP32" s="157">
        <v>1.0005</v>
      </c>
      <c r="AQ32" s="100">
        <v>0.10067114093959731</v>
      </c>
      <c r="AR32" s="100">
        <v>0.4918032786885246</v>
      </c>
      <c r="AS32" s="98">
        <v>331.924111666259</v>
      </c>
      <c r="AT32" s="98">
        <v>363.36955382411514</v>
      </c>
      <c r="AU32" s="98">
        <v>69.87876035079138</v>
      </c>
      <c r="AV32" s="98">
        <v>377.34530589427345</v>
      </c>
      <c r="AW32" s="98">
        <v>656.8603472974389</v>
      </c>
      <c r="AX32" s="98">
        <v>272.52716536808634</v>
      </c>
      <c r="AY32" s="98">
        <v>1027.2177771566332</v>
      </c>
      <c r="AZ32" s="98">
        <v>415.7786240872087</v>
      </c>
      <c r="BA32" s="100">
        <v>0.20833333333333334</v>
      </c>
      <c r="BB32" s="100">
        <v>0.45</v>
      </c>
      <c r="BC32" s="100">
        <v>0.3416666666666667</v>
      </c>
      <c r="BD32" s="157">
        <v>0.9218000000000001</v>
      </c>
      <c r="BE32" s="157">
        <v>1.0842</v>
      </c>
      <c r="BF32" s="161">
        <v>3714</v>
      </c>
      <c r="BG32" s="161">
        <v>3651</v>
      </c>
      <c r="BH32" s="161">
        <v>7112</v>
      </c>
      <c r="BI32" s="161">
        <v>3439</v>
      </c>
      <c r="BJ32" s="161">
        <v>1852</v>
      </c>
      <c r="BK32" s="97"/>
      <c r="BL32" s="97"/>
      <c r="BM32" s="97"/>
      <c r="BN32" s="97"/>
    </row>
    <row r="33" spans="1:66" ht="12.75">
      <c r="A33" s="79" t="s">
        <v>247</v>
      </c>
      <c r="B33" s="79" t="s">
        <v>103</v>
      </c>
      <c r="C33" s="79" t="s">
        <v>284</v>
      </c>
      <c r="D33" s="99">
        <v>6065</v>
      </c>
      <c r="E33" s="99">
        <v>881</v>
      </c>
      <c r="F33" s="99" t="s">
        <v>152</v>
      </c>
      <c r="G33" s="99">
        <v>28</v>
      </c>
      <c r="H33" s="99">
        <v>9</v>
      </c>
      <c r="I33" s="99">
        <v>112</v>
      </c>
      <c r="J33" s="99">
        <v>585</v>
      </c>
      <c r="K33" s="99">
        <v>571</v>
      </c>
      <c r="L33" s="99">
        <v>1258</v>
      </c>
      <c r="M33" s="99">
        <v>366</v>
      </c>
      <c r="N33" s="99">
        <v>185</v>
      </c>
      <c r="O33" s="99">
        <v>127</v>
      </c>
      <c r="P33" s="158">
        <v>127</v>
      </c>
      <c r="Q33" s="99">
        <v>22</v>
      </c>
      <c r="R33" s="99">
        <v>35</v>
      </c>
      <c r="S33" s="99">
        <v>30</v>
      </c>
      <c r="T33" s="99">
        <v>21</v>
      </c>
      <c r="U33" s="99" t="s">
        <v>868</v>
      </c>
      <c r="V33" s="99">
        <v>24</v>
      </c>
      <c r="W33" s="99">
        <v>36</v>
      </c>
      <c r="X33" s="99">
        <v>37</v>
      </c>
      <c r="Y33" s="99">
        <v>34</v>
      </c>
      <c r="Z33" s="99">
        <v>39</v>
      </c>
      <c r="AA33" s="99" t="s">
        <v>868</v>
      </c>
      <c r="AB33" s="99" t="s">
        <v>868</v>
      </c>
      <c r="AC33" s="99" t="s">
        <v>868</v>
      </c>
      <c r="AD33" s="98" t="s">
        <v>132</v>
      </c>
      <c r="AE33" s="100">
        <v>0.14525968672712283</v>
      </c>
      <c r="AF33" s="100">
        <v>0.13</v>
      </c>
      <c r="AG33" s="98">
        <v>461.66529266281947</v>
      </c>
      <c r="AH33" s="98">
        <v>148.3924154987634</v>
      </c>
      <c r="AI33" s="100">
        <v>0.018500000000000003</v>
      </c>
      <c r="AJ33" s="100">
        <v>0.615142</v>
      </c>
      <c r="AK33" s="100">
        <v>0.622004</v>
      </c>
      <c r="AL33" s="100">
        <v>0.736534</v>
      </c>
      <c r="AM33" s="100">
        <v>0.498638</v>
      </c>
      <c r="AN33" s="100">
        <v>0.459057</v>
      </c>
      <c r="AO33" s="98">
        <v>2093.9818631492167</v>
      </c>
      <c r="AP33" s="157">
        <v>1.0037</v>
      </c>
      <c r="AQ33" s="100">
        <v>0.1732283464566929</v>
      </c>
      <c r="AR33" s="100">
        <v>0.6285714285714286</v>
      </c>
      <c r="AS33" s="98">
        <v>494.641384995878</v>
      </c>
      <c r="AT33" s="98">
        <v>346.2489694971146</v>
      </c>
      <c r="AU33" s="98" t="s">
        <v>868</v>
      </c>
      <c r="AV33" s="98">
        <v>395.7131079967024</v>
      </c>
      <c r="AW33" s="98">
        <v>593.5696619950536</v>
      </c>
      <c r="AX33" s="98">
        <v>610.0577081615828</v>
      </c>
      <c r="AY33" s="98">
        <v>560.593569661995</v>
      </c>
      <c r="AZ33" s="98">
        <v>643.0338004946414</v>
      </c>
      <c r="BA33" s="100" t="s">
        <v>868</v>
      </c>
      <c r="BB33" s="100" t="s">
        <v>868</v>
      </c>
      <c r="BC33" s="100" t="s">
        <v>868</v>
      </c>
      <c r="BD33" s="157">
        <v>0.8367</v>
      </c>
      <c r="BE33" s="157">
        <v>1.1942</v>
      </c>
      <c r="BF33" s="161">
        <v>951</v>
      </c>
      <c r="BG33" s="161">
        <v>918</v>
      </c>
      <c r="BH33" s="161">
        <v>1708</v>
      </c>
      <c r="BI33" s="161">
        <v>734</v>
      </c>
      <c r="BJ33" s="161">
        <v>403</v>
      </c>
      <c r="BK33" s="97"/>
      <c r="BL33" s="97"/>
      <c r="BM33" s="97"/>
      <c r="BN33" s="97"/>
    </row>
    <row r="34" spans="1:66" ht="12.75">
      <c r="A34" s="79" t="s">
        <v>251</v>
      </c>
      <c r="B34" s="79" t="s">
        <v>108</v>
      </c>
      <c r="C34" s="79" t="s">
        <v>284</v>
      </c>
      <c r="D34" s="99">
        <v>6451</v>
      </c>
      <c r="E34" s="99">
        <v>1152</v>
      </c>
      <c r="F34" s="99" t="s">
        <v>151</v>
      </c>
      <c r="G34" s="99">
        <v>30</v>
      </c>
      <c r="H34" s="99">
        <v>16</v>
      </c>
      <c r="I34" s="99">
        <v>160</v>
      </c>
      <c r="J34" s="99">
        <v>669</v>
      </c>
      <c r="K34" s="99">
        <v>654</v>
      </c>
      <c r="L34" s="99">
        <v>1178</v>
      </c>
      <c r="M34" s="99">
        <v>484</v>
      </c>
      <c r="N34" s="99">
        <v>228</v>
      </c>
      <c r="O34" s="99">
        <v>159</v>
      </c>
      <c r="P34" s="158">
        <v>159</v>
      </c>
      <c r="Q34" s="99">
        <v>20</v>
      </c>
      <c r="R34" s="99">
        <v>37</v>
      </c>
      <c r="S34" s="99">
        <v>21</v>
      </c>
      <c r="T34" s="99">
        <v>30</v>
      </c>
      <c r="U34" s="99">
        <v>11</v>
      </c>
      <c r="V34" s="99">
        <v>23</v>
      </c>
      <c r="W34" s="99">
        <v>43</v>
      </c>
      <c r="X34" s="99">
        <v>39</v>
      </c>
      <c r="Y34" s="99">
        <v>66</v>
      </c>
      <c r="Z34" s="99">
        <v>30</v>
      </c>
      <c r="AA34" s="99">
        <v>9</v>
      </c>
      <c r="AB34" s="99">
        <v>20</v>
      </c>
      <c r="AC34" s="99">
        <v>14</v>
      </c>
      <c r="AD34" s="98" t="s">
        <v>132</v>
      </c>
      <c r="AE34" s="100">
        <v>0.1785769648116571</v>
      </c>
      <c r="AF34" s="100">
        <v>0.09</v>
      </c>
      <c r="AG34" s="98">
        <v>465.0441791970237</v>
      </c>
      <c r="AH34" s="98">
        <v>248.02356223841264</v>
      </c>
      <c r="AI34" s="100">
        <v>0.0248</v>
      </c>
      <c r="AJ34" s="100">
        <v>0.746652</v>
      </c>
      <c r="AK34" s="100">
        <v>0.755196</v>
      </c>
      <c r="AL34" s="100">
        <v>0.748412</v>
      </c>
      <c r="AM34" s="100">
        <v>0.598269</v>
      </c>
      <c r="AN34" s="100">
        <v>0.540284</v>
      </c>
      <c r="AO34" s="98">
        <v>2464.7341497442258</v>
      </c>
      <c r="AP34" s="157">
        <v>1.1645999999999999</v>
      </c>
      <c r="AQ34" s="100">
        <v>0.12578616352201258</v>
      </c>
      <c r="AR34" s="100">
        <v>0.5405405405405406</v>
      </c>
      <c r="AS34" s="98">
        <v>325.5309254379166</v>
      </c>
      <c r="AT34" s="98">
        <v>465.0441791970237</v>
      </c>
      <c r="AU34" s="98">
        <v>170.5161990389087</v>
      </c>
      <c r="AV34" s="98">
        <v>356.5338707177182</v>
      </c>
      <c r="AW34" s="98">
        <v>666.5633235157339</v>
      </c>
      <c r="AX34" s="98">
        <v>604.5574329561308</v>
      </c>
      <c r="AY34" s="98">
        <v>1023.0971942334522</v>
      </c>
      <c r="AZ34" s="98">
        <v>465.0441791970237</v>
      </c>
      <c r="BA34" s="100">
        <v>0.20930232558139536</v>
      </c>
      <c r="BB34" s="100">
        <v>0.46511627906976744</v>
      </c>
      <c r="BC34" s="100">
        <v>0.32558139534883723</v>
      </c>
      <c r="BD34" s="157">
        <v>0.9906</v>
      </c>
      <c r="BE34" s="157">
        <v>1.3603</v>
      </c>
      <c r="BF34" s="161">
        <v>896</v>
      </c>
      <c r="BG34" s="161">
        <v>866</v>
      </c>
      <c r="BH34" s="161">
        <v>1574</v>
      </c>
      <c r="BI34" s="161">
        <v>809</v>
      </c>
      <c r="BJ34" s="161">
        <v>422</v>
      </c>
      <c r="BK34" s="97"/>
      <c r="BL34" s="97"/>
      <c r="BM34" s="97"/>
      <c r="BN34" s="97"/>
    </row>
    <row r="35" spans="1:66" ht="12.75">
      <c r="A35" s="79" t="s">
        <v>294</v>
      </c>
      <c r="B35" s="79" t="s">
        <v>82</v>
      </c>
      <c r="C35" s="79" t="s">
        <v>284</v>
      </c>
      <c r="D35" s="99">
        <v>5132</v>
      </c>
      <c r="E35" s="99">
        <v>1132</v>
      </c>
      <c r="F35" s="99" t="s">
        <v>151</v>
      </c>
      <c r="G35" s="99">
        <v>27</v>
      </c>
      <c r="H35" s="99">
        <v>15</v>
      </c>
      <c r="I35" s="99">
        <v>125</v>
      </c>
      <c r="J35" s="99">
        <v>536</v>
      </c>
      <c r="K35" s="99" t="s">
        <v>868</v>
      </c>
      <c r="L35" s="99">
        <v>951</v>
      </c>
      <c r="M35" s="99">
        <v>443</v>
      </c>
      <c r="N35" s="99">
        <v>230</v>
      </c>
      <c r="O35" s="99">
        <v>101</v>
      </c>
      <c r="P35" s="158">
        <v>101</v>
      </c>
      <c r="Q35" s="99">
        <v>13</v>
      </c>
      <c r="R35" s="99">
        <v>20</v>
      </c>
      <c r="S35" s="99">
        <v>27</v>
      </c>
      <c r="T35" s="99">
        <v>11</v>
      </c>
      <c r="U35" s="99" t="s">
        <v>868</v>
      </c>
      <c r="V35" s="99">
        <v>17</v>
      </c>
      <c r="W35" s="99">
        <v>30</v>
      </c>
      <c r="X35" s="99">
        <v>45</v>
      </c>
      <c r="Y35" s="99">
        <v>66</v>
      </c>
      <c r="Z35" s="99">
        <v>35</v>
      </c>
      <c r="AA35" s="99">
        <v>6</v>
      </c>
      <c r="AB35" s="99">
        <v>8</v>
      </c>
      <c r="AC35" s="99">
        <v>7</v>
      </c>
      <c r="AD35" s="98" t="s">
        <v>132</v>
      </c>
      <c r="AE35" s="100">
        <v>0.220576773187841</v>
      </c>
      <c r="AF35" s="100">
        <v>0.09</v>
      </c>
      <c r="AG35" s="98">
        <v>526.1106780982074</v>
      </c>
      <c r="AH35" s="98">
        <v>292.2837100545596</v>
      </c>
      <c r="AI35" s="100">
        <v>0.024399999999999998</v>
      </c>
      <c r="AJ35" s="100">
        <v>0.701571</v>
      </c>
      <c r="AK35" s="100" t="s">
        <v>868</v>
      </c>
      <c r="AL35" s="100">
        <v>0.761409</v>
      </c>
      <c r="AM35" s="100">
        <v>0.613573</v>
      </c>
      <c r="AN35" s="100">
        <v>0.595855</v>
      </c>
      <c r="AO35" s="98">
        <v>1968.0436477007015</v>
      </c>
      <c r="AP35" s="157">
        <v>0.8521</v>
      </c>
      <c r="AQ35" s="100">
        <v>0.12871287128712872</v>
      </c>
      <c r="AR35" s="100">
        <v>0.65</v>
      </c>
      <c r="AS35" s="98">
        <v>526.1106780982074</v>
      </c>
      <c r="AT35" s="98">
        <v>214.34138737334374</v>
      </c>
      <c r="AU35" s="98" t="s">
        <v>868</v>
      </c>
      <c r="AV35" s="98">
        <v>331.2548713951676</v>
      </c>
      <c r="AW35" s="98">
        <v>584.5674201091192</v>
      </c>
      <c r="AX35" s="98">
        <v>876.8511301636789</v>
      </c>
      <c r="AY35" s="98">
        <v>1286.0483242400624</v>
      </c>
      <c r="AZ35" s="98">
        <v>681.9953234606392</v>
      </c>
      <c r="BA35" s="100">
        <v>0.2857142857142857</v>
      </c>
      <c r="BB35" s="100">
        <v>0.38095238095238093</v>
      </c>
      <c r="BC35" s="100">
        <v>0.3333333333333333</v>
      </c>
      <c r="BD35" s="157">
        <v>0.6940000000000001</v>
      </c>
      <c r="BE35" s="157">
        <v>1.0353</v>
      </c>
      <c r="BF35" s="161">
        <v>764</v>
      </c>
      <c r="BG35" s="161" t="s">
        <v>868</v>
      </c>
      <c r="BH35" s="161">
        <v>1249</v>
      </c>
      <c r="BI35" s="161">
        <v>722</v>
      </c>
      <c r="BJ35" s="161">
        <v>386</v>
      </c>
      <c r="BK35" s="97"/>
      <c r="BL35" s="97"/>
      <c r="BM35" s="97"/>
      <c r="BN35" s="97"/>
    </row>
    <row r="36" spans="1:66" ht="12.75">
      <c r="A36" s="79" t="s">
        <v>235</v>
      </c>
      <c r="B36" s="79" t="s">
        <v>75</v>
      </c>
      <c r="C36" s="79" t="s">
        <v>284</v>
      </c>
      <c r="D36" s="99">
        <v>7106</v>
      </c>
      <c r="E36" s="99">
        <v>2135</v>
      </c>
      <c r="F36" s="99" t="s">
        <v>152</v>
      </c>
      <c r="G36" s="99">
        <v>66</v>
      </c>
      <c r="H36" s="99">
        <v>25</v>
      </c>
      <c r="I36" s="99">
        <v>229</v>
      </c>
      <c r="J36" s="99">
        <v>768</v>
      </c>
      <c r="K36" s="99">
        <v>16</v>
      </c>
      <c r="L36" s="99">
        <v>1054</v>
      </c>
      <c r="M36" s="99">
        <v>629</v>
      </c>
      <c r="N36" s="99">
        <v>318</v>
      </c>
      <c r="O36" s="99">
        <v>224</v>
      </c>
      <c r="P36" s="158">
        <v>224</v>
      </c>
      <c r="Q36" s="99">
        <v>33</v>
      </c>
      <c r="R36" s="99">
        <v>62</v>
      </c>
      <c r="S36" s="99">
        <v>37</v>
      </c>
      <c r="T36" s="99">
        <v>45</v>
      </c>
      <c r="U36" s="99">
        <v>6</v>
      </c>
      <c r="V36" s="99">
        <v>28</v>
      </c>
      <c r="W36" s="99">
        <v>30</v>
      </c>
      <c r="X36" s="99">
        <v>38</v>
      </c>
      <c r="Y36" s="99">
        <v>87</v>
      </c>
      <c r="Z36" s="99">
        <v>109</v>
      </c>
      <c r="AA36" s="99">
        <v>12</v>
      </c>
      <c r="AB36" s="99">
        <v>25</v>
      </c>
      <c r="AC36" s="99">
        <v>19</v>
      </c>
      <c r="AD36" s="98" t="s">
        <v>132</v>
      </c>
      <c r="AE36" s="100">
        <v>0.3004503236701379</v>
      </c>
      <c r="AF36" s="100">
        <v>0.14</v>
      </c>
      <c r="AG36" s="98">
        <v>928.7925696594427</v>
      </c>
      <c r="AH36" s="98">
        <v>351.81536729524345</v>
      </c>
      <c r="AI36" s="100">
        <v>0.0322</v>
      </c>
      <c r="AJ36" s="100">
        <v>0.749268</v>
      </c>
      <c r="AK36" s="100">
        <v>0.695652</v>
      </c>
      <c r="AL36" s="100">
        <v>0.709287</v>
      </c>
      <c r="AM36" s="100">
        <v>0.59061</v>
      </c>
      <c r="AN36" s="100">
        <v>0.549223</v>
      </c>
      <c r="AO36" s="98">
        <v>3152.2656909653815</v>
      </c>
      <c r="AP36" s="157">
        <v>1.2011</v>
      </c>
      <c r="AQ36" s="100">
        <v>0.14732142857142858</v>
      </c>
      <c r="AR36" s="100">
        <v>0.532258064516129</v>
      </c>
      <c r="AS36" s="98">
        <v>520.6867435969604</v>
      </c>
      <c r="AT36" s="98">
        <v>633.2676611314382</v>
      </c>
      <c r="AU36" s="98">
        <v>84.43568815085843</v>
      </c>
      <c r="AV36" s="98">
        <v>394.0332113706727</v>
      </c>
      <c r="AW36" s="98">
        <v>422.1784407542921</v>
      </c>
      <c r="AX36" s="98">
        <v>534.75935828877</v>
      </c>
      <c r="AY36" s="98">
        <v>1224.3174781874473</v>
      </c>
      <c r="AZ36" s="98">
        <v>1533.9150014072616</v>
      </c>
      <c r="BA36" s="100">
        <v>0.21428571428571427</v>
      </c>
      <c r="BB36" s="100">
        <v>0.44642857142857145</v>
      </c>
      <c r="BC36" s="100">
        <v>0.3392857142857143</v>
      </c>
      <c r="BD36" s="157">
        <v>1.0490000000000002</v>
      </c>
      <c r="BE36" s="157">
        <v>1.3692</v>
      </c>
      <c r="BF36" s="161">
        <v>1025</v>
      </c>
      <c r="BG36" s="161">
        <v>23</v>
      </c>
      <c r="BH36" s="161">
        <v>1486</v>
      </c>
      <c r="BI36" s="161">
        <v>1065</v>
      </c>
      <c r="BJ36" s="161">
        <v>579</v>
      </c>
      <c r="BK36" s="97"/>
      <c r="BL36" s="97"/>
      <c r="BM36" s="97"/>
      <c r="BN36" s="97"/>
    </row>
    <row r="37" spans="1:66" ht="12.75">
      <c r="A37" s="79" t="s">
        <v>291</v>
      </c>
      <c r="B37" s="79" t="s">
        <v>78</v>
      </c>
      <c r="C37" s="79" t="s">
        <v>284</v>
      </c>
      <c r="D37" s="99">
        <v>12477</v>
      </c>
      <c r="E37" s="99">
        <v>2419</v>
      </c>
      <c r="F37" s="99" t="s">
        <v>151</v>
      </c>
      <c r="G37" s="99">
        <v>71</v>
      </c>
      <c r="H37" s="99">
        <v>29</v>
      </c>
      <c r="I37" s="99">
        <v>239</v>
      </c>
      <c r="J37" s="99">
        <v>1159</v>
      </c>
      <c r="K37" s="99">
        <v>866</v>
      </c>
      <c r="L37" s="99">
        <v>2087</v>
      </c>
      <c r="M37" s="99">
        <v>883</v>
      </c>
      <c r="N37" s="99">
        <v>464</v>
      </c>
      <c r="O37" s="99">
        <v>372</v>
      </c>
      <c r="P37" s="158">
        <v>372</v>
      </c>
      <c r="Q37" s="99">
        <v>34</v>
      </c>
      <c r="R37" s="99">
        <v>62</v>
      </c>
      <c r="S37" s="99">
        <v>69</v>
      </c>
      <c r="T37" s="99">
        <v>73</v>
      </c>
      <c r="U37" s="99">
        <v>16</v>
      </c>
      <c r="V37" s="99">
        <v>69</v>
      </c>
      <c r="W37" s="99">
        <v>96</v>
      </c>
      <c r="X37" s="99">
        <v>132</v>
      </c>
      <c r="Y37" s="99">
        <v>155</v>
      </c>
      <c r="Z37" s="99">
        <v>55</v>
      </c>
      <c r="AA37" s="99">
        <v>21</v>
      </c>
      <c r="AB37" s="99">
        <v>33</v>
      </c>
      <c r="AC37" s="99">
        <v>11</v>
      </c>
      <c r="AD37" s="98" t="s">
        <v>132</v>
      </c>
      <c r="AE37" s="100">
        <v>0.1938767331890679</v>
      </c>
      <c r="AF37" s="100">
        <v>0.11</v>
      </c>
      <c r="AG37" s="98">
        <v>569.0470465656808</v>
      </c>
      <c r="AH37" s="98">
        <v>232.42766690710909</v>
      </c>
      <c r="AI37" s="100">
        <v>0.0192</v>
      </c>
      <c r="AJ37" s="100">
        <v>0.72619</v>
      </c>
      <c r="AK37" s="100">
        <v>0.78371</v>
      </c>
      <c r="AL37" s="100">
        <v>0.713504</v>
      </c>
      <c r="AM37" s="100">
        <v>0.589846</v>
      </c>
      <c r="AN37" s="100">
        <v>0.569325</v>
      </c>
      <c r="AO37" s="98">
        <v>2981.4859341187785</v>
      </c>
      <c r="AP37" s="157">
        <v>1.3953</v>
      </c>
      <c r="AQ37" s="100">
        <v>0.0913978494623656</v>
      </c>
      <c r="AR37" s="100">
        <v>0.5483870967741935</v>
      </c>
      <c r="AS37" s="98">
        <v>553.0175522962251</v>
      </c>
      <c r="AT37" s="98">
        <v>585.0765408351366</v>
      </c>
      <c r="AU37" s="98">
        <v>128.2359541556464</v>
      </c>
      <c r="AV37" s="98">
        <v>553.0175522962251</v>
      </c>
      <c r="AW37" s="98">
        <v>769.4157249338783</v>
      </c>
      <c r="AX37" s="98">
        <v>1057.9466217840827</v>
      </c>
      <c r="AY37" s="98">
        <v>1242.2858058828244</v>
      </c>
      <c r="AZ37" s="98">
        <v>440.81109241003446</v>
      </c>
      <c r="BA37" s="100">
        <v>0.3230769230769231</v>
      </c>
      <c r="BB37" s="100">
        <v>0.5076923076923077</v>
      </c>
      <c r="BC37" s="100">
        <v>0.16923076923076924</v>
      </c>
      <c r="BD37" s="157">
        <v>1.2570999999999999</v>
      </c>
      <c r="BE37" s="157">
        <v>1.5446</v>
      </c>
      <c r="BF37" s="161">
        <v>1596</v>
      </c>
      <c r="BG37" s="161">
        <v>1105</v>
      </c>
      <c r="BH37" s="161">
        <v>2925</v>
      </c>
      <c r="BI37" s="161">
        <v>1497</v>
      </c>
      <c r="BJ37" s="161">
        <v>815</v>
      </c>
      <c r="BK37" s="97"/>
      <c r="BL37" s="97"/>
      <c r="BM37" s="97"/>
      <c r="BN37" s="97"/>
    </row>
    <row r="38" spans="1:66" ht="12.75">
      <c r="A38" s="79" t="s">
        <v>228</v>
      </c>
      <c r="B38" s="79" t="s">
        <v>66</v>
      </c>
      <c r="C38" s="79" t="s">
        <v>284</v>
      </c>
      <c r="D38" s="99">
        <v>13987</v>
      </c>
      <c r="E38" s="99">
        <v>3182</v>
      </c>
      <c r="F38" s="99" t="s">
        <v>152</v>
      </c>
      <c r="G38" s="99">
        <v>74</v>
      </c>
      <c r="H38" s="99">
        <v>35</v>
      </c>
      <c r="I38" s="99">
        <v>321</v>
      </c>
      <c r="J38" s="99">
        <v>1720</v>
      </c>
      <c r="K38" s="99">
        <v>1674</v>
      </c>
      <c r="L38" s="99">
        <v>2503</v>
      </c>
      <c r="M38" s="99">
        <v>1257</v>
      </c>
      <c r="N38" s="99">
        <v>625</v>
      </c>
      <c r="O38" s="99">
        <v>343</v>
      </c>
      <c r="P38" s="158">
        <v>343</v>
      </c>
      <c r="Q38" s="99">
        <v>37</v>
      </c>
      <c r="R38" s="99">
        <v>92</v>
      </c>
      <c r="S38" s="99">
        <v>82</v>
      </c>
      <c r="T38" s="99">
        <v>54</v>
      </c>
      <c r="U38" s="99">
        <v>19</v>
      </c>
      <c r="V38" s="99">
        <v>46</v>
      </c>
      <c r="W38" s="99">
        <v>72</v>
      </c>
      <c r="X38" s="99">
        <v>60</v>
      </c>
      <c r="Y38" s="99">
        <v>140</v>
      </c>
      <c r="Z38" s="99">
        <v>82</v>
      </c>
      <c r="AA38" s="99">
        <v>16</v>
      </c>
      <c r="AB38" s="99">
        <v>46</v>
      </c>
      <c r="AC38" s="99">
        <v>33</v>
      </c>
      <c r="AD38" s="98" t="s">
        <v>132</v>
      </c>
      <c r="AE38" s="100">
        <v>0.22749696146421677</v>
      </c>
      <c r="AF38" s="100">
        <v>0.14</v>
      </c>
      <c r="AG38" s="98">
        <v>529.0627010795739</v>
      </c>
      <c r="AH38" s="98">
        <v>250.23235861871737</v>
      </c>
      <c r="AI38" s="100">
        <v>0.0229</v>
      </c>
      <c r="AJ38" s="100">
        <v>0.813239</v>
      </c>
      <c r="AK38" s="100">
        <v>0.818982</v>
      </c>
      <c r="AL38" s="100">
        <v>0.811082</v>
      </c>
      <c r="AM38" s="100">
        <v>0.604909</v>
      </c>
      <c r="AN38" s="100">
        <v>0.558534</v>
      </c>
      <c r="AO38" s="98">
        <v>2452.2771144634303</v>
      </c>
      <c r="AP38" s="157">
        <v>1.0568</v>
      </c>
      <c r="AQ38" s="100">
        <v>0.10787172011661808</v>
      </c>
      <c r="AR38" s="100">
        <v>0.40217391304347827</v>
      </c>
      <c r="AS38" s="98">
        <v>586.2586687638521</v>
      </c>
      <c r="AT38" s="98">
        <v>386.0727818688782</v>
      </c>
      <c r="AU38" s="98">
        <v>135.84042325016085</v>
      </c>
      <c r="AV38" s="98">
        <v>328.8768141846</v>
      </c>
      <c r="AW38" s="98">
        <v>514.7637091585043</v>
      </c>
      <c r="AX38" s="98">
        <v>428.96975763208695</v>
      </c>
      <c r="AY38" s="98">
        <v>1000.9294344748695</v>
      </c>
      <c r="AZ38" s="98">
        <v>586.2586687638521</v>
      </c>
      <c r="BA38" s="100">
        <v>0.16842105263157894</v>
      </c>
      <c r="BB38" s="100">
        <v>0.4842105263157895</v>
      </c>
      <c r="BC38" s="100">
        <v>0.3473684210526316</v>
      </c>
      <c r="BD38" s="157">
        <v>0.9479000000000001</v>
      </c>
      <c r="BE38" s="157">
        <v>1.1748</v>
      </c>
      <c r="BF38" s="161">
        <v>2115</v>
      </c>
      <c r="BG38" s="161">
        <v>2044</v>
      </c>
      <c r="BH38" s="161">
        <v>3086</v>
      </c>
      <c r="BI38" s="161">
        <v>2078</v>
      </c>
      <c r="BJ38" s="161">
        <v>1119</v>
      </c>
      <c r="BK38" s="97"/>
      <c r="BL38" s="97"/>
      <c r="BM38" s="97"/>
      <c r="BN38" s="97"/>
    </row>
    <row r="39" spans="1:66" ht="12.75">
      <c r="A39" s="79" t="s">
        <v>308</v>
      </c>
      <c r="B39" s="79" t="s">
        <v>118</v>
      </c>
      <c r="C39" s="79" t="s">
        <v>284</v>
      </c>
      <c r="D39" s="99">
        <v>3753</v>
      </c>
      <c r="E39" s="99">
        <v>605</v>
      </c>
      <c r="F39" s="99" t="s">
        <v>153</v>
      </c>
      <c r="G39" s="99">
        <v>22</v>
      </c>
      <c r="H39" s="99">
        <v>10</v>
      </c>
      <c r="I39" s="99">
        <v>84</v>
      </c>
      <c r="J39" s="99">
        <v>315</v>
      </c>
      <c r="K39" s="99" t="s">
        <v>868</v>
      </c>
      <c r="L39" s="99">
        <v>810</v>
      </c>
      <c r="M39" s="99">
        <v>260</v>
      </c>
      <c r="N39" s="99">
        <v>125</v>
      </c>
      <c r="O39" s="99">
        <v>81</v>
      </c>
      <c r="P39" s="158">
        <v>81</v>
      </c>
      <c r="Q39" s="99">
        <v>10</v>
      </c>
      <c r="R39" s="99">
        <v>20</v>
      </c>
      <c r="S39" s="99">
        <v>20</v>
      </c>
      <c r="T39" s="99">
        <v>13</v>
      </c>
      <c r="U39" s="99" t="s">
        <v>868</v>
      </c>
      <c r="V39" s="99">
        <v>14</v>
      </c>
      <c r="W39" s="99">
        <v>31</v>
      </c>
      <c r="X39" s="99">
        <v>36</v>
      </c>
      <c r="Y39" s="99">
        <v>35</v>
      </c>
      <c r="Z39" s="99">
        <v>25</v>
      </c>
      <c r="AA39" s="99" t="s">
        <v>868</v>
      </c>
      <c r="AB39" s="99" t="s">
        <v>868</v>
      </c>
      <c r="AC39" s="99" t="s">
        <v>868</v>
      </c>
      <c r="AD39" s="98" t="s">
        <v>132</v>
      </c>
      <c r="AE39" s="100">
        <v>0.16120436983746336</v>
      </c>
      <c r="AF39" s="100">
        <v>0.06</v>
      </c>
      <c r="AG39" s="98">
        <v>586.1977084998667</v>
      </c>
      <c r="AH39" s="98">
        <v>266.4535038635758</v>
      </c>
      <c r="AI39" s="100">
        <v>0.022400000000000003</v>
      </c>
      <c r="AJ39" s="100">
        <v>0.71267</v>
      </c>
      <c r="AK39" s="100" t="s">
        <v>868</v>
      </c>
      <c r="AL39" s="100">
        <v>0.823171</v>
      </c>
      <c r="AM39" s="100">
        <v>0.600462</v>
      </c>
      <c r="AN39" s="100">
        <v>0.563063</v>
      </c>
      <c r="AO39" s="98">
        <v>2158.273381294964</v>
      </c>
      <c r="AP39" s="157">
        <v>1.0902</v>
      </c>
      <c r="AQ39" s="100">
        <v>0.12345679012345678</v>
      </c>
      <c r="AR39" s="100">
        <v>0.5</v>
      </c>
      <c r="AS39" s="98">
        <v>532.9070077271516</v>
      </c>
      <c r="AT39" s="98">
        <v>346.38955502264855</v>
      </c>
      <c r="AU39" s="98" t="s">
        <v>868</v>
      </c>
      <c r="AV39" s="98">
        <v>373.0349054090061</v>
      </c>
      <c r="AW39" s="98">
        <v>826.005861977085</v>
      </c>
      <c r="AX39" s="98">
        <v>959.2326139088728</v>
      </c>
      <c r="AY39" s="98">
        <v>932.5872635225153</v>
      </c>
      <c r="AZ39" s="98">
        <v>666.1337596589395</v>
      </c>
      <c r="BA39" s="100" t="s">
        <v>868</v>
      </c>
      <c r="BB39" s="100" t="s">
        <v>868</v>
      </c>
      <c r="BC39" s="100" t="s">
        <v>868</v>
      </c>
      <c r="BD39" s="157">
        <v>0.8656999999999999</v>
      </c>
      <c r="BE39" s="157">
        <v>1.355</v>
      </c>
      <c r="BF39" s="161">
        <v>442</v>
      </c>
      <c r="BG39" s="161" t="s">
        <v>868</v>
      </c>
      <c r="BH39" s="161">
        <v>984</v>
      </c>
      <c r="BI39" s="161">
        <v>433</v>
      </c>
      <c r="BJ39" s="161">
        <v>222</v>
      </c>
      <c r="BK39" s="97"/>
      <c r="BL39" s="97"/>
      <c r="BM39" s="97"/>
      <c r="BN39" s="97"/>
    </row>
    <row r="40" spans="1:66" ht="12.75">
      <c r="A40" s="79" t="s">
        <v>243</v>
      </c>
      <c r="B40" s="79" t="s">
        <v>97</v>
      </c>
      <c r="C40" s="79" t="s">
        <v>284</v>
      </c>
      <c r="D40" s="99">
        <v>6596</v>
      </c>
      <c r="E40" s="99">
        <v>1938</v>
      </c>
      <c r="F40" s="99" t="s">
        <v>152</v>
      </c>
      <c r="G40" s="99">
        <v>55</v>
      </c>
      <c r="H40" s="99">
        <v>28</v>
      </c>
      <c r="I40" s="99">
        <v>228</v>
      </c>
      <c r="J40" s="99">
        <v>718</v>
      </c>
      <c r="K40" s="99">
        <v>12</v>
      </c>
      <c r="L40" s="99">
        <v>1006</v>
      </c>
      <c r="M40" s="99">
        <v>628</v>
      </c>
      <c r="N40" s="99">
        <v>322</v>
      </c>
      <c r="O40" s="99">
        <v>151</v>
      </c>
      <c r="P40" s="158">
        <v>151</v>
      </c>
      <c r="Q40" s="99">
        <v>22</v>
      </c>
      <c r="R40" s="99">
        <v>39</v>
      </c>
      <c r="S40" s="99">
        <v>19</v>
      </c>
      <c r="T40" s="99">
        <v>31</v>
      </c>
      <c r="U40" s="99">
        <v>7</v>
      </c>
      <c r="V40" s="99">
        <v>15</v>
      </c>
      <c r="W40" s="99">
        <v>38</v>
      </c>
      <c r="X40" s="99">
        <v>39</v>
      </c>
      <c r="Y40" s="99">
        <v>55</v>
      </c>
      <c r="Z40" s="99">
        <v>74</v>
      </c>
      <c r="AA40" s="99">
        <v>9</v>
      </c>
      <c r="AB40" s="99">
        <v>16</v>
      </c>
      <c r="AC40" s="99">
        <v>13</v>
      </c>
      <c r="AD40" s="98" t="s">
        <v>132</v>
      </c>
      <c r="AE40" s="100">
        <v>0.29381443298969073</v>
      </c>
      <c r="AF40" s="100">
        <v>0.14</v>
      </c>
      <c r="AG40" s="98">
        <v>833.8386901152213</v>
      </c>
      <c r="AH40" s="98">
        <v>424.4996967859309</v>
      </c>
      <c r="AI40" s="100">
        <v>0.0346</v>
      </c>
      <c r="AJ40" s="100">
        <v>0.74097</v>
      </c>
      <c r="AK40" s="100">
        <v>0.666667</v>
      </c>
      <c r="AL40" s="100">
        <v>0.715505</v>
      </c>
      <c r="AM40" s="100">
        <v>0.633703</v>
      </c>
      <c r="AN40" s="100">
        <v>0.611006</v>
      </c>
      <c r="AO40" s="98">
        <v>2289.2662219526987</v>
      </c>
      <c r="AP40" s="157">
        <v>0.8773000000000001</v>
      </c>
      <c r="AQ40" s="100">
        <v>0.1456953642384106</v>
      </c>
      <c r="AR40" s="100">
        <v>0.5641025641025641</v>
      </c>
      <c r="AS40" s="98">
        <v>288.0533656761674</v>
      </c>
      <c r="AT40" s="98">
        <v>469.98180715585204</v>
      </c>
      <c r="AU40" s="98">
        <v>106.12492419648272</v>
      </c>
      <c r="AV40" s="98">
        <v>227.4105518496058</v>
      </c>
      <c r="AW40" s="98">
        <v>576.1067313523348</v>
      </c>
      <c r="AX40" s="98">
        <v>591.2674348089752</v>
      </c>
      <c r="AY40" s="98">
        <v>833.8386901152213</v>
      </c>
      <c r="AZ40" s="98">
        <v>1121.8920557913887</v>
      </c>
      <c r="BA40" s="100">
        <v>0.23684210526315788</v>
      </c>
      <c r="BB40" s="100">
        <v>0.42105263157894735</v>
      </c>
      <c r="BC40" s="100">
        <v>0.34210526315789475</v>
      </c>
      <c r="BD40" s="157">
        <v>0.7429000000000001</v>
      </c>
      <c r="BE40" s="157">
        <v>1.0289</v>
      </c>
      <c r="BF40" s="161">
        <v>969</v>
      </c>
      <c r="BG40" s="161">
        <v>18</v>
      </c>
      <c r="BH40" s="161">
        <v>1406</v>
      </c>
      <c r="BI40" s="161">
        <v>991</v>
      </c>
      <c r="BJ40" s="161">
        <v>527</v>
      </c>
      <c r="BK40" s="97"/>
      <c r="BL40" s="97"/>
      <c r="BM40" s="97"/>
      <c r="BN40" s="97"/>
    </row>
    <row r="41" spans="1:66" ht="12.75">
      <c r="A41" s="79" t="s">
        <v>248</v>
      </c>
      <c r="B41" s="79" t="s">
        <v>105</v>
      </c>
      <c r="C41" s="79" t="s">
        <v>284</v>
      </c>
      <c r="D41" s="99">
        <v>5822</v>
      </c>
      <c r="E41" s="99">
        <v>1129</v>
      </c>
      <c r="F41" s="99" t="s">
        <v>152</v>
      </c>
      <c r="G41" s="99">
        <v>31</v>
      </c>
      <c r="H41" s="99">
        <v>12</v>
      </c>
      <c r="I41" s="99">
        <v>135</v>
      </c>
      <c r="J41" s="99">
        <v>617</v>
      </c>
      <c r="K41" s="99">
        <v>11</v>
      </c>
      <c r="L41" s="99">
        <v>1050</v>
      </c>
      <c r="M41" s="99">
        <v>426</v>
      </c>
      <c r="N41" s="99">
        <v>207</v>
      </c>
      <c r="O41" s="99">
        <v>116</v>
      </c>
      <c r="P41" s="158">
        <v>116</v>
      </c>
      <c r="Q41" s="99">
        <v>11</v>
      </c>
      <c r="R41" s="99">
        <v>20</v>
      </c>
      <c r="S41" s="99">
        <v>27</v>
      </c>
      <c r="T41" s="99">
        <v>20</v>
      </c>
      <c r="U41" s="99" t="s">
        <v>868</v>
      </c>
      <c r="V41" s="99">
        <v>15</v>
      </c>
      <c r="W41" s="99">
        <v>25</v>
      </c>
      <c r="X41" s="99">
        <v>36</v>
      </c>
      <c r="Y41" s="99">
        <v>55</v>
      </c>
      <c r="Z41" s="99">
        <v>40</v>
      </c>
      <c r="AA41" s="99" t="s">
        <v>868</v>
      </c>
      <c r="AB41" s="99">
        <v>16</v>
      </c>
      <c r="AC41" s="99" t="s">
        <v>868</v>
      </c>
      <c r="AD41" s="98" t="s">
        <v>132</v>
      </c>
      <c r="AE41" s="100">
        <v>0.19391961525249055</v>
      </c>
      <c r="AF41" s="100">
        <v>0.11</v>
      </c>
      <c r="AG41" s="98">
        <v>532.4630711095843</v>
      </c>
      <c r="AH41" s="98">
        <v>206.11473720371006</v>
      </c>
      <c r="AI41" s="100">
        <v>0.0232</v>
      </c>
      <c r="AJ41" s="100">
        <v>0.754279</v>
      </c>
      <c r="AK41" s="100">
        <v>0.55</v>
      </c>
      <c r="AL41" s="100">
        <v>0.778932</v>
      </c>
      <c r="AM41" s="100">
        <v>0.566489</v>
      </c>
      <c r="AN41" s="100">
        <v>0.512376</v>
      </c>
      <c r="AO41" s="98">
        <v>1992.442459635864</v>
      </c>
      <c r="AP41" s="157">
        <v>0.909</v>
      </c>
      <c r="AQ41" s="100">
        <v>0.09482758620689655</v>
      </c>
      <c r="AR41" s="100">
        <v>0.55</v>
      </c>
      <c r="AS41" s="98">
        <v>463.75815870834765</v>
      </c>
      <c r="AT41" s="98">
        <v>343.52456200618343</v>
      </c>
      <c r="AU41" s="98" t="s">
        <v>868</v>
      </c>
      <c r="AV41" s="98">
        <v>257.64342150463756</v>
      </c>
      <c r="AW41" s="98">
        <v>429.4057025077293</v>
      </c>
      <c r="AX41" s="98">
        <v>618.3442116111302</v>
      </c>
      <c r="AY41" s="98">
        <v>944.6925455170044</v>
      </c>
      <c r="AZ41" s="98">
        <v>687.0491240123669</v>
      </c>
      <c r="BA41" s="100" t="s">
        <v>868</v>
      </c>
      <c r="BB41" s="100">
        <v>0.5714285714285714</v>
      </c>
      <c r="BC41" s="100" t="s">
        <v>868</v>
      </c>
      <c r="BD41" s="157">
        <v>0.7511</v>
      </c>
      <c r="BE41" s="157">
        <v>1.0903</v>
      </c>
      <c r="BF41" s="161">
        <v>818</v>
      </c>
      <c r="BG41" s="161">
        <v>20</v>
      </c>
      <c r="BH41" s="161">
        <v>1348</v>
      </c>
      <c r="BI41" s="161">
        <v>752</v>
      </c>
      <c r="BJ41" s="161">
        <v>404</v>
      </c>
      <c r="BK41" s="97"/>
      <c r="BL41" s="97"/>
      <c r="BM41" s="97"/>
      <c r="BN41" s="97"/>
    </row>
    <row r="42" spans="1:66" ht="12.75">
      <c r="A42" s="79" t="s">
        <v>254</v>
      </c>
      <c r="B42" s="79" t="s">
        <v>115</v>
      </c>
      <c r="C42" s="79" t="s">
        <v>284</v>
      </c>
      <c r="D42" s="99">
        <v>5690</v>
      </c>
      <c r="E42" s="99">
        <v>886</v>
      </c>
      <c r="F42" s="99" t="s">
        <v>152</v>
      </c>
      <c r="G42" s="99">
        <v>26</v>
      </c>
      <c r="H42" s="99">
        <v>12</v>
      </c>
      <c r="I42" s="99">
        <v>109</v>
      </c>
      <c r="J42" s="99">
        <v>436</v>
      </c>
      <c r="K42" s="99">
        <v>6</v>
      </c>
      <c r="L42" s="99">
        <v>1066</v>
      </c>
      <c r="M42" s="99">
        <v>317</v>
      </c>
      <c r="N42" s="99">
        <v>166</v>
      </c>
      <c r="O42" s="99">
        <v>143</v>
      </c>
      <c r="P42" s="158">
        <v>143</v>
      </c>
      <c r="Q42" s="99">
        <v>15</v>
      </c>
      <c r="R42" s="99">
        <v>26</v>
      </c>
      <c r="S42" s="99">
        <v>11</v>
      </c>
      <c r="T42" s="99">
        <v>12</v>
      </c>
      <c r="U42" s="99" t="s">
        <v>868</v>
      </c>
      <c r="V42" s="99">
        <v>30</v>
      </c>
      <c r="W42" s="99">
        <v>24</v>
      </c>
      <c r="X42" s="99">
        <v>18</v>
      </c>
      <c r="Y42" s="99">
        <v>47</v>
      </c>
      <c r="Z42" s="99">
        <v>31</v>
      </c>
      <c r="AA42" s="99" t="s">
        <v>868</v>
      </c>
      <c r="AB42" s="99" t="s">
        <v>868</v>
      </c>
      <c r="AC42" s="99" t="s">
        <v>868</v>
      </c>
      <c r="AD42" s="98" t="s">
        <v>132</v>
      </c>
      <c r="AE42" s="100">
        <v>0.15571177504393674</v>
      </c>
      <c r="AF42" s="100">
        <v>0.15</v>
      </c>
      <c r="AG42" s="98">
        <v>456.9420035149385</v>
      </c>
      <c r="AH42" s="98">
        <v>210.896309314587</v>
      </c>
      <c r="AI42" s="100">
        <v>0.0192</v>
      </c>
      <c r="AJ42" s="100">
        <v>0.651719</v>
      </c>
      <c r="AK42" s="100">
        <v>0.545455</v>
      </c>
      <c r="AL42" s="100">
        <v>0.802711</v>
      </c>
      <c r="AM42" s="100">
        <v>0.572202</v>
      </c>
      <c r="AN42" s="100">
        <v>0.574394</v>
      </c>
      <c r="AO42" s="98">
        <v>2513.1810193321617</v>
      </c>
      <c r="AP42" s="157">
        <v>1.3011000000000001</v>
      </c>
      <c r="AQ42" s="100">
        <v>0.1048951048951049</v>
      </c>
      <c r="AR42" s="100">
        <v>0.5769230769230769</v>
      </c>
      <c r="AS42" s="98">
        <v>193.32161687170475</v>
      </c>
      <c r="AT42" s="98">
        <v>210.896309314587</v>
      </c>
      <c r="AU42" s="98" t="s">
        <v>868</v>
      </c>
      <c r="AV42" s="98">
        <v>527.2407732864675</v>
      </c>
      <c r="AW42" s="98">
        <v>421.792618629174</v>
      </c>
      <c r="AX42" s="98">
        <v>316.3444639718805</v>
      </c>
      <c r="AY42" s="98">
        <v>826.0105448154658</v>
      </c>
      <c r="AZ42" s="98">
        <v>544.8154657293497</v>
      </c>
      <c r="BA42" s="100" t="s">
        <v>868</v>
      </c>
      <c r="BB42" s="100" t="s">
        <v>868</v>
      </c>
      <c r="BC42" s="100" t="s">
        <v>868</v>
      </c>
      <c r="BD42" s="157">
        <v>1.0966</v>
      </c>
      <c r="BE42" s="157">
        <v>1.5327000000000002</v>
      </c>
      <c r="BF42" s="161">
        <v>669</v>
      </c>
      <c r="BG42" s="161">
        <v>11</v>
      </c>
      <c r="BH42" s="161">
        <v>1328</v>
      </c>
      <c r="BI42" s="161">
        <v>554</v>
      </c>
      <c r="BJ42" s="161">
        <v>289</v>
      </c>
      <c r="BK42" s="97"/>
      <c r="BL42" s="97"/>
      <c r="BM42" s="97"/>
      <c r="BN42" s="97"/>
    </row>
    <row r="43" spans="1:66" ht="12.75">
      <c r="A43" s="79" t="s">
        <v>246</v>
      </c>
      <c r="B43" s="79" t="s">
        <v>102</v>
      </c>
      <c r="C43" s="79" t="s">
        <v>284</v>
      </c>
      <c r="D43" s="99">
        <v>5107</v>
      </c>
      <c r="E43" s="99">
        <v>1011</v>
      </c>
      <c r="F43" s="99" t="s">
        <v>151</v>
      </c>
      <c r="G43" s="99">
        <v>30</v>
      </c>
      <c r="H43" s="99">
        <v>20</v>
      </c>
      <c r="I43" s="99">
        <v>123</v>
      </c>
      <c r="J43" s="99">
        <v>562</v>
      </c>
      <c r="K43" s="99">
        <v>538</v>
      </c>
      <c r="L43" s="99">
        <v>1039</v>
      </c>
      <c r="M43" s="99">
        <v>469</v>
      </c>
      <c r="N43" s="99">
        <v>245</v>
      </c>
      <c r="O43" s="99">
        <v>124</v>
      </c>
      <c r="P43" s="158">
        <v>124</v>
      </c>
      <c r="Q43" s="99">
        <v>8</v>
      </c>
      <c r="R43" s="99">
        <v>38</v>
      </c>
      <c r="S43" s="99">
        <v>13</v>
      </c>
      <c r="T43" s="99">
        <v>29</v>
      </c>
      <c r="U43" s="99">
        <v>12</v>
      </c>
      <c r="V43" s="99">
        <v>22</v>
      </c>
      <c r="W43" s="99">
        <v>65</v>
      </c>
      <c r="X43" s="99">
        <v>17</v>
      </c>
      <c r="Y43" s="99">
        <v>92</v>
      </c>
      <c r="Z43" s="99">
        <v>40</v>
      </c>
      <c r="AA43" s="99">
        <v>6</v>
      </c>
      <c r="AB43" s="99">
        <v>16</v>
      </c>
      <c r="AC43" s="99">
        <v>8</v>
      </c>
      <c r="AD43" s="98" t="s">
        <v>132</v>
      </c>
      <c r="AE43" s="100">
        <v>0.1979635794008224</v>
      </c>
      <c r="AF43" s="100">
        <v>0.1</v>
      </c>
      <c r="AG43" s="98">
        <v>587.4290189935383</v>
      </c>
      <c r="AH43" s="98">
        <v>391.6193459956922</v>
      </c>
      <c r="AI43" s="100">
        <v>0.0241</v>
      </c>
      <c r="AJ43" s="100">
        <v>0.758435</v>
      </c>
      <c r="AK43" s="100">
        <v>0.753501</v>
      </c>
      <c r="AL43" s="100">
        <v>0.853739</v>
      </c>
      <c r="AM43" s="100">
        <v>0.599744</v>
      </c>
      <c r="AN43" s="100">
        <v>0.56713</v>
      </c>
      <c r="AO43" s="98">
        <v>2428.0399451732915</v>
      </c>
      <c r="AP43" s="157">
        <v>1.0942</v>
      </c>
      <c r="AQ43" s="100">
        <v>0.06451612903225806</v>
      </c>
      <c r="AR43" s="100">
        <v>0.21052631578947367</v>
      </c>
      <c r="AS43" s="98">
        <v>254.55257489719992</v>
      </c>
      <c r="AT43" s="98">
        <v>567.8480516937536</v>
      </c>
      <c r="AU43" s="98">
        <v>234.9716075974153</v>
      </c>
      <c r="AV43" s="98">
        <v>430.7812805952614</v>
      </c>
      <c r="AW43" s="98">
        <v>1272.7628744859996</v>
      </c>
      <c r="AX43" s="98">
        <v>332.87644409633833</v>
      </c>
      <c r="AY43" s="98">
        <v>1801.4489915801842</v>
      </c>
      <c r="AZ43" s="98">
        <v>783.2386919913844</v>
      </c>
      <c r="BA43" s="100">
        <v>0.2</v>
      </c>
      <c r="BB43" s="100">
        <v>0.5333333333333333</v>
      </c>
      <c r="BC43" s="100">
        <v>0.26666666666666666</v>
      </c>
      <c r="BD43" s="157">
        <v>0.9101</v>
      </c>
      <c r="BE43" s="157">
        <v>1.3046</v>
      </c>
      <c r="BF43" s="161">
        <v>741</v>
      </c>
      <c r="BG43" s="161">
        <v>714</v>
      </c>
      <c r="BH43" s="161">
        <v>1217</v>
      </c>
      <c r="BI43" s="161">
        <v>782</v>
      </c>
      <c r="BJ43" s="161">
        <v>432</v>
      </c>
      <c r="BK43" s="97"/>
      <c r="BL43" s="97"/>
      <c r="BM43" s="97"/>
      <c r="BN43" s="97"/>
    </row>
    <row r="44" spans="1:66" ht="12.75">
      <c r="A44" s="79" t="s">
        <v>238</v>
      </c>
      <c r="B44" s="79" t="s">
        <v>87</v>
      </c>
      <c r="C44" s="79" t="s">
        <v>284</v>
      </c>
      <c r="D44" s="99">
        <v>5244</v>
      </c>
      <c r="E44" s="99">
        <v>1309</v>
      </c>
      <c r="F44" s="99" t="s">
        <v>151</v>
      </c>
      <c r="G44" s="99">
        <v>34</v>
      </c>
      <c r="H44" s="99">
        <v>20</v>
      </c>
      <c r="I44" s="99">
        <v>163</v>
      </c>
      <c r="J44" s="99">
        <v>738</v>
      </c>
      <c r="K44" s="99">
        <v>700</v>
      </c>
      <c r="L44" s="99">
        <v>1011</v>
      </c>
      <c r="M44" s="99">
        <v>583</v>
      </c>
      <c r="N44" s="99">
        <v>283</v>
      </c>
      <c r="O44" s="99">
        <v>156</v>
      </c>
      <c r="P44" s="158">
        <v>156</v>
      </c>
      <c r="Q44" s="99">
        <v>15</v>
      </c>
      <c r="R44" s="99">
        <v>26</v>
      </c>
      <c r="S44" s="99">
        <v>18</v>
      </c>
      <c r="T44" s="99">
        <v>29</v>
      </c>
      <c r="U44" s="99">
        <v>8</v>
      </c>
      <c r="V44" s="99">
        <v>17</v>
      </c>
      <c r="W44" s="99">
        <v>54</v>
      </c>
      <c r="X44" s="99">
        <v>40</v>
      </c>
      <c r="Y44" s="99">
        <v>81</v>
      </c>
      <c r="Z44" s="99">
        <v>47</v>
      </c>
      <c r="AA44" s="99">
        <v>7</v>
      </c>
      <c r="AB44" s="99">
        <v>16</v>
      </c>
      <c r="AC44" s="99">
        <v>8</v>
      </c>
      <c r="AD44" s="98" t="s">
        <v>132</v>
      </c>
      <c r="AE44" s="100">
        <v>0.2496186117467582</v>
      </c>
      <c r="AF44" s="100">
        <v>0.09</v>
      </c>
      <c r="AG44" s="98">
        <v>648.3600305110602</v>
      </c>
      <c r="AH44" s="98">
        <v>381.38825324180016</v>
      </c>
      <c r="AI44" s="100">
        <v>0.0311</v>
      </c>
      <c r="AJ44" s="100">
        <v>0.832018</v>
      </c>
      <c r="AK44" s="100">
        <v>0.818713</v>
      </c>
      <c r="AL44" s="100">
        <v>0.830731</v>
      </c>
      <c r="AM44" s="100">
        <v>0.664766</v>
      </c>
      <c r="AN44" s="100">
        <v>0.607296</v>
      </c>
      <c r="AO44" s="98">
        <v>2974.828375286041</v>
      </c>
      <c r="AP44" s="157">
        <v>1.2017</v>
      </c>
      <c r="AQ44" s="100">
        <v>0.09615384615384616</v>
      </c>
      <c r="AR44" s="100">
        <v>0.5769230769230769</v>
      </c>
      <c r="AS44" s="98">
        <v>343.24942791762015</v>
      </c>
      <c r="AT44" s="98">
        <v>553.0129672006102</v>
      </c>
      <c r="AU44" s="98">
        <v>152.55530129672007</v>
      </c>
      <c r="AV44" s="98">
        <v>324.1800152555301</v>
      </c>
      <c r="AW44" s="98">
        <v>1029.7482837528605</v>
      </c>
      <c r="AX44" s="98">
        <v>762.7765064836003</v>
      </c>
      <c r="AY44" s="98">
        <v>1544.6224256292905</v>
      </c>
      <c r="AZ44" s="98">
        <v>896.2623951182303</v>
      </c>
      <c r="BA44" s="100">
        <v>0.22580645161290322</v>
      </c>
      <c r="BB44" s="100">
        <v>0.5161290322580645</v>
      </c>
      <c r="BC44" s="100">
        <v>0.25806451612903225</v>
      </c>
      <c r="BD44" s="157">
        <v>1.0205</v>
      </c>
      <c r="BE44" s="157">
        <v>1.4058000000000002</v>
      </c>
      <c r="BF44" s="161">
        <v>887</v>
      </c>
      <c r="BG44" s="161">
        <v>855</v>
      </c>
      <c r="BH44" s="161">
        <v>1217</v>
      </c>
      <c r="BI44" s="161">
        <v>877</v>
      </c>
      <c r="BJ44" s="161">
        <v>466</v>
      </c>
      <c r="BK44" s="97"/>
      <c r="BL44" s="97"/>
      <c r="BM44" s="97"/>
      <c r="BN44" s="97"/>
    </row>
    <row r="45" spans="1:66" ht="12.75">
      <c r="A45" s="79" t="s">
        <v>302</v>
      </c>
      <c r="B45" s="79" t="s">
        <v>96</v>
      </c>
      <c r="C45" s="79" t="s">
        <v>284</v>
      </c>
      <c r="D45" s="99">
        <v>4404</v>
      </c>
      <c r="E45" s="99">
        <v>1079</v>
      </c>
      <c r="F45" s="99" t="s">
        <v>151</v>
      </c>
      <c r="G45" s="99">
        <v>21</v>
      </c>
      <c r="H45" s="99">
        <v>10</v>
      </c>
      <c r="I45" s="99">
        <v>144</v>
      </c>
      <c r="J45" s="99">
        <v>508</v>
      </c>
      <c r="K45" s="99">
        <v>515</v>
      </c>
      <c r="L45" s="99">
        <v>811</v>
      </c>
      <c r="M45" s="99">
        <v>397</v>
      </c>
      <c r="N45" s="99">
        <v>198</v>
      </c>
      <c r="O45" s="99">
        <v>106</v>
      </c>
      <c r="P45" s="158">
        <v>106</v>
      </c>
      <c r="Q45" s="99">
        <v>16</v>
      </c>
      <c r="R45" s="99">
        <v>27</v>
      </c>
      <c r="S45" s="99">
        <v>20</v>
      </c>
      <c r="T45" s="99">
        <v>15</v>
      </c>
      <c r="U45" s="99" t="s">
        <v>868</v>
      </c>
      <c r="V45" s="99">
        <v>21</v>
      </c>
      <c r="W45" s="99">
        <v>39</v>
      </c>
      <c r="X45" s="99">
        <v>34</v>
      </c>
      <c r="Y45" s="99">
        <v>44</v>
      </c>
      <c r="Z45" s="99">
        <v>34</v>
      </c>
      <c r="AA45" s="99" t="s">
        <v>868</v>
      </c>
      <c r="AB45" s="99">
        <v>17</v>
      </c>
      <c r="AC45" s="99" t="s">
        <v>868</v>
      </c>
      <c r="AD45" s="98" t="s">
        <v>132</v>
      </c>
      <c r="AE45" s="100">
        <v>0.24500454132606722</v>
      </c>
      <c r="AF45" s="100">
        <v>0.09</v>
      </c>
      <c r="AG45" s="98">
        <v>476.8392370572207</v>
      </c>
      <c r="AH45" s="98">
        <v>227.0663033605813</v>
      </c>
      <c r="AI45" s="100">
        <v>0.0327</v>
      </c>
      <c r="AJ45" s="100">
        <v>0.755952</v>
      </c>
      <c r="AK45" s="100">
        <v>0.779123</v>
      </c>
      <c r="AL45" s="100">
        <v>0.78131</v>
      </c>
      <c r="AM45" s="100">
        <v>0.596096</v>
      </c>
      <c r="AN45" s="100">
        <v>0.5625</v>
      </c>
      <c r="AO45" s="98">
        <v>2406.9028156221616</v>
      </c>
      <c r="AP45" s="157">
        <v>0.9684</v>
      </c>
      <c r="AQ45" s="100">
        <v>0.1509433962264151</v>
      </c>
      <c r="AR45" s="100">
        <v>0.5925925925925926</v>
      </c>
      <c r="AS45" s="98">
        <v>454.1326067211626</v>
      </c>
      <c r="AT45" s="98">
        <v>340.59945504087193</v>
      </c>
      <c r="AU45" s="98" t="s">
        <v>868</v>
      </c>
      <c r="AV45" s="98">
        <v>476.8392370572207</v>
      </c>
      <c r="AW45" s="98">
        <v>885.5585831062671</v>
      </c>
      <c r="AX45" s="98">
        <v>772.0254314259764</v>
      </c>
      <c r="AY45" s="98">
        <v>999.0917347865577</v>
      </c>
      <c r="AZ45" s="98">
        <v>772.0254314259764</v>
      </c>
      <c r="BA45" s="100" t="s">
        <v>868</v>
      </c>
      <c r="BB45" s="100">
        <v>0.6071428571428571</v>
      </c>
      <c r="BC45" s="100" t="s">
        <v>868</v>
      </c>
      <c r="BD45" s="157">
        <v>0.7928000000000001</v>
      </c>
      <c r="BE45" s="157">
        <v>1.1712</v>
      </c>
      <c r="BF45" s="161">
        <v>672</v>
      </c>
      <c r="BG45" s="161">
        <v>661</v>
      </c>
      <c r="BH45" s="161">
        <v>1038</v>
      </c>
      <c r="BI45" s="161">
        <v>666</v>
      </c>
      <c r="BJ45" s="161">
        <v>352</v>
      </c>
      <c r="BK45" s="97"/>
      <c r="BL45" s="97"/>
      <c r="BM45" s="97"/>
      <c r="BN45" s="97"/>
    </row>
    <row r="46" spans="1:66" ht="12.75">
      <c r="A46" s="79" t="s">
        <v>443</v>
      </c>
      <c r="B46" s="79" t="s">
        <v>444</v>
      </c>
      <c r="C46" s="79" t="s">
        <v>284</v>
      </c>
      <c r="D46" s="99">
        <v>2037</v>
      </c>
      <c r="E46" s="99">
        <v>91</v>
      </c>
      <c r="F46" s="99" t="s">
        <v>152</v>
      </c>
      <c r="G46" s="99" t="s">
        <v>868</v>
      </c>
      <c r="H46" s="99" t="s">
        <v>868</v>
      </c>
      <c r="I46" s="99">
        <v>8</v>
      </c>
      <c r="J46" s="99">
        <v>55</v>
      </c>
      <c r="K46" s="99" t="s">
        <v>868</v>
      </c>
      <c r="L46" s="99">
        <v>394</v>
      </c>
      <c r="M46" s="99">
        <v>37</v>
      </c>
      <c r="N46" s="99">
        <v>19</v>
      </c>
      <c r="O46" s="99">
        <v>54</v>
      </c>
      <c r="P46" s="158">
        <v>54</v>
      </c>
      <c r="Q46" s="99" t="s">
        <v>868</v>
      </c>
      <c r="R46" s="99" t="s">
        <v>868</v>
      </c>
      <c r="S46" s="99">
        <v>11</v>
      </c>
      <c r="T46" s="99">
        <v>8</v>
      </c>
      <c r="U46" s="99" t="s">
        <v>868</v>
      </c>
      <c r="V46" s="99">
        <v>13</v>
      </c>
      <c r="W46" s="99">
        <v>10</v>
      </c>
      <c r="X46" s="99">
        <v>15</v>
      </c>
      <c r="Y46" s="99">
        <v>20</v>
      </c>
      <c r="Z46" s="99">
        <v>7</v>
      </c>
      <c r="AA46" s="99" t="s">
        <v>868</v>
      </c>
      <c r="AB46" s="99" t="s">
        <v>868</v>
      </c>
      <c r="AC46" s="99" t="s">
        <v>868</v>
      </c>
      <c r="AD46" s="98" t="s">
        <v>132</v>
      </c>
      <c r="AE46" s="100">
        <v>0.044673539518900345</v>
      </c>
      <c r="AF46" s="100">
        <v>0.14</v>
      </c>
      <c r="AG46" s="98" t="s">
        <v>868</v>
      </c>
      <c r="AH46" s="98" t="s">
        <v>868</v>
      </c>
      <c r="AI46" s="100">
        <v>0.0039000000000000003</v>
      </c>
      <c r="AJ46" s="100">
        <v>0.413534</v>
      </c>
      <c r="AK46" s="100" t="s">
        <v>868</v>
      </c>
      <c r="AL46" s="100">
        <v>0.648026</v>
      </c>
      <c r="AM46" s="100">
        <v>0.377551</v>
      </c>
      <c r="AN46" s="100">
        <v>0.365385</v>
      </c>
      <c r="AO46" s="98">
        <v>2650.9572901325478</v>
      </c>
      <c r="AP46" s="157">
        <v>1.97</v>
      </c>
      <c r="AQ46" s="100" t="s">
        <v>868</v>
      </c>
      <c r="AR46" s="100" t="s">
        <v>868</v>
      </c>
      <c r="AS46" s="98">
        <v>540.0098183603338</v>
      </c>
      <c r="AT46" s="98">
        <v>392.7344133529701</v>
      </c>
      <c r="AU46" s="98" t="s">
        <v>868</v>
      </c>
      <c r="AV46" s="98">
        <v>638.1934216985763</v>
      </c>
      <c r="AW46" s="98">
        <v>490.9180166912126</v>
      </c>
      <c r="AX46" s="98">
        <v>736.3770250368188</v>
      </c>
      <c r="AY46" s="98">
        <v>981.8360333824252</v>
      </c>
      <c r="AZ46" s="98">
        <v>343.64261168384877</v>
      </c>
      <c r="BA46" s="100" t="s">
        <v>868</v>
      </c>
      <c r="BB46" s="100" t="s">
        <v>868</v>
      </c>
      <c r="BC46" s="100" t="s">
        <v>868</v>
      </c>
      <c r="BD46" s="157">
        <v>1.4799</v>
      </c>
      <c r="BE46" s="157">
        <v>2.5704000000000002</v>
      </c>
      <c r="BF46" s="161">
        <v>133</v>
      </c>
      <c r="BG46" s="161" t="s">
        <v>868</v>
      </c>
      <c r="BH46" s="161">
        <v>608</v>
      </c>
      <c r="BI46" s="161">
        <v>98</v>
      </c>
      <c r="BJ46" s="161">
        <v>52</v>
      </c>
      <c r="BK46" s="97"/>
      <c r="BL46" s="97"/>
      <c r="BM46" s="97"/>
      <c r="BN46" s="97"/>
    </row>
    <row r="47" spans="1:66" ht="12.75">
      <c r="A47" s="79" t="s">
        <v>241</v>
      </c>
      <c r="B47" s="79" t="s">
        <v>93</v>
      </c>
      <c r="C47" s="79" t="s">
        <v>284</v>
      </c>
      <c r="D47" s="99">
        <v>3911</v>
      </c>
      <c r="E47" s="99">
        <v>921</v>
      </c>
      <c r="F47" s="99" t="s">
        <v>153</v>
      </c>
      <c r="G47" s="99">
        <v>31</v>
      </c>
      <c r="H47" s="99">
        <v>9</v>
      </c>
      <c r="I47" s="99">
        <v>128</v>
      </c>
      <c r="J47" s="99">
        <v>542</v>
      </c>
      <c r="K47" s="99">
        <v>518</v>
      </c>
      <c r="L47" s="99">
        <v>742</v>
      </c>
      <c r="M47" s="99">
        <v>469</v>
      </c>
      <c r="N47" s="99">
        <v>252</v>
      </c>
      <c r="O47" s="99">
        <v>160</v>
      </c>
      <c r="P47" s="158">
        <v>160</v>
      </c>
      <c r="Q47" s="99">
        <v>23</v>
      </c>
      <c r="R47" s="99">
        <v>36</v>
      </c>
      <c r="S47" s="99">
        <v>24</v>
      </c>
      <c r="T47" s="99">
        <v>19</v>
      </c>
      <c r="U47" s="99" t="s">
        <v>868</v>
      </c>
      <c r="V47" s="99">
        <v>37</v>
      </c>
      <c r="W47" s="99">
        <v>20</v>
      </c>
      <c r="X47" s="99">
        <v>18</v>
      </c>
      <c r="Y47" s="99">
        <v>26</v>
      </c>
      <c r="Z47" s="99">
        <v>22</v>
      </c>
      <c r="AA47" s="99" t="s">
        <v>868</v>
      </c>
      <c r="AB47" s="99" t="s">
        <v>868</v>
      </c>
      <c r="AC47" s="99" t="s">
        <v>868</v>
      </c>
      <c r="AD47" s="98" t="s">
        <v>132</v>
      </c>
      <c r="AE47" s="100">
        <v>0.23548964459217592</v>
      </c>
      <c r="AF47" s="100">
        <v>0.08</v>
      </c>
      <c r="AG47" s="98">
        <v>792.6361544362056</v>
      </c>
      <c r="AH47" s="98">
        <v>230.12017386857582</v>
      </c>
      <c r="AI47" s="100">
        <v>0.0327</v>
      </c>
      <c r="AJ47" s="100">
        <v>0.830015</v>
      </c>
      <c r="AK47" s="100">
        <v>0.824841</v>
      </c>
      <c r="AL47" s="100">
        <v>0.778594</v>
      </c>
      <c r="AM47" s="100">
        <v>0.663366</v>
      </c>
      <c r="AN47" s="100">
        <v>0.647815</v>
      </c>
      <c r="AO47" s="98">
        <v>4091.0253132191256</v>
      </c>
      <c r="AP47" s="157">
        <v>1.6531</v>
      </c>
      <c r="AQ47" s="100">
        <v>0.14375</v>
      </c>
      <c r="AR47" s="100">
        <v>0.6388888888888888</v>
      </c>
      <c r="AS47" s="98">
        <v>613.6537969828688</v>
      </c>
      <c r="AT47" s="98">
        <v>485.80925594477117</v>
      </c>
      <c r="AU47" s="98" t="s">
        <v>868</v>
      </c>
      <c r="AV47" s="98">
        <v>946.0496036819228</v>
      </c>
      <c r="AW47" s="98">
        <v>511.3781641523907</v>
      </c>
      <c r="AX47" s="98">
        <v>460.24034773715164</v>
      </c>
      <c r="AY47" s="98">
        <v>664.7916133981079</v>
      </c>
      <c r="AZ47" s="98">
        <v>562.5159805676298</v>
      </c>
      <c r="BA47" s="100" t="s">
        <v>868</v>
      </c>
      <c r="BB47" s="100" t="s">
        <v>868</v>
      </c>
      <c r="BC47" s="100" t="s">
        <v>868</v>
      </c>
      <c r="BD47" s="157">
        <v>1.4069</v>
      </c>
      <c r="BE47" s="157">
        <v>1.93</v>
      </c>
      <c r="BF47" s="161">
        <v>653</v>
      </c>
      <c r="BG47" s="161">
        <v>628</v>
      </c>
      <c r="BH47" s="161">
        <v>953</v>
      </c>
      <c r="BI47" s="161">
        <v>707</v>
      </c>
      <c r="BJ47" s="161">
        <v>389</v>
      </c>
      <c r="BK47" s="97"/>
      <c r="BL47" s="97"/>
      <c r="BM47" s="97"/>
      <c r="BN47" s="97"/>
    </row>
    <row r="48" spans="1:66" ht="12.75">
      <c r="A48" s="79" t="s">
        <v>253</v>
      </c>
      <c r="B48" s="79" t="s">
        <v>111</v>
      </c>
      <c r="C48" s="79" t="s">
        <v>284</v>
      </c>
      <c r="D48" s="99">
        <v>4943</v>
      </c>
      <c r="E48" s="99">
        <v>1078</v>
      </c>
      <c r="F48" s="99" t="s">
        <v>151</v>
      </c>
      <c r="G48" s="99">
        <v>26</v>
      </c>
      <c r="H48" s="99">
        <v>15</v>
      </c>
      <c r="I48" s="99">
        <v>140</v>
      </c>
      <c r="J48" s="99">
        <v>615</v>
      </c>
      <c r="K48" s="99">
        <v>61</v>
      </c>
      <c r="L48" s="99">
        <v>950</v>
      </c>
      <c r="M48" s="99">
        <v>436</v>
      </c>
      <c r="N48" s="99">
        <v>244</v>
      </c>
      <c r="O48" s="99">
        <v>130</v>
      </c>
      <c r="P48" s="158">
        <v>130</v>
      </c>
      <c r="Q48" s="99">
        <v>19</v>
      </c>
      <c r="R48" s="99">
        <v>32</v>
      </c>
      <c r="S48" s="99">
        <v>21</v>
      </c>
      <c r="T48" s="99">
        <v>17</v>
      </c>
      <c r="U48" s="99" t="s">
        <v>868</v>
      </c>
      <c r="V48" s="99">
        <v>26</v>
      </c>
      <c r="W48" s="99">
        <v>25</v>
      </c>
      <c r="X48" s="99">
        <v>31</v>
      </c>
      <c r="Y48" s="99">
        <v>34</v>
      </c>
      <c r="Z48" s="99">
        <v>30</v>
      </c>
      <c r="AA48" s="99">
        <v>9</v>
      </c>
      <c r="AB48" s="99">
        <v>16</v>
      </c>
      <c r="AC48" s="99">
        <v>12</v>
      </c>
      <c r="AD48" s="98" t="s">
        <v>132</v>
      </c>
      <c r="AE48" s="100">
        <v>0.21808618248027514</v>
      </c>
      <c r="AF48" s="100">
        <v>0.09</v>
      </c>
      <c r="AG48" s="98">
        <v>525.9963584867489</v>
      </c>
      <c r="AH48" s="98">
        <v>303.459437588509</v>
      </c>
      <c r="AI48" s="100">
        <v>0.028300000000000002</v>
      </c>
      <c r="AJ48" s="100">
        <v>0.832206</v>
      </c>
      <c r="AK48" s="100">
        <v>0.655914</v>
      </c>
      <c r="AL48" s="100">
        <v>0.802365</v>
      </c>
      <c r="AM48" s="100">
        <v>0.61844</v>
      </c>
      <c r="AN48" s="100">
        <v>0.60396</v>
      </c>
      <c r="AO48" s="98">
        <v>2629.981792433745</v>
      </c>
      <c r="AP48" s="157">
        <v>1.1345</v>
      </c>
      <c r="AQ48" s="100">
        <v>0.14615384615384616</v>
      </c>
      <c r="AR48" s="100">
        <v>0.59375</v>
      </c>
      <c r="AS48" s="98">
        <v>424.8432126239126</v>
      </c>
      <c r="AT48" s="98">
        <v>343.9206959336435</v>
      </c>
      <c r="AU48" s="98" t="s">
        <v>868</v>
      </c>
      <c r="AV48" s="98">
        <v>525.9963584867489</v>
      </c>
      <c r="AW48" s="98">
        <v>505.76572931418167</v>
      </c>
      <c r="AX48" s="98">
        <v>627.1495043495853</v>
      </c>
      <c r="AY48" s="98">
        <v>687.841391867287</v>
      </c>
      <c r="AZ48" s="98">
        <v>606.918875177018</v>
      </c>
      <c r="BA48" s="100">
        <v>0.24324324324324326</v>
      </c>
      <c r="BB48" s="100">
        <v>0.43243243243243246</v>
      </c>
      <c r="BC48" s="100">
        <v>0.32432432432432434</v>
      </c>
      <c r="BD48" s="157">
        <v>0.9478</v>
      </c>
      <c r="BE48" s="157">
        <v>1.3471000000000002</v>
      </c>
      <c r="BF48" s="161">
        <v>739</v>
      </c>
      <c r="BG48" s="161">
        <v>93</v>
      </c>
      <c r="BH48" s="161">
        <v>1184</v>
      </c>
      <c r="BI48" s="161">
        <v>705</v>
      </c>
      <c r="BJ48" s="161">
        <v>404</v>
      </c>
      <c r="BK48" s="97"/>
      <c r="BL48" s="97"/>
      <c r="BM48" s="97"/>
      <c r="BN48" s="97"/>
    </row>
    <row r="49" spans="1:66" ht="12.75">
      <c r="A49" s="79" t="s">
        <v>299</v>
      </c>
      <c r="B49" s="79" t="s">
        <v>89</v>
      </c>
      <c r="C49" s="79" t="s">
        <v>284</v>
      </c>
      <c r="D49" s="99">
        <v>11749</v>
      </c>
      <c r="E49" s="99">
        <v>2968</v>
      </c>
      <c r="F49" s="99" t="s">
        <v>151</v>
      </c>
      <c r="G49" s="99">
        <v>73</v>
      </c>
      <c r="H49" s="99">
        <v>43</v>
      </c>
      <c r="I49" s="99">
        <v>312</v>
      </c>
      <c r="J49" s="99">
        <v>1477</v>
      </c>
      <c r="K49" s="99">
        <v>36</v>
      </c>
      <c r="L49" s="99">
        <v>2092</v>
      </c>
      <c r="M49" s="99">
        <v>1310</v>
      </c>
      <c r="N49" s="99">
        <v>655</v>
      </c>
      <c r="O49" s="99">
        <v>370</v>
      </c>
      <c r="P49" s="158">
        <v>370</v>
      </c>
      <c r="Q49" s="99">
        <v>47</v>
      </c>
      <c r="R49" s="99">
        <v>88</v>
      </c>
      <c r="S49" s="99">
        <v>63</v>
      </c>
      <c r="T49" s="99">
        <v>66</v>
      </c>
      <c r="U49" s="99">
        <v>11</v>
      </c>
      <c r="V49" s="99">
        <v>80</v>
      </c>
      <c r="W49" s="99">
        <v>69</v>
      </c>
      <c r="X49" s="99">
        <v>63</v>
      </c>
      <c r="Y49" s="99">
        <v>100</v>
      </c>
      <c r="Z49" s="99">
        <v>68</v>
      </c>
      <c r="AA49" s="99">
        <v>17</v>
      </c>
      <c r="AB49" s="99">
        <v>38</v>
      </c>
      <c r="AC49" s="99">
        <v>15</v>
      </c>
      <c r="AD49" s="98" t="s">
        <v>132</v>
      </c>
      <c r="AE49" s="100">
        <v>0.25261724402076774</v>
      </c>
      <c r="AF49" s="100">
        <v>0.09</v>
      </c>
      <c r="AG49" s="98">
        <v>621.3294748489233</v>
      </c>
      <c r="AH49" s="98">
        <v>365.98859477402334</v>
      </c>
      <c r="AI49" s="100">
        <v>0.026600000000000002</v>
      </c>
      <c r="AJ49" s="100">
        <v>0.749366</v>
      </c>
      <c r="AK49" s="100">
        <v>0.553846</v>
      </c>
      <c r="AL49" s="100">
        <v>0.7663</v>
      </c>
      <c r="AM49" s="100">
        <v>0.686583</v>
      </c>
      <c r="AN49" s="100">
        <v>0.655656</v>
      </c>
      <c r="AO49" s="98">
        <v>3149.2041875904333</v>
      </c>
      <c r="AP49" s="157">
        <v>1.2431</v>
      </c>
      <c r="AQ49" s="100">
        <v>0.12702702702702703</v>
      </c>
      <c r="AR49" s="100">
        <v>0.5340909090909091</v>
      </c>
      <c r="AS49" s="98">
        <v>536.21584815729</v>
      </c>
      <c r="AT49" s="98">
        <v>561.74993616478</v>
      </c>
      <c r="AU49" s="98">
        <v>93.62498936079666</v>
      </c>
      <c r="AV49" s="98">
        <v>680.9090135330666</v>
      </c>
      <c r="AW49" s="98">
        <v>587.2840241722699</v>
      </c>
      <c r="AX49" s="98">
        <v>536.21584815729</v>
      </c>
      <c r="AY49" s="98">
        <v>851.1362669163333</v>
      </c>
      <c r="AZ49" s="98">
        <v>578.7726615031066</v>
      </c>
      <c r="BA49" s="100">
        <v>0.24285714285714285</v>
      </c>
      <c r="BB49" s="100">
        <v>0.5428571428571428</v>
      </c>
      <c r="BC49" s="100">
        <v>0.21428571428571427</v>
      </c>
      <c r="BD49" s="157">
        <v>1.1197</v>
      </c>
      <c r="BE49" s="157">
        <v>1.3765</v>
      </c>
      <c r="BF49" s="161">
        <v>1971</v>
      </c>
      <c r="BG49" s="161">
        <v>65</v>
      </c>
      <c r="BH49" s="161">
        <v>2730</v>
      </c>
      <c r="BI49" s="161">
        <v>1908</v>
      </c>
      <c r="BJ49" s="161">
        <v>999</v>
      </c>
      <c r="BK49" s="97"/>
      <c r="BL49" s="97"/>
      <c r="BM49" s="97"/>
      <c r="BN49" s="97"/>
    </row>
    <row r="50" spans="1:66" ht="12.75">
      <c r="A50" s="79" t="s">
        <v>306</v>
      </c>
      <c r="B50" s="79" t="s">
        <v>114</v>
      </c>
      <c r="C50" s="79" t="s">
        <v>284</v>
      </c>
      <c r="D50" s="99">
        <v>3232</v>
      </c>
      <c r="E50" s="99">
        <v>759</v>
      </c>
      <c r="F50" s="99" t="s">
        <v>151</v>
      </c>
      <c r="G50" s="99">
        <v>30</v>
      </c>
      <c r="H50" s="99">
        <v>8</v>
      </c>
      <c r="I50" s="99">
        <v>90</v>
      </c>
      <c r="J50" s="99">
        <v>320</v>
      </c>
      <c r="K50" s="99">
        <v>8</v>
      </c>
      <c r="L50" s="99">
        <v>553</v>
      </c>
      <c r="M50" s="99">
        <v>234</v>
      </c>
      <c r="N50" s="99">
        <v>114</v>
      </c>
      <c r="O50" s="99">
        <v>79</v>
      </c>
      <c r="P50" s="158">
        <v>79</v>
      </c>
      <c r="Q50" s="99">
        <v>8</v>
      </c>
      <c r="R50" s="99">
        <v>20</v>
      </c>
      <c r="S50" s="99">
        <v>17</v>
      </c>
      <c r="T50" s="99">
        <v>10</v>
      </c>
      <c r="U50" s="99" t="s">
        <v>868</v>
      </c>
      <c r="V50" s="99">
        <v>12</v>
      </c>
      <c r="W50" s="99">
        <v>16</v>
      </c>
      <c r="X50" s="99">
        <v>24</v>
      </c>
      <c r="Y50" s="99">
        <v>30</v>
      </c>
      <c r="Z50" s="99">
        <v>28</v>
      </c>
      <c r="AA50" s="99" t="s">
        <v>868</v>
      </c>
      <c r="AB50" s="99">
        <v>12</v>
      </c>
      <c r="AC50" s="99" t="s">
        <v>868</v>
      </c>
      <c r="AD50" s="98" t="s">
        <v>132</v>
      </c>
      <c r="AE50" s="100">
        <v>0.23483910891089108</v>
      </c>
      <c r="AF50" s="100">
        <v>0.1</v>
      </c>
      <c r="AG50" s="98">
        <v>928.2178217821782</v>
      </c>
      <c r="AH50" s="98">
        <v>247.52475247524754</v>
      </c>
      <c r="AI50" s="100">
        <v>0.0278</v>
      </c>
      <c r="AJ50" s="100">
        <v>0.703297</v>
      </c>
      <c r="AK50" s="100">
        <v>0.421053</v>
      </c>
      <c r="AL50" s="100">
        <v>0.787749</v>
      </c>
      <c r="AM50" s="100">
        <v>0.53303</v>
      </c>
      <c r="AN50" s="100">
        <v>0.476987</v>
      </c>
      <c r="AO50" s="98">
        <v>2444.3069306930693</v>
      </c>
      <c r="AP50" s="157">
        <v>1.036</v>
      </c>
      <c r="AQ50" s="100">
        <v>0.10126582278481013</v>
      </c>
      <c r="AR50" s="100">
        <v>0.4</v>
      </c>
      <c r="AS50" s="98">
        <v>525.990099009901</v>
      </c>
      <c r="AT50" s="98">
        <v>309.4059405940594</v>
      </c>
      <c r="AU50" s="98" t="s">
        <v>868</v>
      </c>
      <c r="AV50" s="98">
        <v>371.28712871287127</v>
      </c>
      <c r="AW50" s="98">
        <v>495.0495049504951</v>
      </c>
      <c r="AX50" s="98">
        <v>742.5742574257425</v>
      </c>
      <c r="AY50" s="98">
        <v>928.2178217821782</v>
      </c>
      <c r="AZ50" s="98">
        <v>866.3366336633663</v>
      </c>
      <c r="BA50" s="100" t="s">
        <v>868</v>
      </c>
      <c r="BB50" s="100">
        <v>0.6</v>
      </c>
      <c r="BC50" s="100" t="s">
        <v>868</v>
      </c>
      <c r="BD50" s="157">
        <v>0.8201999999999999</v>
      </c>
      <c r="BE50" s="157">
        <v>1.2912000000000001</v>
      </c>
      <c r="BF50" s="161">
        <v>455</v>
      </c>
      <c r="BG50" s="161">
        <v>19</v>
      </c>
      <c r="BH50" s="161">
        <v>702</v>
      </c>
      <c r="BI50" s="161">
        <v>439</v>
      </c>
      <c r="BJ50" s="161">
        <v>239</v>
      </c>
      <c r="BK50" s="97"/>
      <c r="BL50" s="97"/>
      <c r="BM50" s="97"/>
      <c r="BN50" s="97"/>
    </row>
    <row r="51" spans="1:66" ht="12.75">
      <c r="A51" s="79" t="s">
        <v>261</v>
      </c>
      <c r="B51" s="79" t="s">
        <v>124</v>
      </c>
      <c r="C51" s="79" t="s">
        <v>284</v>
      </c>
      <c r="D51" s="99">
        <v>2546</v>
      </c>
      <c r="E51" s="99">
        <v>402</v>
      </c>
      <c r="F51" s="99" t="s">
        <v>153</v>
      </c>
      <c r="G51" s="99">
        <v>15</v>
      </c>
      <c r="H51" s="99" t="s">
        <v>868</v>
      </c>
      <c r="I51" s="99">
        <v>60</v>
      </c>
      <c r="J51" s="99">
        <v>233</v>
      </c>
      <c r="K51" s="99">
        <v>221</v>
      </c>
      <c r="L51" s="99">
        <v>469</v>
      </c>
      <c r="M51" s="99">
        <v>172</v>
      </c>
      <c r="N51" s="99">
        <v>88</v>
      </c>
      <c r="O51" s="99">
        <v>43</v>
      </c>
      <c r="P51" s="158">
        <v>43</v>
      </c>
      <c r="Q51" s="99" t="s">
        <v>868</v>
      </c>
      <c r="R51" s="99">
        <v>11</v>
      </c>
      <c r="S51" s="99">
        <v>10</v>
      </c>
      <c r="T51" s="99">
        <v>9</v>
      </c>
      <c r="U51" s="99" t="s">
        <v>868</v>
      </c>
      <c r="V51" s="99">
        <v>7</v>
      </c>
      <c r="W51" s="99">
        <v>12</v>
      </c>
      <c r="X51" s="99" t="s">
        <v>868</v>
      </c>
      <c r="Y51" s="99">
        <v>12</v>
      </c>
      <c r="Z51" s="99">
        <v>16</v>
      </c>
      <c r="AA51" s="99" t="s">
        <v>868</v>
      </c>
      <c r="AB51" s="99" t="s">
        <v>868</v>
      </c>
      <c r="AC51" s="99" t="s">
        <v>868</v>
      </c>
      <c r="AD51" s="98" t="s">
        <v>132</v>
      </c>
      <c r="AE51" s="100">
        <v>0.15789473684210525</v>
      </c>
      <c r="AF51" s="100">
        <v>0.07</v>
      </c>
      <c r="AG51" s="98">
        <v>589.159465828751</v>
      </c>
      <c r="AH51" s="98" t="s">
        <v>868</v>
      </c>
      <c r="AI51" s="100">
        <v>0.0236</v>
      </c>
      <c r="AJ51" s="100">
        <v>0.761438</v>
      </c>
      <c r="AK51" s="100">
        <v>0.756849</v>
      </c>
      <c r="AL51" s="100">
        <v>0.855839</v>
      </c>
      <c r="AM51" s="100">
        <v>0.616487</v>
      </c>
      <c r="AN51" s="100">
        <v>0.582781</v>
      </c>
      <c r="AO51" s="98">
        <v>1688.9238020424195</v>
      </c>
      <c r="AP51" s="157">
        <v>0.8983</v>
      </c>
      <c r="AQ51" s="100" t="s">
        <v>868</v>
      </c>
      <c r="AR51" s="100" t="s">
        <v>868</v>
      </c>
      <c r="AS51" s="98">
        <v>392.77297721916733</v>
      </c>
      <c r="AT51" s="98">
        <v>353.4956794972506</v>
      </c>
      <c r="AU51" s="98" t="s">
        <v>868</v>
      </c>
      <c r="AV51" s="98">
        <v>274.9410840534171</v>
      </c>
      <c r="AW51" s="98">
        <v>471.3275726630008</v>
      </c>
      <c r="AX51" s="98" t="s">
        <v>868</v>
      </c>
      <c r="AY51" s="98">
        <v>471.3275726630008</v>
      </c>
      <c r="AZ51" s="98">
        <v>628.4367635506677</v>
      </c>
      <c r="BA51" s="101" t="s">
        <v>868</v>
      </c>
      <c r="BB51" s="101" t="s">
        <v>868</v>
      </c>
      <c r="BC51" s="101" t="s">
        <v>868</v>
      </c>
      <c r="BD51" s="157">
        <v>0.6501</v>
      </c>
      <c r="BE51" s="157">
        <v>1.21</v>
      </c>
      <c r="BF51" s="161">
        <v>306</v>
      </c>
      <c r="BG51" s="161">
        <v>292</v>
      </c>
      <c r="BH51" s="161">
        <v>548</v>
      </c>
      <c r="BI51" s="161">
        <v>279</v>
      </c>
      <c r="BJ51" s="161">
        <v>151</v>
      </c>
      <c r="BK51" s="97"/>
      <c r="BL51" s="97"/>
      <c r="BM51" s="97"/>
      <c r="BN51" s="97"/>
    </row>
    <row r="52" spans="1:66" ht="12.75">
      <c r="A52" s="79" t="s">
        <v>307</v>
      </c>
      <c r="B52" s="79" t="s">
        <v>116</v>
      </c>
      <c r="C52" s="79" t="s">
        <v>284</v>
      </c>
      <c r="D52" s="99">
        <v>3351</v>
      </c>
      <c r="E52" s="99">
        <v>388</v>
      </c>
      <c r="F52" s="99" t="s">
        <v>152</v>
      </c>
      <c r="G52" s="99">
        <v>16</v>
      </c>
      <c r="H52" s="99">
        <v>9</v>
      </c>
      <c r="I52" s="99">
        <v>37</v>
      </c>
      <c r="J52" s="99">
        <v>243</v>
      </c>
      <c r="K52" s="99" t="s">
        <v>868</v>
      </c>
      <c r="L52" s="99">
        <v>638</v>
      </c>
      <c r="M52" s="99">
        <v>168</v>
      </c>
      <c r="N52" s="99">
        <v>88</v>
      </c>
      <c r="O52" s="99">
        <v>38</v>
      </c>
      <c r="P52" s="158">
        <v>38</v>
      </c>
      <c r="Q52" s="99" t="s">
        <v>868</v>
      </c>
      <c r="R52" s="99">
        <v>7</v>
      </c>
      <c r="S52" s="99">
        <v>8</v>
      </c>
      <c r="T52" s="99" t="s">
        <v>868</v>
      </c>
      <c r="U52" s="99" t="s">
        <v>868</v>
      </c>
      <c r="V52" s="99">
        <v>11</v>
      </c>
      <c r="W52" s="99">
        <v>14</v>
      </c>
      <c r="X52" s="99">
        <v>11</v>
      </c>
      <c r="Y52" s="99">
        <v>28</v>
      </c>
      <c r="Z52" s="99">
        <v>19</v>
      </c>
      <c r="AA52" s="99" t="s">
        <v>868</v>
      </c>
      <c r="AB52" s="99" t="s">
        <v>868</v>
      </c>
      <c r="AC52" s="99" t="s">
        <v>868</v>
      </c>
      <c r="AD52" s="98" t="s">
        <v>132</v>
      </c>
      <c r="AE52" s="100">
        <v>0.11578633243807819</v>
      </c>
      <c r="AF52" s="100">
        <v>0.13</v>
      </c>
      <c r="AG52" s="98">
        <v>477.4694121157863</v>
      </c>
      <c r="AH52" s="98">
        <v>268.5765443151298</v>
      </c>
      <c r="AI52" s="100">
        <v>0.011000000000000001</v>
      </c>
      <c r="AJ52" s="100">
        <v>0.708455</v>
      </c>
      <c r="AK52" s="100" t="s">
        <v>868</v>
      </c>
      <c r="AL52" s="100">
        <v>0.791563</v>
      </c>
      <c r="AM52" s="100">
        <v>0.6</v>
      </c>
      <c r="AN52" s="100">
        <v>0.539877</v>
      </c>
      <c r="AO52" s="98">
        <v>1133.9898537749925</v>
      </c>
      <c r="AP52" s="157">
        <v>0.6609999999999999</v>
      </c>
      <c r="AQ52" s="100" t="s">
        <v>868</v>
      </c>
      <c r="AR52" s="100" t="s">
        <v>868</v>
      </c>
      <c r="AS52" s="98">
        <v>238.73470605789316</v>
      </c>
      <c r="AT52" s="98" t="s">
        <v>868</v>
      </c>
      <c r="AU52" s="98" t="s">
        <v>868</v>
      </c>
      <c r="AV52" s="98">
        <v>328.2602208296031</v>
      </c>
      <c r="AW52" s="98">
        <v>417.78573560131304</v>
      </c>
      <c r="AX52" s="98">
        <v>328.2602208296031</v>
      </c>
      <c r="AY52" s="98">
        <v>835.5714712026261</v>
      </c>
      <c r="AZ52" s="98">
        <v>566.9949268874963</v>
      </c>
      <c r="BA52" s="100" t="s">
        <v>868</v>
      </c>
      <c r="BB52" s="100" t="s">
        <v>868</v>
      </c>
      <c r="BC52" s="100" t="s">
        <v>868</v>
      </c>
      <c r="BD52" s="157">
        <v>0.4678</v>
      </c>
      <c r="BE52" s="157">
        <v>0.9073</v>
      </c>
      <c r="BF52" s="161">
        <v>343</v>
      </c>
      <c r="BG52" s="161" t="s">
        <v>868</v>
      </c>
      <c r="BH52" s="161">
        <v>806</v>
      </c>
      <c r="BI52" s="161">
        <v>280</v>
      </c>
      <c r="BJ52" s="161">
        <v>163</v>
      </c>
      <c r="BK52" s="97"/>
      <c r="BL52" s="97"/>
      <c r="BM52" s="97"/>
      <c r="BN52" s="97"/>
    </row>
    <row r="53" spans="1:66" ht="12.75">
      <c r="A53" s="79" t="s">
        <v>233</v>
      </c>
      <c r="B53" s="79" t="s">
        <v>73</v>
      </c>
      <c r="C53" s="79" t="s">
        <v>284</v>
      </c>
      <c r="D53" s="99">
        <v>10136</v>
      </c>
      <c r="E53" s="99">
        <v>2215</v>
      </c>
      <c r="F53" s="99" t="s">
        <v>152</v>
      </c>
      <c r="G53" s="99">
        <v>59</v>
      </c>
      <c r="H53" s="99">
        <v>35</v>
      </c>
      <c r="I53" s="99">
        <v>208</v>
      </c>
      <c r="J53" s="99">
        <v>942</v>
      </c>
      <c r="K53" s="99" t="s">
        <v>868</v>
      </c>
      <c r="L53" s="99">
        <v>1678</v>
      </c>
      <c r="M53" s="99">
        <v>762</v>
      </c>
      <c r="N53" s="99">
        <v>380</v>
      </c>
      <c r="O53" s="99">
        <v>264</v>
      </c>
      <c r="P53" s="158">
        <v>264</v>
      </c>
      <c r="Q53" s="99">
        <v>25</v>
      </c>
      <c r="R53" s="99">
        <v>48</v>
      </c>
      <c r="S53" s="99">
        <v>38</v>
      </c>
      <c r="T53" s="99">
        <v>65</v>
      </c>
      <c r="U53" s="99" t="s">
        <v>868</v>
      </c>
      <c r="V53" s="99">
        <v>56</v>
      </c>
      <c r="W53" s="99">
        <v>88</v>
      </c>
      <c r="X53" s="99">
        <v>102</v>
      </c>
      <c r="Y53" s="99">
        <v>119</v>
      </c>
      <c r="Z53" s="99">
        <v>69</v>
      </c>
      <c r="AA53" s="99">
        <v>12</v>
      </c>
      <c r="AB53" s="99">
        <v>30</v>
      </c>
      <c r="AC53" s="99">
        <v>13</v>
      </c>
      <c r="AD53" s="98" t="s">
        <v>132</v>
      </c>
      <c r="AE53" s="100">
        <v>0.21852801894238358</v>
      </c>
      <c r="AF53" s="100">
        <v>0.11</v>
      </c>
      <c r="AG53" s="98">
        <v>582.0836621941594</v>
      </c>
      <c r="AH53" s="98">
        <v>345.30386740331494</v>
      </c>
      <c r="AI53" s="100">
        <v>0.020499999999999997</v>
      </c>
      <c r="AJ53" s="100">
        <v>0.713096</v>
      </c>
      <c r="AK53" s="100" t="s">
        <v>868</v>
      </c>
      <c r="AL53" s="100">
        <v>0.732431</v>
      </c>
      <c r="AM53" s="100">
        <v>0.605242</v>
      </c>
      <c r="AN53" s="100">
        <v>0.560472</v>
      </c>
      <c r="AO53" s="98">
        <v>2604.5777426992895</v>
      </c>
      <c r="AP53" s="157">
        <v>1.1623</v>
      </c>
      <c r="AQ53" s="100">
        <v>0.0946969696969697</v>
      </c>
      <c r="AR53" s="100">
        <v>0.5208333333333334</v>
      </c>
      <c r="AS53" s="98">
        <v>374.9013417521705</v>
      </c>
      <c r="AT53" s="98">
        <v>641.2786108918706</v>
      </c>
      <c r="AU53" s="98" t="s">
        <v>868</v>
      </c>
      <c r="AV53" s="98">
        <v>552.4861878453039</v>
      </c>
      <c r="AW53" s="98">
        <v>868.1925808997632</v>
      </c>
      <c r="AX53" s="98">
        <v>1006.3141278610892</v>
      </c>
      <c r="AY53" s="98">
        <v>1174.0331491712707</v>
      </c>
      <c r="AZ53" s="98">
        <v>680.741910023678</v>
      </c>
      <c r="BA53" s="100">
        <v>0.21818181818181817</v>
      </c>
      <c r="BB53" s="100">
        <v>0.5454545454545454</v>
      </c>
      <c r="BC53" s="100">
        <v>0.23636363636363636</v>
      </c>
      <c r="BD53" s="157">
        <v>1.0263</v>
      </c>
      <c r="BE53" s="157">
        <v>1.3113</v>
      </c>
      <c r="BF53" s="161">
        <v>1321</v>
      </c>
      <c r="BG53" s="161" t="s">
        <v>868</v>
      </c>
      <c r="BH53" s="161">
        <v>2291</v>
      </c>
      <c r="BI53" s="161">
        <v>1259</v>
      </c>
      <c r="BJ53" s="161">
        <v>678</v>
      </c>
      <c r="BK53" s="97"/>
      <c r="BL53" s="97"/>
      <c r="BM53" s="97"/>
      <c r="BN53" s="97"/>
    </row>
    <row r="54" spans="1:66" ht="12.75">
      <c r="A54" s="79" t="s">
        <v>259</v>
      </c>
      <c r="B54" s="79" t="s">
        <v>122</v>
      </c>
      <c r="C54" s="79" t="s">
        <v>284</v>
      </c>
      <c r="D54" s="99">
        <v>1863</v>
      </c>
      <c r="E54" s="99">
        <v>641</v>
      </c>
      <c r="F54" s="99" t="s">
        <v>151</v>
      </c>
      <c r="G54" s="99">
        <v>20</v>
      </c>
      <c r="H54" s="99">
        <v>6</v>
      </c>
      <c r="I54" s="99">
        <v>75</v>
      </c>
      <c r="J54" s="99">
        <v>255</v>
      </c>
      <c r="K54" s="99">
        <v>9</v>
      </c>
      <c r="L54" s="99">
        <v>332</v>
      </c>
      <c r="M54" s="99">
        <v>220</v>
      </c>
      <c r="N54" s="99">
        <v>106</v>
      </c>
      <c r="O54" s="99">
        <v>35</v>
      </c>
      <c r="P54" s="158">
        <v>35</v>
      </c>
      <c r="Q54" s="99">
        <v>7</v>
      </c>
      <c r="R54" s="99">
        <v>14</v>
      </c>
      <c r="S54" s="99">
        <v>7</v>
      </c>
      <c r="T54" s="99" t="s">
        <v>868</v>
      </c>
      <c r="U54" s="99" t="s">
        <v>868</v>
      </c>
      <c r="V54" s="99" t="s">
        <v>868</v>
      </c>
      <c r="W54" s="99">
        <v>13</v>
      </c>
      <c r="X54" s="99">
        <v>7</v>
      </c>
      <c r="Y54" s="99">
        <v>10</v>
      </c>
      <c r="Z54" s="99">
        <v>22</v>
      </c>
      <c r="AA54" s="99" t="s">
        <v>868</v>
      </c>
      <c r="AB54" s="99" t="s">
        <v>868</v>
      </c>
      <c r="AC54" s="99" t="s">
        <v>868</v>
      </c>
      <c r="AD54" s="98" t="s">
        <v>132</v>
      </c>
      <c r="AE54" s="100">
        <v>0.34406870638754694</v>
      </c>
      <c r="AF54" s="100">
        <v>0.11</v>
      </c>
      <c r="AG54" s="98">
        <v>1073.5373054213635</v>
      </c>
      <c r="AH54" s="98">
        <v>322.061191626409</v>
      </c>
      <c r="AI54" s="100">
        <v>0.0403</v>
      </c>
      <c r="AJ54" s="100">
        <v>0.754438</v>
      </c>
      <c r="AK54" s="100">
        <v>0.75</v>
      </c>
      <c r="AL54" s="100">
        <v>0.846939</v>
      </c>
      <c r="AM54" s="100">
        <v>0.625</v>
      </c>
      <c r="AN54" s="100">
        <v>0.569892</v>
      </c>
      <c r="AO54" s="98">
        <v>1878.690284487386</v>
      </c>
      <c r="AP54" s="157">
        <v>0.6291</v>
      </c>
      <c r="AQ54" s="100">
        <v>0.2</v>
      </c>
      <c r="AR54" s="100">
        <v>0.5</v>
      </c>
      <c r="AS54" s="98">
        <v>375.7380568974772</v>
      </c>
      <c r="AT54" s="98" t="s">
        <v>868</v>
      </c>
      <c r="AU54" s="98" t="s">
        <v>868</v>
      </c>
      <c r="AV54" s="98" t="s">
        <v>868</v>
      </c>
      <c r="AW54" s="98">
        <v>697.7992485238861</v>
      </c>
      <c r="AX54" s="98">
        <v>375.7380568974772</v>
      </c>
      <c r="AY54" s="98">
        <v>536.7686527106817</v>
      </c>
      <c r="AZ54" s="98">
        <v>1180.8910359634997</v>
      </c>
      <c r="BA54" s="100" t="s">
        <v>868</v>
      </c>
      <c r="BB54" s="100" t="s">
        <v>868</v>
      </c>
      <c r="BC54" s="100" t="s">
        <v>868</v>
      </c>
      <c r="BD54" s="157">
        <v>0.4382</v>
      </c>
      <c r="BE54" s="157">
        <v>0.8748999999999999</v>
      </c>
      <c r="BF54" s="161">
        <v>338</v>
      </c>
      <c r="BG54" s="161">
        <v>12</v>
      </c>
      <c r="BH54" s="161">
        <v>392</v>
      </c>
      <c r="BI54" s="161">
        <v>352</v>
      </c>
      <c r="BJ54" s="161">
        <v>186</v>
      </c>
      <c r="BK54" s="97"/>
      <c r="BL54" s="97"/>
      <c r="BM54" s="97"/>
      <c r="BN54" s="97"/>
    </row>
    <row r="55" spans="1:66" ht="12.75">
      <c r="A55" s="79" t="s">
        <v>289</v>
      </c>
      <c r="B55" s="79" t="s">
        <v>71</v>
      </c>
      <c r="C55" s="79" t="s">
        <v>284</v>
      </c>
      <c r="D55" s="99">
        <v>13023</v>
      </c>
      <c r="E55" s="99">
        <v>2416</v>
      </c>
      <c r="F55" s="99" t="s">
        <v>151</v>
      </c>
      <c r="G55" s="99">
        <v>65</v>
      </c>
      <c r="H55" s="99">
        <v>27</v>
      </c>
      <c r="I55" s="99">
        <v>310</v>
      </c>
      <c r="J55" s="99">
        <v>1188</v>
      </c>
      <c r="K55" s="99">
        <v>6</v>
      </c>
      <c r="L55" s="99">
        <v>2393</v>
      </c>
      <c r="M55" s="99">
        <v>1005</v>
      </c>
      <c r="N55" s="99">
        <v>496</v>
      </c>
      <c r="O55" s="99">
        <v>417</v>
      </c>
      <c r="P55" s="158">
        <v>417</v>
      </c>
      <c r="Q55" s="99">
        <v>33</v>
      </c>
      <c r="R55" s="99">
        <v>62</v>
      </c>
      <c r="S55" s="99">
        <v>63</v>
      </c>
      <c r="T55" s="99">
        <v>70</v>
      </c>
      <c r="U55" s="99" t="s">
        <v>868</v>
      </c>
      <c r="V55" s="99">
        <v>77</v>
      </c>
      <c r="W55" s="99">
        <v>123</v>
      </c>
      <c r="X55" s="99">
        <v>134</v>
      </c>
      <c r="Y55" s="99">
        <v>193</v>
      </c>
      <c r="Z55" s="99">
        <v>97</v>
      </c>
      <c r="AA55" s="99">
        <v>13</v>
      </c>
      <c r="AB55" s="99">
        <v>39</v>
      </c>
      <c r="AC55" s="99">
        <v>17</v>
      </c>
      <c r="AD55" s="98" t="s">
        <v>132</v>
      </c>
      <c r="AE55" s="100">
        <v>0.18551792981647855</v>
      </c>
      <c r="AF55" s="100">
        <v>0.1</v>
      </c>
      <c r="AG55" s="98">
        <v>499.11694694002915</v>
      </c>
      <c r="AH55" s="98">
        <v>207.32550103662751</v>
      </c>
      <c r="AI55" s="100">
        <v>0.023799999999999998</v>
      </c>
      <c r="AJ55" s="100">
        <v>0.695143</v>
      </c>
      <c r="AK55" s="100">
        <v>0.214286</v>
      </c>
      <c r="AL55" s="100">
        <v>0.775186</v>
      </c>
      <c r="AM55" s="100">
        <v>0.641762</v>
      </c>
      <c r="AN55" s="100">
        <v>0.592593</v>
      </c>
      <c r="AO55" s="98">
        <v>3202.0271826768026</v>
      </c>
      <c r="AP55" s="157">
        <v>1.5191</v>
      </c>
      <c r="AQ55" s="100">
        <v>0.07913669064748201</v>
      </c>
      <c r="AR55" s="100">
        <v>0.532258064516129</v>
      </c>
      <c r="AS55" s="98">
        <v>483.7595024187975</v>
      </c>
      <c r="AT55" s="98">
        <v>537.5105582431083</v>
      </c>
      <c r="AU55" s="98" t="s">
        <v>868</v>
      </c>
      <c r="AV55" s="98">
        <v>591.2616140674191</v>
      </c>
      <c r="AW55" s="98">
        <v>944.4828380557475</v>
      </c>
      <c r="AX55" s="98">
        <v>1028.9487829225218</v>
      </c>
      <c r="AY55" s="98">
        <v>1481.993396298856</v>
      </c>
      <c r="AZ55" s="98">
        <v>744.8360592797359</v>
      </c>
      <c r="BA55" s="100">
        <v>0.18840579710144928</v>
      </c>
      <c r="BB55" s="100">
        <v>0.5652173913043478</v>
      </c>
      <c r="BC55" s="100">
        <v>0.2463768115942029</v>
      </c>
      <c r="BD55" s="157">
        <v>1.3768</v>
      </c>
      <c r="BE55" s="157">
        <v>1.6721000000000001</v>
      </c>
      <c r="BF55" s="161">
        <v>1709</v>
      </c>
      <c r="BG55" s="161">
        <v>28</v>
      </c>
      <c r="BH55" s="161">
        <v>3087</v>
      </c>
      <c r="BI55" s="161">
        <v>1566</v>
      </c>
      <c r="BJ55" s="161">
        <v>837</v>
      </c>
      <c r="BK55" s="97"/>
      <c r="BL55" s="97"/>
      <c r="BM55" s="97"/>
      <c r="BN55" s="97"/>
    </row>
    <row r="56" spans="1:66" ht="12.75">
      <c r="A56" s="79" t="s">
        <v>230</v>
      </c>
      <c r="B56" s="79" t="s">
        <v>69</v>
      </c>
      <c r="C56" s="79" t="s">
        <v>284</v>
      </c>
      <c r="D56" s="99">
        <v>3133</v>
      </c>
      <c r="E56" s="99">
        <v>878</v>
      </c>
      <c r="F56" s="99" t="s">
        <v>151</v>
      </c>
      <c r="G56" s="99">
        <v>26</v>
      </c>
      <c r="H56" s="99">
        <v>12</v>
      </c>
      <c r="I56" s="99">
        <v>83</v>
      </c>
      <c r="J56" s="99">
        <v>438</v>
      </c>
      <c r="K56" s="99">
        <v>8</v>
      </c>
      <c r="L56" s="99">
        <v>567</v>
      </c>
      <c r="M56" s="99">
        <v>381</v>
      </c>
      <c r="N56" s="99">
        <v>197</v>
      </c>
      <c r="O56" s="99">
        <v>91</v>
      </c>
      <c r="P56" s="158">
        <v>91</v>
      </c>
      <c r="Q56" s="99">
        <v>10</v>
      </c>
      <c r="R56" s="99">
        <v>24</v>
      </c>
      <c r="S56" s="99">
        <v>22</v>
      </c>
      <c r="T56" s="99">
        <v>13</v>
      </c>
      <c r="U56" s="99" t="s">
        <v>868</v>
      </c>
      <c r="V56" s="99">
        <v>16</v>
      </c>
      <c r="W56" s="99">
        <v>17</v>
      </c>
      <c r="X56" s="99">
        <v>19</v>
      </c>
      <c r="Y56" s="99">
        <v>31</v>
      </c>
      <c r="Z56" s="99">
        <v>28</v>
      </c>
      <c r="AA56" s="99">
        <v>12</v>
      </c>
      <c r="AB56" s="99" t="s">
        <v>868</v>
      </c>
      <c r="AC56" s="99" t="s">
        <v>868</v>
      </c>
      <c r="AD56" s="98" t="s">
        <v>132</v>
      </c>
      <c r="AE56" s="100">
        <v>0.2802425789977657</v>
      </c>
      <c r="AF56" s="100">
        <v>0.09</v>
      </c>
      <c r="AG56" s="98">
        <v>829.8755186721992</v>
      </c>
      <c r="AH56" s="98">
        <v>383.0194701563996</v>
      </c>
      <c r="AI56" s="100">
        <v>0.0265</v>
      </c>
      <c r="AJ56" s="100">
        <v>0.805147</v>
      </c>
      <c r="AK56" s="100">
        <v>0.571429</v>
      </c>
      <c r="AL56" s="100">
        <v>0.799718</v>
      </c>
      <c r="AM56" s="100">
        <v>0.673145</v>
      </c>
      <c r="AN56" s="100">
        <v>0.641694</v>
      </c>
      <c r="AO56" s="98">
        <v>2904.564315352697</v>
      </c>
      <c r="AP56" s="157">
        <v>1.0926</v>
      </c>
      <c r="AQ56" s="100">
        <v>0.10989010989010989</v>
      </c>
      <c r="AR56" s="100">
        <v>0.4166666666666667</v>
      </c>
      <c r="AS56" s="98">
        <v>702.2023619533993</v>
      </c>
      <c r="AT56" s="98">
        <v>414.9377593360996</v>
      </c>
      <c r="AU56" s="98" t="s">
        <v>868</v>
      </c>
      <c r="AV56" s="98">
        <v>510.6926268751995</v>
      </c>
      <c r="AW56" s="98">
        <v>542.6109160548995</v>
      </c>
      <c r="AX56" s="98">
        <v>606.4474944142994</v>
      </c>
      <c r="AY56" s="98">
        <v>989.466964570699</v>
      </c>
      <c r="AZ56" s="98">
        <v>893.7120970315991</v>
      </c>
      <c r="BA56" s="100">
        <v>0.5217391304347826</v>
      </c>
      <c r="BB56" s="100" t="s">
        <v>868</v>
      </c>
      <c r="BC56" s="100" t="s">
        <v>868</v>
      </c>
      <c r="BD56" s="157">
        <v>0.8797</v>
      </c>
      <c r="BE56" s="157">
        <v>1.3415000000000001</v>
      </c>
      <c r="BF56" s="161">
        <v>544</v>
      </c>
      <c r="BG56" s="161">
        <v>14</v>
      </c>
      <c r="BH56" s="161">
        <v>709</v>
      </c>
      <c r="BI56" s="161">
        <v>566</v>
      </c>
      <c r="BJ56" s="161">
        <v>307</v>
      </c>
      <c r="BK56" s="97"/>
      <c r="BL56" s="97"/>
      <c r="BM56" s="97"/>
      <c r="BN56" s="97"/>
    </row>
    <row r="57" spans="1:66" ht="12.75">
      <c r="A57" s="79" t="s">
        <v>293</v>
      </c>
      <c r="B57" s="79" t="s">
        <v>80</v>
      </c>
      <c r="C57" s="79" t="s">
        <v>284</v>
      </c>
      <c r="D57" s="99">
        <v>6925</v>
      </c>
      <c r="E57" s="99">
        <v>1590</v>
      </c>
      <c r="F57" s="99" t="s">
        <v>151</v>
      </c>
      <c r="G57" s="99">
        <v>44</v>
      </c>
      <c r="H57" s="99">
        <v>18</v>
      </c>
      <c r="I57" s="99">
        <v>179</v>
      </c>
      <c r="J57" s="99">
        <v>953</v>
      </c>
      <c r="K57" s="99">
        <v>919</v>
      </c>
      <c r="L57" s="99">
        <v>1340</v>
      </c>
      <c r="M57" s="99">
        <v>731</v>
      </c>
      <c r="N57" s="99">
        <v>373</v>
      </c>
      <c r="O57" s="99">
        <v>194</v>
      </c>
      <c r="P57" s="158">
        <v>194</v>
      </c>
      <c r="Q57" s="99">
        <v>28</v>
      </c>
      <c r="R57" s="99">
        <v>50</v>
      </c>
      <c r="S57" s="99">
        <v>24</v>
      </c>
      <c r="T57" s="99">
        <v>41</v>
      </c>
      <c r="U57" s="99">
        <v>6</v>
      </c>
      <c r="V57" s="99">
        <v>30</v>
      </c>
      <c r="W57" s="99">
        <v>51</v>
      </c>
      <c r="X57" s="99">
        <v>43</v>
      </c>
      <c r="Y57" s="99">
        <v>51</v>
      </c>
      <c r="Z57" s="99">
        <v>44</v>
      </c>
      <c r="AA57" s="99">
        <v>14</v>
      </c>
      <c r="AB57" s="99">
        <v>20</v>
      </c>
      <c r="AC57" s="99">
        <v>14</v>
      </c>
      <c r="AD57" s="98" t="s">
        <v>132</v>
      </c>
      <c r="AE57" s="100">
        <v>0.2296028880866426</v>
      </c>
      <c r="AF57" s="100">
        <v>0.09</v>
      </c>
      <c r="AG57" s="98">
        <v>635.3790613718412</v>
      </c>
      <c r="AH57" s="98">
        <v>259.927797833935</v>
      </c>
      <c r="AI57" s="100">
        <v>0.0258</v>
      </c>
      <c r="AJ57" s="100">
        <v>0.831588</v>
      </c>
      <c r="AK57" s="100">
        <v>0.836215</v>
      </c>
      <c r="AL57" s="100">
        <v>0.829208</v>
      </c>
      <c r="AM57" s="100">
        <v>0.662738</v>
      </c>
      <c r="AN57" s="100">
        <v>0.619601</v>
      </c>
      <c r="AO57" s="98">
        <v>2801.4440433212994</v>
      </c>
      <c r="AP57" s="157">
        <v>1.1573</v>
      </c>
      <c r="AQ57" s="100">
        <v>0.14432989690721648</v>
      </c>
      <c r="AR57" s="100">
        <v>0.56</v>
      </c>
      <c r="AS57" s="98">
        <v>346.57039711191334</v>
      </c>
      <c r="AT57" s="98">
        <v>592.057761732852</v>
      </c>
      <c r="AU57" s="98">
        <v>86.64259927797833</v>
      </c>
      <c r="AV57" s="98">
        <v>433.2129963898917</v>
      </c>
      <c r="AW57" s="98">
        <v>736.4620938628159</v>
      </c>
      <c r="AX57" s="98">
        <v>620.9386281588447</v>
      </c>
      <c r="AY57" s="98">
        <v>736.4620938628159</v>
      </c>
      <c r="AZ57" s="98">
        <v>635.3790613718412</v>
      </c>
      <c r="BA57" s="100">
        <v>0.2916666666666667</v>
      </c>
      <c r="BB57" s="100">
        <v>0.4166666666666667</v>
      </c>
      <c r="BC57" s="100">
        <v>0.2916666666666667</v>
      </c>
      <c r="BD57" s="157">
        <v>1.0001</v>
      </c>
      <c r="BE57" s="157">
        <v>1.3321</v>
      </c>
      <c r="BF57" s="161">
        <v>1146</v>
      </c>
      <c r="BG57" s="161">
        <v>1099</v>
      </c>
      <c r="BH57" s="161">
        <v>1616</v>
      </c>
      <c r="BI57" s="161">
        <v>1103</v>
      </c>
      <c r="BJ57" s="161">
        <v>602</v>
      </c>
      <c r="BK57" s="97"/>
      <c r="BL57" s="97"/>
      <c r="BM57" s="97"/>
      <c r="BN57" s="97"/>
    </row>
    <row r="58" spans="1:66" ht="12.75">
      <c r="A58" s="79" t="s">
        <v>245</v>
      </c>
      <c r="B58" s="79" t="s">
        <v>100</v>
      </c>
      <c r="C58" s="79" t="s">
        <v>284</v>
      </c>
      <c r="D58" s="99">
        <v>5489</v>
      </c>
      <c r="E58" s="99">
        <v>1439</v>
      </c>
      <c r="F58" s="99" t="s">
        <v>153</v>
      </c>
      <c r="G58" s="99">
        <v>45</v>
      </c>
      <c r="H58" s="99">
        <v>12</v>
      </c>
      <c r="I58" s="99">
        <v>190</v>
      </c>
      <c r="J58" s="99">
        <v>771</v>
      </c>
      <c r="K58" s="99">
        <v>714</v>
      </c>
      <c r="L58" s="99">
        <v>1014</v>
      </c>
      <c r="M58" s="99">
        <v>589</v>
      </c>
      <c r="N58" s="99">
        <v>298</v>
      </c>
      <c r="O58" s="99">
        <v>147</v>
      </c>
      <c r="P58" s="158">
        <v>147</v>
      </c>
      <c r="Q58" s="99">
        <v>18</v>
      </c>
      <c r="R58" s="99">
        <v>33</v>
      </c>
      <c r="S58" s="99">
        <v>21</v>
      </c>
      <c r="T58" s="99">
        <v>31</v>
      </c>
      <c r="U58" s="99" t="s">
        <v>868</v>
      </c>
      <c r="V58" s="99">
        <v>16</v>
      </c>
      <c r="W58" s="99">
        <v>53</v>
      </c>
      <c r="X58" s="99">
        <v>56</v>
      </c>
      <c r="Y58" s="99">
        <v>46</v>
      </c>
      <c r="Z58" s="99">
        <v>23</v>
      </c>
      <c r="AA58" s="99" t="s">
        <v>868</v>
      </c>
      <c r="AB58" s="99">
        <v>20</v>
      </c>
      <c r="AC58" s="99" t="s">
        <v>868</v>
      </c>
      <c r="AD58" s="98" t="s">
        <v>132</v>
      </c>
      <c r="AE58" s="100">
        <v>0.2621606850063764</v>
      </c>
      <c r="AF58" s="100">
        <v>0.07</v>
      </c>
      <c r="AG58" s="98">
        <v>819.8214611040262</v>
      </c>
      <c r="AH58" s="98">
        <v>218.619056294407</v>
      </c>
      <c r="AI58" s="100">
        <v>0.0346</v>
      </c>
      <c r="AJ58" s="100">
        <v>0.858575</v>
      </c>
      <c r="AK58" s="100">
        <v>0.818807</v>
      </c>
      <c r="AL58" s="100">
        <v>0.823052</v>
      </c>
      <c r="AM58" s="100">
        <v>0.632653</v>
      </c>
      <c r="AN58" s="100">
        <v>0.61191</v>
      </c>
      <c r="AO58" s="98">
        <v>2678.0834396064856</v>
      </c>
      <c r="AP58" s="157">
        <v>1.0513</v>
      </c>
      <c r="AQ58" s="100">
        <v>0.12244897959183673</v>
      </c>
      <c r="AR58" s="100">
        <v>0.5454545454545454</v>
      </c>
      <c r="AS58" s="98">
        <v>382.58334851521226</v>
      </c>
      <c r="AT58" s="98">
        <v>564.7658954272181</v>
      </c>
      <c r="AU58" s="98" t="s">
        <v>868</v>
      </c>
      <c r="AV58" s="98">
        <v>291.49207505920936</v>
      </c>
      <c r="AW58" s="98">
        <v>965.5674986336309</v>
      </c>
      <c r="AX58" s="98">
        <v>1020.2222627072326</v>
      </c>
      <c r="AY58" s="98">
        <v>838.0397157952268</v>
      </c>
      <c r="AZ58" s="98">
        <v>419.0198578976134</v>
      </c>
      <c r="BA58" s="100" t="s">
        <v>868</v>
      </c>
      <c r="BB58" s="100">
        <v>0.6451612903225806</v>
      </c>
      <c r="BC58" s="100" t="s">
        <v>868</v>
      </c>
      <c r="BD58" s="157">
        <v>0.8881999999999999</v>
      </c>
      <c r="BE58" s="157">
        <v>1.2356</v>
      </c>
      <c r="BF58" s="161">
        <v>898</v>
      </c>
      <c r="BG58" s="161">
        <v>872</v>
      </c>
      <c r="BH58" s="161">
        <v>1232</v>
      </c>
      <c r="BI58" s="161">
        <v>931</v>
      </c>
      <c r="BJ58" s="161">
        <v>487</v>
      </c>
      <c r="BK58" s="97"/>
      <c r="BL58" s="97"/>
      <c r="BM58" s="97"/>
      <c r="BN58" s="97"/>
    </row>
    <row r="59" spans="1:66" ht="12.75">
      <c r="A59" s="79" t="s">
        <v>249</v>
      </c>
      <c r="B59" s="79" t="s">
        <v>106</v>
      </c>
      <c r="C59" s="79" t="s">
        <v>284</v>
      </c>
      <c r="D59" s="99">
        <v>6770</v>
      </c>
      <c r="E59" s="99">
        <v>863</v>
      </c>
      <c r="F59" s="99" t="s">
        <v>150</v>
      </c>
      <c r="G59" s="99">
        <v>33</v>
      </c>
      <c r="H59" s="99">
        <v>12</v>
      </c>
      <c r="I59" s="99">
        <v>120</v>
      </c>
      <c r="J59" s="99">
        <v>491</v>
      </c>
      <c r="K59" s="99">
        <v>6</v>
      </c>
      <c r="L59" s="99">
        <v>1139</v>
      </c>
      <c r="M59" s="99">
        <v>317</v>
      </c>
      <c r="N59" s="99">
        <v>176</v>
      </c>
      <c r="O59" s="99">
        <v>127</v>
      </c>
      <c r="P59" s="158">
        <v>127</v>
      </c>
      <c r="Q59" s="99">
        <v>12</v>
      </c>
      <c r="R59" s="99">
        <v>32</v>
      </c>
      <c r="S59" s="99">
        <v>41</v>
      </c>
      <c r="T59" s="99">
        <v>15</v>
      </c>
      <c r="U59" s="99" t="s">
        <v>868</v>
      </c>
      <c r="V59" s="99">
        <v>15</v>
      </c>
      <c r="W59" s="99">
        <v>32</v>
      </c>
      <c r="X59" s="99">
        <v>29</v>
      </c>
      <c r="Y59" s="99">
        <v>51</v>
      </c>
      <c r="Z59" s="99">
        <v>23</v>
      </c>
      <c r="AA59" s="99">
        <v>10</v>
      </c>
      <c r="AB59" s="99">
        <v>16</v>
      </c>
      <c r="AC59" s="99">
        <v>8</v>
      </c>
      <c r="AD59" s="98" t="s">
        <v>132</v>
      </c>
      <c r="AE59" s="100">
        <v>0.1274741506646972</v>
      </c>
      <c r="AF59" s="100">
        <v>0.16</v>
      </c>
      <c r="AG59" s="98">
        <v>487.44460856720826</v>
      </c>
      <c r="AH59" s="98">
        <v>177.25258493353027</v>
      </c>
      <c r="AI59" s="100">
        <v>0.0177</v>
      </c>
      <c r="AJ59" s="100">
        <v>0.725258</v>
      </c>
      <c r="AK59" s="100">
        <v>0.315789</v>
      </c>
      <c r="AL59" s="100">
        <v>0.760855</v>
      </c>
      <c r="AM59" s="100">
        <v>0.521382</v>
      </c>
      <c r="AN59" s="100">
        <v>0.502857</v>
      </c>
      <c r="AO59" s="98">
        <v>1875.9231905465288</v>
      </c>
      <c r="AP59" s="157">
        <v>1.0590000000000002</v>
      </c>
      <c r="AQ59" s="100">
        <v>0.09448818897637795</v>
      </c>
      <c r="AR59" s="100">
        <v>0.375</v>
      </c>
      <c r="AS59" s="98">
        <v>605.6129985228952</v>
      </c>
      <c r="AT59" s="98">
        <v>221.56573116691285</v>
      </c>
      <c r="AU59" s="98" t="s">
        <v>868</v>
      </c>
      <c r="AV59" s="98">
        <v>221.56573116691285</v>
      </c>
      <c r="AW59" s="98">
        <v>472.6735598227474</v>
      </c>
      <c r="AX59" s="98">
        <v>428.36041358936484</v>
      </c>
      <c r="AY59" s="98">
        <v>753.3234859675036</v>
      </c>
      <c r="AZ59" s="98">
        <v>339.73412112259973</v>
      </c>
      <c r="BA59" s="100">
        <v>0.29411764705882354</v>
      </c>
      <c r="BB59" s="100">
        <v>0.47058823529411764</v>
      </c>
      <c r="BC59" s="100">
        <v>0.23529411764705882</v>
      </c>
      <c r="BD59" s="157">
        <v>0.8829</v>
      </c>
      <c r="BE59" s="157">
        <v>1.2601</v>
      </c>
      <c r="BF59" s="161">
        <v>677</v>
      </c>
      <c r="BG59" s="161">
        <v>19</v>
      </c>
      <c r="BH59" s="161">
        <v>1497</v>
      </c>
      <c r="BI59" s="161">
        <v>608</v>
      </c>
      <c r="BJ59" s="161">
        <v>350</v>
      </c>
      <c r="BK59" s="97"/>
      <c r="BL59" s="97"/>
      <c r="BM59" s="97"/>
      <c r="BN59" s="97"/>
    </row>
    <row r="60" spans="1:66" ht="12.75">
      <c r="A60" s="79" t="s">
        <v>304</v>
      </c>
      <c r="B60" s="79" t="s">
        <v>104</v>
      </c>
      <c r="C60" s="79" t="s">
        <v>284</v>
      </c>
      <c r="D60" s="99">
        <v>6194</v>
      </c>
      <c r="E60" s="99">
        <v>954</v>
      </c>
      <c r="F60" s="99" t="s">
        <v>152</v>
      </c>
      <c r="G60" s="99">
        <v>38</v>
      </c>
      <c r="H60" s="99">
        <v>8</v>
      </c>
      <c r="I60" s="99">
        <v>148</v>
      </c>
      <c r="J60" s="99">
        <v>553</v>
      </c>
      <c r="K60" s="99">
        <v>8</v>
      </c>
      <c r="L60" s="99">
        <v>1202</v>
      </c>
      <c r="M60" s="99">
        <v>438</v>
      </c>
      <c r="N60" s="99">
        <v>214</v>
      </c>
      <c r="O60" s="99">
        <v>207</v>
      </c>
      <c r="P60" s="158">
        <v>207</v>
      </c>
      <c r="Q60" s="99">
        <v>14</v>
      </c>
      <c r="R60" s="99">
        <v>28</v>
      </c>
      <c r="S60" s="99">
        <v>34</v>
      </c>
      <c r="T60" s="99">
        <v>37</v>
      </c>
      <c r="U60" s="99">
        <v>10</v>
      </c>
      <c r="V60" s="99">
        <v>26</v>
      </c>
      <c r="W60" s="99">
        <v>51</v>
      </c>
      <c r="X60" s="99">
        <v>69</v>
      </c>
      <c r="Y60" s="99">
        <v>93</v>
      </c>
      <c r="Z60" s="99">
        <v>33</v>
      </c>
      <c r="AA60" s="99" t="s">
        <v>868</v>
      </c>
      <c r="AB60" s="99">
        <v>13</v>
      </c>
      <c r="AC60" s="99" t="s">
        <v>868</v>
      </c>
      <c r="AD60" s="98" t="s">
        <v>132</v>
      </c>
      <c r="AE60" s="100">
        <v>0.15402001937358734</v>
      </c>
      <c r="AF60" s="100">
        <v>0.12</v>
      </c>
      <c r="AG60" s="98">
        <v>613.4969325153374</v>
      </c>
      <c r="AH60" s="98">
        <v>129.15724895059736</v>
      </c>
      <c r="AI60" s="100">
        <v>0.0239</v>
      </c>
      <c r="AJ60" s="100">
        <v>0.69125</v>
      </c>
      <c r="AK60" s="100">
        <v>0.421053</v>
      </c>
      <c r="AL60" s="100">
        <v>0.773488</v>
      </c>
      <c r="AM60" s="100">
        <v>0.613445</v>
      </c>
      <c r="AN60" s="100">
        <v>0.587912</v>
      </c>
      <c r="AO60" s="98">
        <v>3341.9438165967067</v>
      </c>
      <c r="AP60" s="157">
        <v>1.7125</v>
      </c>
      <c r="AQ60" s="100">
        <v>0.06763285024154589</v>
      </c>
      <c r="AR60" s="100">
        <v>0.5</v>
      </c>
      <c r="AS60" s="98">
        <v>548.9183080400387</v>
      </c>
      <c r="AT60" s="98">
        <v>597.3522763965127</v>
      </c>
      <c r="AU60" s="98">
        <v>161.4465611882467</v>
      </c>
      <c r="AV60" s="98">
        <v>419.7610590894414</v>
      </c>
      <c r="AW60" s="98">
        <v>823.3774620600581</v>
      </c>
      <c r="AX60" s="98">
        <v>1113.9812721989022</v>
      </c>
      <c r="AY60" s="98">
        <v>1501.4530190506941</v>
      </c>
      <c r="AZ60" s="98">
        <v>532.7736519212141</v>
      </c>
      <c r="BA60" s="100" t="s">
        <v>868</v>
      </c>
      <c r="BB60" s="100">
        <v>0.5909090909090909</v>
      </c>
      <c r="BC60" s="100" t="s">
        <v>868</v>
      </c>
      <c r="BD60" s="157">
        <v>1.4872</v>
      </c>
      <c r="BE60" s="157">
        <v>1.9624000000000001</v>
      </c>
      <c r="BF60" s="161">
        <v>800</v>
      </c>
      <c r="BG60" s="161">
        <v>19</v>
      </c>
      <c r="BH60" s="161">
        <v>1554</v>
      </c>
      <c r="BI60" s="161">
        <v>714</v>
      </c>
      <c r="BJ60" s="161">
        <v>364</v>
      </c>
      <c r="BK60" s="97"/>
      <c r="BL60" s="97"/>
      <c r="BM60" s="97"/>
      <c r="BN60" s="97"/>
    </row>
    <row r="61" spans="1:66" ht="12.75">
      <c r="A61" s="79" t="s">
        <v>258</v>
      </c>
      <c r="B61" s="79" t="s">
        <v>121</v>
      </c>
      <c r="C61" s="79" t="s">
        <v>284</v>
      </c>
      <c r="D61" s="99">
        <v>3445</v>
      </c>
      <c r="E61" s="99">
        <v>344</v>
      </c>
      <c r="F61" s="99" t="s">
        <v>152</v>
      </c>
      <c r="G61" s="99">
        <v>9</v>
      </c>
      <c r="H61" s="99" t="s">
        <v>868</v>
      </c>
      <c r="I61" s="99">
        <v>53</v>
      </c>
      <c r="J61" s="99">
        <v>254</v>
      </c>
      <c r="K61" s="99">
        <v>7</v>
      </c>
      <c r="L61" s="99">
        <v>660</v>
      </c>
      <c r="M61" s="99">
        <v>182</v>
      </c>
      <c r="N61" s="99">
        <v>105</v>
      </c>
      <c r="O61" s="99">
        <v>63</v>
      </c>
      <c r="P61" s="158">
        <v>63</v>
      </c>
      <c r="Q61" s="99" t="s">
        <v>868</v>
      </c>
      <c r="R61" s="99">
        <v>16</v>
      </c>
      <c r="S61" s="99">
        <v>20</v>
      </c>
      <c r="T61" s="99">
        <v>6</v>
      </c>
      <c r="U61" s="99" t="s">
        <v>868</v>
      </c>
      <c r="V61" s="99">
        <v>9</v>
      </c>
      <c r="W61" s="99">
        <v>16</v>
      </c>
      <c r="X61" s="99">
        <v>21</v>
      </c>
      <c r="Y61" s="99">
        <v>16</v>
      </c>
      <c r="Z61" s="99">
        <v>19</v>
      </c>
      <c r="AA61" s="99" t="s">
        <v>868</v>
      </c>
      <c r="AB61" s="99" t="s">
        <v>868</v>
      </c>
      <c r="AC61" s="99" t="s">
        <v>868</v>
      </c>
      <c r="AD61" s="98" t="s">
        <v>132</v>
      </c>
      <c r="AE61" s="100">
        <v>0.09985486211901307</v>
      </c>
      <c r="AF61" s="100">
        <v>0.14</v>
      </c>
      <c r="AG61" s="98">
        <v>261.2481857764877</v>
      </c>
      <c r="AH61" s="98" t="s">
        <v>868</v>
      </c>
      <c r="AI61" s="100">
        <v>0.0154</v>
      </c>
      <c r="AJ61" s="100">
        <v>0.791277</v>
      </c>
      <c r="AK61" s="100">
        <v>0.636364</v>
      </c>
      <c r="AL61" s="100">
        <v>0.754286</v>
      </c>
      <c r="AM61" s="100">
        <v>0.627586</v>
      </c>
      <c r="AN61" s="100">
        <v>0.614035</v>
      </c>
      <c r="AO61" s="98">
        <v>1828.7373004354135</v>
      </c>
      <c r="AP61" s="157">
        <v>1.1212</v>
      </c>
      <c r="AQ61" s="100" t="s">
        <v>868</v>
      </c>
      <c r="AR61" s="100" t="s">
        <v>868</v>
      </c>
      <c r="AS61" s="98">
        <v>580.5515239477504</v>
      </c>
      <c r="AT61" s="98">
        <v>174.1654571843251</v>
      </c>
      <c r="AU61" s="98" t="s">
        <v>868</v>
      </c>
      <c r="AV61" s="98">
        <v>261.2481857764877</v>
      </c>
      <c r="AW61" s="98">
        <v>464.4412191582003</v>
      </c>
      <c r="AX61" s="98">
        <v>609.5791001451379</v>
      </c>
      <c r="AY61" s="98">
        <v>464.4412191582003</v>
      </c>
      <c r="AZ61" s="98">
        <v>551.5239477503628</v>
      </c>
      <c r="BA61" s="100" t="s">
        <v>868</v>
      </c>
      <c r="BB61" s="100" t="s">
        <v>868</v>
      </c>
      <c r="BC61" s="100" t="s">
        <v>868</v>
      </c>
      <c r="BD61" s="157">
        <v>0.8615999999999999</v>
      </c>
      <c r="BE61" s="157">
        <v>1.4344999999999999</v>
      </c>
      <c r="BF61" s="161">
        <v>321</v>
      </c>
      <c r="BG61" s="161">
        <v>11</v>
      </c>
      <c r="BH61" s="161">
        <v>875</v>
      </c>
      <c r="BI61" s="161">
        <v>290</v>
      </c>
      <c r="BJ61" s="161">
        <v>171</v>
      </c>
      <c r="BK61" s="97"/>
      <c r="BL61" s="97"/>
      <c r="BM61" s="97"/>
      <c r="BN61" s="97"/>
    </row>
    <row r="62" spans="1:66" ht="12.75">
      <c r="A62" s="79" t="s">
        <v>296</v>
      </c>
      <c r="B62" s="79" t="s">
        <v>84</v>
      </c>
      <c r="C62" s="79" t="s">
        <v>284</v>
      </c>
      <c r="D62" s="99">
        <v>6560</v>
      </c>
      <c r="E62" s="99">
        <v>1664</v>
      </c>
      <c r="F62" s="99" t="s">
        <v>151</v>
      </c>
      <c r="G62" s="99">
        <v>63</v>
      </c>
      <c r="H62" s="99">
        <v>21</v>
      </c>
      <c r="I62" s="99">
        <v>133</v>
      </c>
      <c r="J62" s="99">
        <v>727</v>
      </c>
      <c r="K62" s="99">
        <v>19</v>
      </c>
      <c r="L62" s="99">
        <v>1187</v>
      </c>
      <c r="M62" s="99">
        <v>607</v>
      </c>
      <c r="N62" s="99">
        <v>325</v>
      </c>
      <c r="O62" s="99">
        <v>235</v>
      </c>
      <c r="P62" s="158">
        <v>235</v>
      </c>
      <c r="Q62" s="99">
        <v>23</v>
      </c>
      <c r="R62" s="99">
        <v>43</v>
      </c>
      <c r="S62" s="99">
        <v>33</v>
      </c>
      <c r="T62" s="99">
        <v>47</v>
      </c>
      <c r="U62" s="99" t="s">
        <v>868</v>
      </c>
      <c r="V62" s="99">
        <v>39</v>
      </c>
      <c r="W62" s="99">
        <v>43</v>
      </c>
      <c r="X62" s="99">
        <v>44</v>
      </c>
      <c r="Y62" s="99">
        <v>79</v>
      </c>
      <c r="Z62" s="99">
        <v>51</v>
      </c>
      <c r="AA62" s="99">
        <v>6</v>
      </c>
      <c r="AB62" s="99">
        <v>22</v>
      </c>
      <c r="AC62" s="99">
        <v>12</v>
      </c>
      <c r="AD62" s="98" t="s">
        <v>132</v>
      </c>
      <c r="AE62" s="100">
        <v>0.25365853658536586</v>
      </c>
      <c r="AF62" s="100">
        <v>0.11</v>
      </c>
      <c r="AG62" s="98">
        <v>960.3658536585366</v>
      </c>
      <c r="AH62" s="98">
        <v>320.1219512195122</v>
      </c>
      <c r="AI62" s="100">
        <v>0.0203</v>
      </c>
      <c r="AJ62" s="100">
        <v>0.742594</v>
      </c>
      <c r="AK62" s="100">
        <v>0.558824</v>
      </c>
      <c r="AL62" s="100">
        <v>0.805292</v>
      </c>
      <c r="AM62" s="100">
        <v>0.641649</v>
      </c>
      <c r="AN62" s="100">
        <v>0.61553</v>
      </c>
      <c r="AO62" s="98">
        <v>3582.317073170732</v>
      </c>
      <c r="AP62" s="157">
        <v>1.4439</v>
      </c>
      <c r="AQ62" s="100">
        <v>0.09787234042553192</v>
      </c>
      <c r="AR62" s="100">
        <v>0.5348837209302325</v>
      </c>
      <c r="AS62" s="98">
        <v>503.0487804878049</v>
      </c>
      <c r="AT62" s="98">
        <v>716.4634146341464</v>
      </c>
      <c r="AU62" s="98" t="s">
        <v>868</v>
      </c>
      <c r="AV62" s="98">
        <v>594.5121951219512</v>
      </c>
      <c r="AW62" s="98">
        <v>655.4878048780488</v>
      </c>
      <c r="AX62" s="98">
        <v>670.7317073170732</v>
      </c>
      <c r="AY62" s="98">
        <v>1204.2682926829268</v>
      </c>
      <c r="AZ62" s="98">
        <v>777.439024390244</v>
      </c>
      <c r="BA62" s="100">
        <v>0.15</v>
      </c>
      <c r="BB62" s="100">
        <v>0.55</v>
      </c>
      <c r="BC62" s="100">
        <v>0.3</v>
      </c>
      <c r="BD62" s="157">
        <v>1.2651999999999999</v>
      </c>
      <c r="BE62" s="157">
        <v>1.6408</v>
      </c>
      <c r="BF62" s="161">
        <v>979</v>
      </c>
      <c r="BG62" s="161">
        <v>34</v>
      </c>
      <c r="BH62" s="161">
        <v>1474</v>
      </c>
      <c r="BI62" s="161">
        <v>946</v>
      </c>
      <c r="BJ62" s="161">
        <v>528</v>
      </c>
      <c r="BK62" s="97"/>
      <c r="BL62" s="97"/>
      <c r="BM62" s="97"/>
      <c r="BN62" s="97"/>
    </row>
    <row r="63" spans="1:66" ht="12.75">
      <c r="A63" s="79" t="s">
        <v>292</v>
      </c>
      <c r="B63" s="79" t="s">
        <v>79</v>
      </c>
      <c r="C63" s="79" t="s">
        <v>284</v>
      </c>
      <c r="D63" s="99">
        <v>12188</v>
      </c>
      <c r="E63" s="99">
        <v>2113</v>
      </c>
      <c r="F63" s="99" t="s">
        <v>152</v>
      </c>
      <c r="G63" s="99">
        <v>61</v>
      </c>
      <c r="H63" s="99">
        <v>20</v>
      </c>
      <c r="I63" s="99">
        <v>264</v>
      </c>
      <c r="J63" s="99">
        <v>898</v>
      </c>
      <c r="K63" s="99">
        <v>18</v>
      </c>
      <c r="L63" s="99">
        <v>2253</v>
      </c>
      <c r="M63" s="99">
        <v>667</v>
      </c>
      <c r="N63" s="99">
        <v>324</v>
      </c>
      <c r="O63" s="99">
        <v>288</v>
      </c>
      <c r="P63" s="158">
        <v>288</v>
      </c>
      <c r="Q63" s="99">
        <v>39</v>
      </c>
      <c r="R63" s="99">
        <v>70</v>
      </c>
      <c r="S63" s="99">
        <v>56</v>
      </c>
      <c r="T63" s="99">
        <v>39</v>
      </c>
      <c r="U63" s="99">
        <v>6</v>
      </c>
      <c r="V63" s="99">
        <v>63</v>
      </c>
      <c r="W63" s="99">
        <v>41</v>
      </c>
      <c r="X63" s="99">
        <v>58</v>
      </c>
      <c r="Y63" s="99">
        <v>72</v>
      </c>
      <c r="Z63" s="99">
        <v>61</v>
      </c>
      <c r="AA63" s="99">
        <v>17</v>
      </c>
      <c r="AB63" s="99">
        <v>25</v>
      </c>
      <c r="AC63" s="99">
        <v>10</v>
      </c>
      <c r="AD63" s="98" t="s">
        <v>132</v>
      </c>
      <c r="AE63" s="100">
        <v>0.1733672464719396</v>
      </c>
      <c r="AF63" s="100">
        <v>0.11</v>
      </c>
      <c r="AG63" s="98">
        <v>500.4922874958976</v>
      </c>
      <c r="AH63" s="98">
        <v>164.09583196586806</v>
      </c>
      <c r="AI63" s="100">
        <v>0.0217</v>
      </c>
      <c r="AJ63" s="100">
        <v>0.679788</v>
      </c>
      <c r="AK63" s="100">
        <v>0.473684</v>
      </c>
      <c r="AL63" s="100">
        <v>0.762953</v>
      </c>
      <c r="AM63" s="100">
        <v>0.578491</v>
      </c>
      <c r="AN63" s="100">
        <v>0.522581</v>
      </c>
      <c r="AO63" s="98">
        <v>2362.9799803085</v>
      </c>
      <c r="AP63" s="157">
        <v>1.1887999999999999</v>
      </c>
      <c r="AQ63" s="100">
        <v>0.13541666666666666</v>
      </c>
      <c r="AR63" s="100">
        <v>0.5571428571428572</v>
      </c>
      <c r="AS63" s="98">
        <v>459.4683295044306</v>
      </c>
      <c r="AT63" s="98">
        <v>319.9868723334427</v>
      </c>
      <c r="AU63" s="98">
        <v>49.22874958976042</v>
      </c>
      <c r="AV63" s="98">
        <v>516.9018706924844</v>
      </c>
      <c r="AW63" s="98">
        <v>336.3964555300295</v>
      </c>
      <c r="AX63" s="98">
        <v>475.8779127010174</v>
      </c>
      <c r="AY63" s="98">
        <v>590.744995077125</v>
      </c>
      <c r="AZ63" s="98">
        <v>500.4922874958976</v>
      </c>
      <c r="BA63" s="100">
        <v>0.3269230769230769</v>
      </c>
      <c r="BB63" s="100">
        <v>0.4807692307692308</v>
      </c>
      <c r="BC63" s="100">
        <v>0.19230769230769232</v>
      </c>
      <c r="BD63" s="157">
        <v>1.0554999999999999</v>
      </c>
      <c r="BE63" s="157">
        <v>1.3343</v>
      </c>
      <c r="BF63" s="161">
        <v>1321</v>
      </c>
      <c r="BG63" s="161">
        <v>38</v>
      </c>
      <c r="BH63" s="161">
        <v>2953</v>
      </c>
      <c r="BI63" s="161">
        <v>1153</v>
      </c>
      <c r="BJ63" s="161">
        <v>620</v>
      </c>
      <c r="BK63" s="97"/>
      <c r="BL63" s="97"/>
      <c r="BM63" s="97"/>
      <c r="BN63" s="97"/>
    </row>
    <row r="64" spans="1:66" ht="12.75">
      <c r="A64" s="79" t="s">
        <v>305</v>
      </c>
      <c r="B64" s="79" t="s">
        <v>109</v>
      </c>
      <c r="C64" s="79" t="s">
        <v>284</v>
      </c>
      <c r="D64" s="99">
        <v>7042</v>
      </c>
      <c r="E64" s="99">
        <v>1659</v>
      </c>
      <c r="F64" s="99" t="s">
        <v>151</v>
      </c>
      <c r="G64" s="99">
        <v>48</v>
      </c>
      <c r="H64" s="99">
        <v>12</v>
      </c>
      <c r="I64" s="99">
        <v>204</v>
      </c>
      <c r="J64" s="99">
        <v>881</v>
      </c>
      <c r="K64" s="99">
        <v>18</v>
      </c>
      <c r="L64" s="99">
        <v>1421</v>
      </c>
      <c r="M64" s="99">
        <v>683</v>
      </c>
      <c r="N64" s="99">
        <v>329</v>
      </c>
      <c r="O64" s="99">
        <v>171</v>
      </c>
      <c r="P64" s="158">
        <v>171</v>
      </c>
      <c r="Q64" s="99">
        <v>21</v>
      </c>
      <c r="R64" s="99">
        <v>38</v>
      </c>
      <c r="S64" s="99">
        <v>22</v>
      </c>
      <c r="T64" s="99">
        <v>31</v>
      </c>
      <c r="U64" s="99" t="s">
        <v>868</v>
      </c>
      <c r="V64" s="99">
        <v>35</v>
      </c>
      <c r="W64" s="99">
        <v>41</v>
      </c>
      <c r="X64" s="99">
        <v>50</v>
      </c>
      <c r="Y64" s="99">
        <v>60</v>
      </c>
      <c r="Z64" s="99">
        <v>32</v>
      </c>
      <c r="AA64" s="99">
        <v>11</v>
      </c>
      <c r="AB64" s="99">
        <v>17</v>
      </c>
      <c r="AC64" s="99">
        <v>7</v>
      </c>
      <c r="AD64" s="98" t="s">
        <v>132</v>
      </c>
      <c r="AE64" s="100">
        <v>0.2355864811133201</v>
      </c>
      <c r="AF64" s="100">
        <v>0.09</v>
      </c>
      <c r="AG64" s="98">
        <v>681.6245384833854</v>
      </c>
      <c r="AH64" s="98">
        <v>170.40613462084636</v>
      </c>
      <c r="AI64" s="100">
        <v>0.028999999999999998</v>
      </c>
      <c r="AJ64" s="100">
        <v>0.803832</v>
      </c>
      <c r="AK64" s="100">
        <v>0.666667</v>
      </c>
      <c r="AL64" s="100">
        <v>0.847852</v>
      </c>
      <c r="AM64" s="100">
        <v>0.64678</v>
      </c>
      <c r="AN64" s="100">
        <v>0.602564</v>
      </c>
      <c r="AO64" s="98">
        <v>2428.2874183470603</v>
      </c>
      <c r="AP64" s="157">
        <v>1.0139</v>
      </c>
      <c r="AQ64" s="100">
        <v>0.12280701754385964</v>
      </c>
      <c r="AR64" s="100">
        <v>0.5526315789473685</v>
      </c>
      <c r="AS64" s="98">
        <v>312.41124680488497</v>
      </c>
      <c r="AT64" s="98">
        <v>440.21584777051976</v>
      </c>
      <c r="AU64" s="98" t="s">
        <v>868</v>
      </c>
      <c r="AV64" s="98">
        <v>497.0178926441352</v>
      </c>
      <c r="AW64" s="98">
        <v>582.2209599545583</v>
      </c>
      <c r="AX64" s="98">
        <v>710.0255609201931</v>
      </c>
      <c r="AY64" s="98">
        <v>852.0306731042317</v>
      </c>
      <c r="AZ64" s="98">
        <v>454.4163589889236</v>
      </c>
      <c r="BA64" s="101">
        <v>0.3142857142857143</v>
      </c>
      <c r="BB64" s="101">
        <v>0.4857142857142857</v>
      </c>
      <c r="BC64" s="101">
        <v>0.2</v>
      </c>
      <c r="BD64" s="157">
        <v>0.8676</v>
      </c>
      <c r="BE64" s="157">
        <v>1.1777</v>
      </c>
      <c r="BF64" s="161">
        <v>1096</v>
      </c>
      <c r="BG64" s="161">
        <v>27</v>
      </c>
      <c r="BH64" s="161">
        <v>1676</v>
      </c>
      <c r="BI64" s="161">
        <v>1056</v>
      </c>
      <c r="BJ64" s="161">
        <v>546</v>
      </c>
      <c r="BK64" s="97"/>
      <c r="BL64" s="97"/>
      <c r="BM64" s="97"/>
      <c r="BN64" s="97"/>
    </row>
    <row r="65" spans="1:66" ht="12.75">
      <c r="A65" s="79" t="s">
        <v>244</v>
      </c>
      <c r="B65" s="79" t="s">
        <v>98</v>
      </c>
      <c r="C65" s="79" t="s">
        <v>284</v>
      </c>
      <c r="D65" s="99">
        <v>14030</v>
      </c>
      <c r="E65" s="99">
        <v>2366</v>
      </c>
      <c r="F65" s="99" t="s">
        <v>150</v>
      </c>
      <c r="G65" s="99">
        <v>67</v>
      </c>
      <c r="H65" s="99">
        <v>33</v>
      </c>
      <c r="I65" s="99">
        <v>287</v>
      </c>
      <c r="J65" s="99">
        <v>1413</v>
      </c>
      <c r="K65" s="99">
        <v>280</v>
      </c>
      <c r="L65" s="99">
        <v>2565</v>
      </c>
      <c r="M65" s="99">
        <v>944</v>
      </c>
      <c r="N65" s="99">
        <v>461</v>
      </c>
      <c r="O65" s="99">
        <v>354</v>
      </c>
      <c r="P65" s="158">
        <v>354</v>
      </c>
      <c r="Q65" s="99">
        <v>39</v>
      </c>
      <c r="R65" s="99">
        <v>77</v>
      </c>
      <c r="S65" s="99">
        <v>50</v>
      </c>
      <c r="T65" s="99">
        <v>71</v>
      </c>
      <c r="U65" s="99">
        <v>11</v>
      </c>
      <c r="V65" s="99">
        <v>40</v>
      </c>
      <c r="W65" s="99">
        <v>77</v>
      </c>
      <c r="X65" s="99">
        <v>83</v>
      </c>
      <c r="Y65" s="99">
        <v>155</v>
      </c>
      <c r="Z65" s="99">
        <v>81</v>
      </c>
      <c r="AA65" s="99">
        <v>18</v>
      </c>
      <c r="AB65" s="99">
        <v>36</v>
      </c>
      <c r="AC65" s="99">
        <v>18</v>
      </c>
      <c r="AD65" s="98" t="s">
        <v>132</v>
      </c>
      <c r="AE65" s="100">
        <v>0.16863863150392017</v>
      </c>
      <c r="AF65" s="100">
        <v>0.16</v>
      </c>
      <c r="AG65" s="98">
        <v>477.5481111903065</v>
      </c>
      <c r="AH65" s="98">
        <v>235.2102637205987</v>
      </c>
      <c r="AI65" s="100">
        <v>0.020499999999999997</v>
      </c>
      <c r="AJ65" s="100">
        <v>0.82199</v>
      </c>
      <c r="AK65" s="100">
        <v>0.632054</v>
      </c>
      <c r="AL65" s="100">
        <v>0.78681</v>
      </c>
      <c r="AM65" s="100">
        <v>0.607856</v>
      </c>
      <c r="AN65" s="100">
        <v>0.560827</v>
      </c>
      <c r="AO65" s="98">
        <v>2523.1646471846043</v>
      </c>
      <c r="AP65" s="157">
        <v>1.2610999999999999</v>
      </c>
      <c r="AQ65" s="100">
        <v>0.11016949152542373</v>
      </c>
      <c r="AR65" s="100">
        <v>0.5064935064935064</v>
      </c>
      <c r="AS65" s="98">
        <v>356.3791874554526</v>
      </c>
      <c r="AT65" s="98">
        <v>506.0584461867427</v>
      </c>
      <c r="AU65" s="98">
        <v>78.40342124019958</v>
      </c>
      <c r="AV65" s="98">
        <v>285.10334996436205</v>
      </c>
      <c r="AW65" s="98">
        <v>548.823948681397</v>
      </c>
      <c r="AX65" s="98">
        <v>591.5894511760513</v>
      </c>
      <c r="AY65" s="98">
        <v>1104.775481111903</v>
      </c>
      <c r="AZ65" s="98">
        <v>577.3342836778332</v>
      </c>
      <c r="BA65" s="100">
        <v>0.25</v>
      </c>
      <c r="BB65" s="100">
        <v>0.5</v>
      </c>
      <c r="BC65" s="100">
        <v>0.25</v>
      </c>
      <c r="BD65" s="157">
        <v>1.1331</v>
      </c>
      <c r="BE65" s="157">
        <v>1.3995</v>
      </c>
      <c r="BF65" s="161">
        <v>1719</v>
      </c>
      <c r="BG65" s="161">
        <v>443</v>
      </c>
      <c r="BH65" s="161">
        <v>3260</v>
      </c>
      <c r="BI65" s="161">
        <v>1553</v>
      </c>
      <c r="BJ65" s="161">
        <v>822</v>
      </c>
      <c r="BK65" s="97"/>
      <c r="BL65" s="97"/>
      <c r="BM65" s="97"/>
      <c r="BN65" s="97"/>
    </row>
    <row r="66" spans="1:66" ht="12.75">
      <c r="A66" s="79" t="s">
        <v>309</v>
      </c>
      <c r="B66" s="79" t="s">
        <v>127</v>
      </c>
      <c r="C66" s="79" t="s">
        <v>284</v>
      </c>
      <c r="D66" s="99">
        <v>4562</v>
      </c>
      <c r="E66" s="99">
        <v>1012</v>
      </c>
      <c r="F66" s="99" t="s">
        <v>151</v>
      </c>
      <c r="G66" s="99">
        <v>23</v>
      </c>
      <c r="H66" s="99">
        <v>11</v>
      </c>
      <c r="I66" s="99">
        <v>104</v>
      </c>
      <c r="J66" s="99">
        <v>479</v>
      </c>
      <c r="K66" s="99">
        <v>9</v>
      </c>
      <c r="L66" s="99">
        <v>802</v>
      </c>
      <c r="M66" s="99">
        <v>384</v>
      </c>
      <c r="N66" s="99">
        <v>172</v>
      </c>
      <c r="O66" s="99">
        <v>131</v>
      </c>
      <c r="P66" s="158">
        <v>131</v>
      </c>
      <c r="Q66" s="99">
        <v>21</v>
      </c>
      <c r="R66" s="99">
        <v>34</v>
      </c>
      <c r="S66" s="99">
        <v>28</v>
      </c>
      <c r="T66" s="99">
        <v>14</v>
      </c>
      <c r="U66" s="99" t="s">
        <v>868</v>
      </c>
      <c r="V66" s="99">
        <v>20</v>
      </c>
      <c r="W66" s="99">
        <v>32</v>
      </c>
      <c r="X66" s="99">
        <v>22</v>
      </c>
      <c r="Y66" s="99">
        <v>59</v>
      </c>
      <c r="Z66" s="99">
        <v>33</v>
      </c>
      <c r="AA66" s="99" t="s">
        <v>868</v>
      </c>
      <c r="AB66" s="99">
        <v>10</v>
      </c>
      <c r="AC66" s="99" t="s">
        <v>868</v>
      </c>
      <c r="AD66" s="98" t="s">
        <v>132</v>
      </c>
      <c r="AE66" s="100">
        <v>0.22183252959228408</v>
      </c>
      <c r="AF66" s="100">
        <v>0.11</v>
      </c>
      <c r="AG66" s="98">
        <v>504.16483998246383</v>
      </c>
      <c r="AH66" s="98">
        <v>241.12231477422182</v>
      </c>
      <c r="AI66" s="100">
        <v>0.022799999999999997</v>
      </c>
      <c r="AJ66" s="100">
        <v>0.746106</v>
      </c>
      <c r="AK66" s="100">
        <v>0.6</v>
      </c>
      <c r="AL66" s="100">
        <v>0.790927</v>
      </c>
      <c r="AM66" s="100">
        <v>0.592593</v>
      </c>
      <c r="AN66" s="100">
        <v>0.532508</v>
      </c>
      <c r="AO66" s="98">
        <v>2871.547566856642</v>
      </c>
      <c r="AP66" s="157">
        <v>1.2933000000000001</v>
      </c>
      <c r="AQ66" s="100">
        <v>0.16030534351145037</v>
      </c>
      <c r="AR66" s="100">
        <v>0.6176470588235294</v>
      </c>
      <c r="AS66" s="98">
        <v>613.7658921525647</v>
      </c>
      <c r="AT66" s="98">
        <v>306.88294607628234</v>
      </c>
      <c r="AU66" s="98" t="s">
        <v>868</v>
      </c>
      <c r="AV66" s="98">
        <v>438.4042086804033</v>
      </c>
      <c r="AW66" s="98">
        <v>701.4467338886453</v>
      </c>
      <c r="AX66" s="98">
        <v>482.24462954844364</v>
      </c>
      <c r="AY66" s="98">
        <v>1293.29241560719</v>
      </c>
      <c r="AZ66" s="98">
        <v>723.3669443226655</v>
      </c>
      <c r="BA66" s="100" t="s">
        <v>868</v>
      </c>
      <c r="BB66" s="100">
        <v>0.5555555555555556</v>
      </c>
      <c r="BC66" s="100" t="s">
        <v>868</v>
      </c>
      <c r="BD66" s="157">
        <v>1.0813</v>
      </c>
      <c r="BE66" s="157">
        <v>1.5347</v>
      </c>
      <c r="BF66" s="161">
        <v>642</v>
      </c>
      <c r="BG66" s="161">
        <v>15</v>
      </c>
      <c r="BH66" s="161">
        <v>1014</v>
      </c>
      <c r="BI66" s="161">
        <v>648</v>
      </c>
      <c r="BJ66" s="161">
        <v>323</v>
      </c>
      <c r="BK66" s="97"/>
      <c r="BL66" s="97"/>
      <c r="BM66" s="97"/>
      <c r="BN66" s="97"/>
    </row>
    <row r="67" spans="1:66" ht="12.75">
      <c r="A67" s="79" t="s">
        <v>298</v>
      </c>
      <c r="B67" s="79" t="s">
        <v>88</v>
      </c>
      <c r="C67" s="79" t="s">
        <v>284</v>
      </c>
      <c r="D67" s="99">
        <v>6072</v>
      </c>
      <c r="E67" s="99">
        <v>1070</v>
      </c>
      <c r="F67" s="99" t="s">
        <v>151</v>
      </c>
      <c r="G67" s="99">
        <v>28</v>
      </c>
      <c r="H67" s="99">
        <v>15</v>
      </c>
      <c r="I67" s="99">
        <v>98</v>
      </c>
      <c r="J67" s="99">
        <v>647</v>
      </c>
      <c r="K67" s="99">
        <v>640</v>
      </c>
      <c r="L67" s="99">
        <v>1034</v>
      </c>
      <c r="M67" s="99">
        <v>413</v>
      </c>
      <c r="N67" s="99">
        <v>199</v>
      </c>
      <c r="O67" s="99">
        <v>192</v>
      </c>
      <c r="P67" s="158">
        <v>192</v>
      </c>
      <c r="Q67" s="99">
        <v>10</v>
      </c>
      <c r="R67" s="99">
        <v>21</v>
      </c>
      <c r="S67" s="99">
        <v>30</v>
      </c>
      <c r="T67" s="99">
        <v>39</v>
      </c>
      <c r="U67" s="99" t="s">
        <v>868</v>
      </c>
      <c r="V67" s="99">
        <v>25</v>
      </c>
      <c r="W67" s="99">
        <v>41</v>
      </c>
      <c r="X67" s="99">
        <v>59</v>
      </c>
      <c r="Y67" s="99">
        <v>64</v>
      </c>
      <c r="Z67" s="99">
        <v>25</v>
      </c>
      <c r="AA67" s="99" t="s">
        <v>868</v>
      </c>
      <c r="AB67" s="99" t="s">
        <v>868</v>
      </c>
      <c r="AC67" s="99" t="s">
        <v>868</v>
      </c>
      <c r="AD67" s="98" t="s">
        <v>132</v>
      </c>
      <c r="AE67" s="100">
        <v>0.17621870882740448</v>
      </c>
      <c r="AF67" s="100">
        <v>0.08</v>
      </c>
      <c r="AG67" s="98">
        <v>461.133069828722</v>
      </c>
      <c r="AH67" s="98">
        <v>247.03557312252966</v>
      </c>
      <c r="AI67" s="100">
        <v>0.0161</v>
      </c>
      <c r="AJ67" s="100">
        <v>0.801735</v>
      </c>
      <c r="AK67" s="100">
        <v>0.801001</v>
      </c>
      <c r="AL67" s="100">
        <v>0.780967</v>
      </c>
      <c r="AM67" s="100">
        <v>0.576816</v>
      </c>
      <c r="AN67" s="100">
        <v>0.518229</v>
      </c>
      <c r="AO67" s="98">
        <v>3162.0553359683795</v>
      </c>
      <c r="AP67" s="157">
        <v>1.5554</v>
      </c>
      <c r="AQ67" s="100">
        <v>0.052083333333333336</v>
      </c>
      <c r="AR67" s="100">
        <v>0.47619047619047616</v>
      </c>
      <c r="AS67" s="98">
        <v>494.0711462450593</v>
      </c>
      <c r="AT67" s="98">
        <v>642.2924901185771</v>
      </c>
      <c r="AU67" s="98" t="s">
        <v>868</v>
      </c>
      <c r="AV67" s="98">
        <v>411.72595520421606</v>
      </c>
      <c r="AW67" s="98">
        <v>675.2305665349144</v>
      </c>
      <c r="AX67" s="98">
        <v>971.6732542819499</v>
      </c>
      <c r="AY67" s="98">
        <v>1054.0184453227932</v>
      </c>
      <c r="AZ67" s="98">
        <v>411.72595520421606</v>
      </c>
      <c r="BA67" s="100" t="s">
        <v>868</v>
      </c>
      <c r="BB67" s="100" t="s">
        <v>868</v>
      </c>
      <c r="BC67" s="100" t="s">
        <v>868</v>
      </c>
      <c r="BD67" s="157">
        <v>1.3431</v>
      </c>
      <c r="BE67" s="157">
        <v>1.7915999999999999</v>
      </c>
      <c r="BF67" s="161">
        <v>807</v>
      </c>
      <c r="BG67" s="161">
        <v>799</v>
      </c>
      <c r="BH67" s="161">
        <v>1324</v>
      </c>
      <c r="BI67" s="161">
        <v>716</v>
      </c>
      <c r="BJ67" s="161">
        <v>384</v>
      </c>
      <c r="BK67" s="97"/>
      <c r="BL67" s="97"/>
      <c r="BM67" s="97"/>
      <c r="BN67" s="97"/>
    </row>
    <row r="68" spans="1:66" ht="12.75">
      <c r="A68" s="79" t="s">
        <v>301</v>
      </c>
      <c r="B68" s="79" t="s">
        <v>95</v>
      </c>
      <c r="C68" s="79" t="s">
        <v>284</v>
      </c>
      <c r="D68" s="99">
        <v>12967</v>
      </c>
      <c r="E68" s="99">
        <v>2438</v>
      </c>
      <c r="F68" s="99" t="s">
        <v>151</v>
      </c>
      <c r="G68" s="99">
        <v>57</v>
      </c>
      <c r="H68" s="99">
        <v>43</v>
      </c>
      <c r="I68" s="99">
        <v>275</v>
      </c>
      <c r="J68" s="99">
        <v>1377</v>
      </c>
      <c r="K68" s="99">
        <v>1362</v>
      </c>
      <c r="L68" s="99">
        <v>2186</v>
      </c>
      <c r="M68" s="99">
        <v>1001</v>
      </c>
      <c r="N68" s="99">
        <v>515</v>
      </c>
      <c r="O68" s="99">
        <v>331</v>
      </c>
      <c r="P68" s="158">
        <v>331</v>
      </c>
      <c r="Q68" s="99">
        <v>39</v>
      </c>
      <c r="R68" s="99">
        <v>87</v>
      </c>
      <c r="S68" s="99">
        <v>46</v>
      </c>
      <c r="T68" s="99">
        <v>61</v>
      </c>
      <c r="U68" s="99">
        <v>6</v>
      </c>
      <c r="V68" s="99">
        <v>61</v>
      </c>
      <c r="W68" s="99">
        <v>72</v>
      </c>
      <c r="X68" s="99">
        <v>82</v>
      </c>
      <c r="Y68" s="99">
        <v>119</v>
      </c>
      <c r="Z68" s="99">
        <v>103</v>
      </c>
      <c r="AA68" s="99">
        <v>12</v>
      </c>
      <c r="AB68" s="99">
        <v>36</v>
      </c>
      <c r="AC68" s="99">
        <v>24</v>
      </c>
      <c r="AD68" s="98" t="s">
        <v>132</v>
      </c>
      <c r="AE68" s="100">
        <v>0.18801573224338705</v>
      </c>
      <c r="AF68" s="100">
        <v>0.11</v>
      </c>
      <c r="AG68" s="98">
        <v>439.5773887560731</v>
      </c>
      <c r="AH68" s="98">
        <v>331.6110125703709</v>
      </c>
      <c r="AI68" s="100">
        <v>0.0212</v>
      </c>
      <c r="AJ68" s="100">
        <v>0.787307</v>
      </c>
      <c r="AK68" s="100">
        <v>0.796491</v>
      </c>
      <c r="AL68" s="100">
        <v>0.793755</v>
      </c>
      <c r="AM68" s="100">
        <v>0.611858</v>
      </c>
      <c r="AN68" s="100">
        <v>0.567806</v>
      </c>
      <c r="AO68" s="98">
        <v>2552.63360839053</v>
      </c>
      <c r="AP68" s="157">
        <v>1.2221</v>
      </c>
      <c r="AQ68" s="100">
        <v>0.11782477341389729</v>
      </c>
      <c r="AR68" s="100">
        <v>0.4482758620689655</v>
      </c>
      <c r="AS68" s="98">
        <v>354.74666461016426</v>
      </c>
      <c r="AT68" s="98">
        <v>470.42492480913086</v>
      </c>
      <c r="AU68" s="98">
        <v>46.27130407958664</v>
      </c>
      <c r="AV68" s="98">
        <v>470.42492480913086</v>
      </c>
      <c r="AW68" s="98">
        <v>555.2556489550398</v>
      </c>
      <c r="AX68" s="98">
        <v>632.3744890876841</v>
      </c>
      <c r="AY68" s="98">
        <v>917.7141975784684</v>
      </c>
      <c r="AZ68" s="98">
        <v>794.3240533662374</v>
      </c>
      <c r="BA68" s="100">
        <v>0.16666666666666666</v>
      </c>
      <c r="BB68" s="100">
        <v>0.5</v>
      </c>
      <c r="BC68" s="100">
        <v>0.3333333333333333</v>
      </c>
      <c r="BD68" s="157">
        <v>1.0939</v>
      </c>
      <c r="BE68" s="157">
        <v>1.3611000000000002</v>
      </c>
      <c r="BF68" s="161">
        <v>1749</v>
      </c>
      <c r="BG68" s="161">
        <v>1710</v>
      </c>
      <c r="BH68" s="161">
        <v>2754</v>
      </c>
      <c r="BI68" s="161">
        <v>1636</v>
      </c>
      <c r="BJ68" s="161">
        <v>907</v>
      </c>
      <c r="BK68" s="97"/>
      <c r="BL68" s="97"/>
      <c r="BM68" s="97"/>
      <c r="BN68" s="97"/>
    </row>
    <row r="69" spans="1:66" ht="12.75">
      <c r="A69" s="79" t="s">
        <v>303</v>
      </c>
      <c r="B69" s="79" t="s">
        <v>99</v>
      </c>
      <c r="C69" s="79" t="s">
        <v>284</v>
      </c>
      <c r="D69" s="99">
        <v>10200</v>
      </c>
      <c r="E69" s="99">
        <v>1854</v>
      </c>
      <c r="F69" s="99" t="s">
        <v>151</v>
      </c>
      <c r="G69" s="99">
        <v>45</v>
      </c>
      <c r="H69" s="99">
        <v>19</v>
      </c>
      <c r="I69" s="99">
        <v>176</v>
      </c>
      <c r="J69" s="99">
        <v>996</v>
      </c>
      <c r="K69" s="99">
        <v>970</v>
      </c>
      <c r="L69" s="99">
        <v>1898</v>
      </c>
      <c r="M69" s="99">
        <v>769</v>
      </c>
      <c r="N69" s="99">
        <v>420</v>
      </c>
      <c r="O69" s="99">
        <v>186</v>
      </c>
      <c r="P69" s="158">
        <v>186</v>
      </c>
      <c r="Q69" s="99">
        <v>13</v>
      </c>
      <c r="R69" s="99">
        <v>46</v>
      </c>
      <c r="S69" s="99">
        <v>21</v>
      </c>
      <c r="T69" s="99">
        <v>44</v>
      </c>
      <c r="U69" s="99">
        <v>18</v>
      </c>
      <c r="V69" s="99">
        <v>27</v>
      </c>
      <c r="W69" s="99">
        <v>68</v>
      </c>
      <c r="X69" s="99">
        <v>55</v>
      </c>
      <c r="Y69" s="99">
        <v>78</v>
      </c>
      <c r="Z69" s="99">
        <v>67</v>
      </c>
      <c r="AA69" s="99">
        <v>16</v>
      </c>
      <c r="AB69" s="99">
        <v>23</v>
      </c>
      <c r="AC69" s="99">
        <v>24</v>
      </c>
      <c r="AD69" s="98" t="s">
        <v>132</v>
      </c>
      <c r="AE69" s="100">
        <v>0.18176470588235294</v>
      </c>
      <c r="AF69" s="100">
        <v>0.1</v>
      </c>
      <c r="AG69" s="98">
        <v>441.1764705882353</v>
      </c>
      <c r="AH69" s="98">
        <v>186.27450980392157</v>
      </c>
      <c r="AI69" s="100">
        <v>0.0173</v>
      </c>
      <c r="AJ69" s="100">
        <v>0.756264</v>
      </c>
      <c r="AK69" s="100">
        <v>0.764984</v>
      </c>
      <c r="AL69" s="100">
        <v>0.785596</v>
      </c>
      <c r="AM69" s="100">
        <v>0.591994</v>
      </c>
      <c r="AN69" s="100">
        <v>0.568336</v>
      </c>
      <c r="AO69" s="98">
        <v>1823.5294117647059</v>
      </c>
      <c r="AP69" s="157">
        <v>0.8628</v>
      </c>
      <c r="AQ69" s="100">
        <v>0.06989247311827956</v>
      </c>
      <c r="AR69" s="100">
        <v>0.2826086956521739</v>
      </c>
      <c r="AS69" s="98">
        <v>205.88235294117646</v>
      </c>
      <c r="AT69" s="98">
        <v>431.37254901960785</v>
      </c>
      <c r="AU69" s="98">
        <v>176.47058823529412</v>
      </c>
      <c r="AV69" s="98">
        <v>264.70588235294116</v>
      </c>
      <c r="AW69" s="98">
        <v>666.6666666666666</v>
      </c>
      <c r="AX69" s="98">
        <v>539.2156862745098</v>
      </c>
      <c r="AY69" s="98">
        <v>764.7058823529412</v>
      </c>
      <c r="AZ69" s="98">
        <v>656.8627450980392</v>
      </c>
      <c r="BA69" s="100">
        <v>0.25396825396825395</v>
      </c>
      <c r="BB69" s="100">
        <v>0.36507936507936506</v>
      </c>
      <c r="BC69" s="100">
        <v>0.38095238095238093</v>
      </c>
      <c r="BD69" s="157">
        <v>0.7432</v>
      </c>
      <c r="BE69" s="157">
        <v>0.996</v>
      </c>
      <c r="BF69" s="161">
        <v>1317</v>
      </c>
      <c r="BG69" s="161">
        <v>1268</v>
      </c>
      <c r="BH69" s="161">
        <v>2416</v>
      </c>
      <c r="BI69" s="161">
        <v>1299</v>
      </c>
      <c r="BJ69" s="161">
        <v>739</v>
      </c>
      <c r="BK69" s="97"/>
      <c r="BL69" s="97"/>
      <c r="BM69" s="97"/>
      <c r="BN69" s="97"/>
    </row>
    <row r="70" spans="1:66" ht="12.75">
      <c r="A70" s="79" t="s">
        <v>875</v>
      </c>
      <c r="B70" s="79" t="s">
        <v>61</v>
      </c>
      <c r="C70" s="79" t="s">
        <v>284</v>
      </c>
      <c r="D70" s="99">
        <v>5194</v>
      </c>
      <c r="E70" s="99">
        <v>1419</v>
      </c>
      <c r="F70" s="99" t="s">
        <v>151</v>
      </c>
      <c r="G70" s="99">
        <v>39</v>
      </c>
      <c r="H70" s="99">
        <v>17</v>
      </c>
      <c r="I70" s="99">
        <v>150</v>
      </c>
      <c r="J70" s="99">
        <v>599</v>
      </c>
      <c r="K70" s="99">
        <v>16</v>
      </c>
      <c r="L70" s="99">
        <v>930</v>
      </c>
      <c r="M70" s="99">
        <v>520</v>
      </c>
      <c r="N70" s="99">
        <v>266</v>
      </c>
      <c r="O70" s="99">
        <v>176</v>
      </c>
      <c r="P70" s="158">
        <v>176</v>
      </c>
      <c r="Q70" s="99">
        <v>10</v>
      </c>
      <c r="R70" s="99">
        <v>23</v>
      </c>
      <c r="S70" s="99">
        <v>22</v>
      </c>
      <c r="T70" s="99">
        <v>42</v>
      </c>
      <c r="U70" s="99">
        <v>6</v>
      </c>
      <c r="V70" s="99">
        <v>36</v>
      </c>
      <c r="W70" s="99">
        <v>51</v>
      </c>
      <c r="X70" s="99">
        <v>63</v>
      </c>
      <c r="Y70" s="99">
        <v>54</v>
      </c>
      <c r="Z70" s="99">
        <v>35</v>
      </c>
      <c r="AA70" s="99" t="s">
        <v>868</v>
      </c>
      <c r="AB70" s="99">
        <v>27</v>
      </c>
      <c r="AC70" s="99" t="s">
        <v>868</v>
      </c>
      <c r="AD70" s="98" t="s">
        <v>132</v>
      </c>
      <c r="AE70" s="100">
        <v>0.2731998459761263</v>
      </c>
      <c r="AF70" s="100">
        <v>0.09</v>
      </c>
      <c r="AG70" s="98">
        <v>750.8663842895648</v>
      </c>
      <c r="AH70" s="98">
        <v>327.3007316134001</v>
      </c>
      <c r="AI70" s="100">
        <v>0.028900000000000002</v>
      </c>
      <c r="AJ70" s="100">
        <v>0.725182</v>
      </c>
      <c r="AK70" s="100">
        <v>0.695652</v>
      </c>
      <c r="AL70" s="100">
        <v>0.805195</v>
      </c>
      <c r="AM70" s="100">
        <v>0.639606</v>
      </c>
      <c r="AN70" s="100">
        <v>0.615741</v>
      </c>
      <c r="AO70" s="98">
        <v>3388.5252214093184</v>
      </c>
      <c r="AP70" s="157">
        <v>1.2996</v>
      </c>
      <c r="AQ70" s="100">
        <v>0.056818181818181816</v>
      </c>
      <c r="AR70" s="100">
        <v>0.43478260869565216</v>
      </c>
      <c r="AS70" s="98">
        <v>423.5656526761648</v>
      </c>
      <c r="AT70" s="98">
        <v>808.6253369272238</v>
      </c>
      <c r="AU70" s="98">
        <v>115.51790527531767</v>
      </c>
      <c r="AV70" s="98">
        <v>693.107431651906</v>
      </c>
      <c r="AW70" s="98">
        <v>981.9021948402002</v>
      </c>
      <c r="AX70" s="98">
        <v>1212.9380053908355</v>
      </c>
      <c r="AY70" s="98">
        <v>1039.661147477859</v>
      </c>
      <c r="AZ70" s="98">
        <v>673.8544474393531</v>
      </c>
      <c r="BA70" s="100" t="s">
        <v>868</v>
      </c>
      <c r="BB70" s="100">
        <v>0.6923076923076923</v>
      </c>
      <c r="BC70" s="100" t="s">
        <v>868</v>
      </c>
      <c r="BD70" s="157">
        <v>1.1147</v>
      </c>
      <c r="BE70" s="157">
        <v>1.5064</v>
      </c>
      <c r="BF70" s="161">
        <v>826</v>
      </c>
      <c r="BG70" s="161">
        <v>23</v>
      </c>
      <c r="BH70" s="161">
        <v>1155</v>
      </c>
      <c r="BI70" s="161">
        <v>813</v>
      </c>
      <c r="BJ70" s="161">
        <v>432</v>
      </c>
      <c r="BK70" s="97"/>
      <c r="BL70" s="97"/>
      <c r="BM70" s="97"/>
      <c r="BN70" s="97"/>
    </row>
    <row r="71" spans="1:66" ht="12.75">
      <c r="A71" s="79" t="s">
        <v>874</v>
      </c>
      <c r="B71" s="79" t="s">
        <v>128</v>
      </c>
      <c r="C71" s="79" t="s">
        <v>284</v>
      </c>
      <c r="D71" s="99">
        <v>1275</v>
      </c>
      <c r="E71" s="99">
        <v>280</v>
      </c>
      <c r="F71" s="99" t="s">
        <v>151</v>
      </c>
      <c r="G71" s="99" t="s">
        <v>868</v>
      </c>
      <c r="H71" s="99" t="s">
        <v>868</v>
      </c>
      <c r="I71" s="99">
        <v>26</v>
      </c>
      <c r="J71" s="99">
        <v>132</v>
      </c>
      <c r="K71" s="99">
        <v>7</v>
      </c>
      <c r="L71" s="99">
        <v>210</v>
      </c>
      <c r="M71" s="99">
        <v>109</v>
      </c>
      <c r="N71" s="99">
        <v>48</v>
      </c>
      <c r="O71" s="99">
        <v>15</v>
      </c>
      <c r="P71" s="158">
        <v>15</v>
      </c>
      <c r="Q71" s="99" t="s">
        <v>868</v>
      </c>
      <c r="R71" s="99" t="s">
        <v>868</v>
      </c>
      <c r="S71" s="99" t="s">
        <v>868</v>
      </c>
      <c r="T71" s="99" t="s">
        <v>868</v>
      </c>
      <c r="U71" s="99" t="s">
        <v>868</v>
      </c>
      <c r="V71" s="99" t="s">
        <v>868</v>
      </c>
      <c r="W71" s="99">
        <v>7</v>
      </c>
      <c r="X71" s="99">
        <v>12</v>
      </c>
      <c r="Y71" s="99">
        <v>17</v>
      </c>
      <c r="Z71" s="99" t="s">
        <v>868</v>
      </c>
      <c r="AA71" s="99" t="s">
        <v>868</v>
      </c>
      <c r="AB71" s="99" t="s">
        <v>868</v>
      </c>
      <c r="AC71" s="99" t="s">
        <v>868</v>
      </c>
      <c r="AD71" s="98" t="s">
        <v>132</v>
      </c>
      <c r="AE71" s="100">
        <v>0.2196078431372549</v>
      </c>
      <c r="AF71" s="100">
        <v>0.1</v>
      </c>
      <c r="AG71" s="98" t="s">
        <v>868</v>
      </c>
      <c r="AH71" s="98" t="s">
        <v>868</v>
      </c>
      <c r="AI71" s="100">
        <v>0.0204</v>
      </c>
      <c r="AJ71" s="100">
        <v>0.691099</v>
      </c>
      <c r="AK71" s="100">
        <v>0.7</v>
      </c>
      <c r="AL71" s="100">
        <v>0.721649</v>
      </c>
      <c r="AM71" s="100">
        <v>0.608939</v>
      </c>
      <c r="AN71" s="100">
        <v>0.539326</v>
      </c>
      <c r="AO71" s="98">
        <v>1176.4705882352941</v>
      </c>
      <c r="AP71" s="157">
        <v>0.5036</v>
      </c>
      <c r="AQ71" s="100" t="s">
        <v>868</v>
      </c>
      <c r="AR71" s="100" t="s">
        <v>868</v>
      </c>
      <c r="AS71" s="98" t="s">
        <v>868</v>
      </c>
      <c r="AT71" s="98" t="s">
        <v>868</v>
      </c>
      <c r="AU71" s="98" t="s">
        <v>868</v>
      </c>
      <c r="AV71" s="98" t="s">
        <v>868</v>
      </c>
      <c r="AW71" s="98">
        <v>549.0196078431372</v>
      </c>
      <c r="AX71" s="98">
        <v>941.1764705882352</v>
      </c>
      <c r="AY71" s="98">
        <v>1333.3333333333333</v>
      </c>
      <c r="AZ71" s="98" t="s">
        <v>868</v>
      </c>
      <c r="BA71" s="100" t="s">
        <v>868</v>
      </c>
      <c r="BB71" s="100" t="s">
        <v>868</v>
      </c>
      <c r="BC71" s="100" t="s">
        <v>868</v>
      </c>
      <c r="BD71" s="157">
        <v>0.28190000000000004</v>
      </c>
      <c r="BE71" s="157">
        <v>0.8306</v>
      </c>
      <c r="BF71" s="161">
        <v>191</v>
      </c>
      <c r="BG71" s="161">
        <v>10</v>
      </c>
      <c r="BH71" s="161">
        <v>291</v>
      </c>
      <c r="BI71" s="161">
        <v>179</v>
      </c>
      <c r="BJ71" s="161">
        <v>89</v>
      </c>
      <c r="BK71" s="97"/>
      <c r="BL71" s="97"/>
      <c r="BM71" s="97"/>
      <c r="BN71" s="97"/>
    </row>
    <row r="72" spans="1:66" ht="12.75">
      <c r="A72" s="79" t="s">
        <v>263</v>
      </c>
      <c r="B72" s="79" t="s">
        <v>126</v>
      </c>
      <c r="C72" s="79" t="s">
        <v>284</v>
      </c>
      <c r="D72" s="99">
        <v>3745</v>
      </c>
      <c r="E72" s="99">
        <v>410</v>
      </c>
      <c r="F72" s="99" t="s">
        <v>150</v>
      </c>
      <c r="G72" s="99">
        <v>17</v>
      </c>
      <c r="H72" s="99">
        <v>9</v>
      </c>
      <c r="I72" s="99">
        <v>50</v>
      </c>
      <c r="J72" s="99">
        <v>229</v>
      </c>
      <c r="K72" s="99">
        <v>193</v>
      </c>
      <c r="L72" s="99">
        <v>629</v>
      </c>
      <c r="M72" s="99">
        <v>155</v>
      </c>
      <c r="N72" s="99">
        <v>83</v>
      </c>
      <c r="O72" s="99">
        <v>57</v>
      </c>
      <c r="P72" s="158">
        <v>57</v>
      </c>
      <c r="Q72" s="99" t="s">
        <v>868</v>
      </c>
      <c r="R72" s="99">
        <v>16</v>
      </c>
      <c r="S72" s="99">
        <v>13</v>
      </c>
      <c r="T72" s="99">
        <v>15</v>
      </c>
      <c r="U72" s="99" t="s">
        <v>868</v>
      </c>
      <c r="V72" s="99" t="s">
        <v>868</v>
      </c>
      <c r="W72" s="99">
        <v>17</v>
      </c>
      <c r="X72" s="99">
        <v>26</v>
      </c>
      <c r="Y72" s="99">
        <v>30</v>
      </c>
      <c r="Z72" s="99">
        <v>15</v>
      </c>
      <c r="AA72" s="99" t="s">
        <v>868</v>
      </c>
      <c r="AB72" s="99" t="s">
        <v>868</v>
      </c>
      <c r="AC72" s="99" t="s">
        <v>868</v>
      </c>
      <c r="AD72" s="98" t="s">
        <v>132</v>
      </c>
      <c r="AE72" s="100">
        <v>0.10947930574098798</v>
      </c>
      <c r="AF72" s="100">
        <v>0.18</v>
      </c>
      <c r="AG72" s="98">
        <v>453.9385847797063</v>
      </c>
      <c r="AH72" s="98">
        <v>240.32042723631508</v>
      </c>
      <c r="AI72" s="100">
        <v>0.0134</v>
      </c>
      <c r="AJ72" s="100">
        <v>0.726984</v>
      </c>
      <c r="AK72" s="100">
        <v>0.632787</v>
      </c>
      <c r="AL72" s="100">
        <v>0.667728</v>
      </c>
      <c r="AM72" s="100">
        <v>0.513245</v>
      </c>
      <c r="AN72" s="100">
        <v>0.474286</v>
      </c>
      <c r="AO72" s="98">
        <v>1522.0293724966623</v>
      </c>
      <c r="AP72" s="157">
        <v>0.94</v>
      </c>
      <c r="AQ72" s="100" t="s">
        <v>868</v>
      </c>
      <c r="AR72" s="100" t="s">
        <v>868</v>
      </c>
      <c r="AS72" s="98">
        <v>347.1295060080107</v>
      </c>
      <c r="AT72" s="98">
        <v>400.5340453938585</v>
      </c>
      <c r="AU72" s="98" t="s">
        <v>868</v>
      </c>
      <c r="AV72" s="98" t="s">
        <v>868</v>
      </c>
      <c r="AW72" s="98">
        <v>453.9385847797063</v>
      </c>
      <c r="AX72" s="98">
        <v>694.2590120160214</v>
      </c>
      <c r="AY72" s="98">
        <v>801.068090787717</v>
      </c>
      <c r="AZ72" s="98">
        <v>400.5340453938585</v>
      </c>
      <c r="BA72" s="100" t="s">
        <v>868</v>
      </c>
      <c r="BB72" s="100" t="s">
        <v>868</v>
      </c>
      <c r="BC72" s="100" t="s">
        <v>868</v>
      </c>
      <c r="BD72" s="157">
        <v>0.7119</v>
      </c>
      <c r="BE72" s="157">
        <v>1.2179</v>
      </c>
      <c r="BF72" s="161">
        <v>315</v>
      </c>
      <c r="BG72" s="161">
        <v>305</v>
      </c>
      <c r="BH72" s="161">
        <v>942</v>
      </c>
      <c r="BI72" s="161">
        <v>302</v>
      </c>
      <c r="BJ72" s="161">
        <v>175</v>
      </c>
      <c r="BK72" s="97"/>
      <c r="BL72" s="97"/>
      <c r="BM72" s="97"/>
      <c r="BN72" s="97"/>
    </row>
    <row r="73" spans="1:66" ht="12.75">
      <c r="A73" s="79" t="s">
        <v>262</v>
      </c>
      <c r="B73" s="79" t="s">
        <v>125</v>
      </c>
      <c r="C73" s="79" t="s">
        <v>284</v>
      </c>
      <c r="D73" s="99">
        <v>4366</v>
      </c>
      <c r="E73" s="99">
        <v>572</v>
      </c>
      <c r="F73" s="99" t="s">
        <v>150</v>
      </c>
      <c r="G73" s="99">
        <v>19</v>
      </c>
      <c r="H73" s="99">
        <v>13</v>
      </c>
      <c r="I73" s="99">
        <v>71</v>
      </c>
      <c r="J73" s="99">
        <v>363</v>
      </c>
      <c r="K73" s="99">
        <v>6</v>
      </c>
      <c r="L73" s="99">
        <v>817</v>
      </c>
      <c r="M73" s="99">
        <v>222</v>
      </c>
      <c r="N73" s="99">
        <v>126</v>
      </c>
      <c r="O73" s="99">
        <v>81</v>
      </c>
      <c r="P73" s="158">
        <v>81</v>
      </c>
      <c r="Q73" s="99">
        <v>10</v>
      </c>
      <c r="R73" s="99">
        <v>18</v>
      </c>
      <c r="S73" s="99">
        <v>14</v>
      </c>
      <c r="T73" s="99">
        <v>18</v>
      </c>
      <c r="U73" s="99" t="s">
        <v>868</v>
      </c>
      <c r="V73" s="99">
        <v>14</v>
      </c>
      <c r="W73" s="99">
        <v>14</v>
      </c>
      <c r="X73" s="99">
        <v>16</v>
      </c>
      <c r="Y73" s="99">
        <v>38</v>
      </c>
      <c r="Z73" s="99">
        <v>26</v>
      </c>
      <c r="AA73" s="99" t="s">
        <v>868</v>
      </c>
      <c r="AB73" s="99" t="s">
        <v>868</v>
      </c>
      <c r="AC73" s="99" t="s">
        <v>868</v>
      </c>
      <c r="AD73" s="98" t="s">
        <v>132</v>
      </c>
      <c r="AE73" s="100">
        <v>0.1310123683005039</v>
      </c>
      <c r="AF73" s="100">
        <v>0.16</v>
      </c>
      <c r="AG73" s="98">
        <v>435.1809436555199</v>
      </c>
      <c r="AH73" s="98">
        <v>297.7553825011452</v>
      </c>
      <c r="AI73" s="100">
        <v>0.0163</v>
      </c>
      <c r="AJ73" s="100">
        <v>0.79085</v>
      </c>
      <c r="AK73" s="100">
        <v>0.428571</v>
      </c>
      <c r="AL73" s="100">
        <v>0.774408</v>
      </c>
      <c r="AM73" s="100">
        <v>0.596774</v>
      </c>
      <c r="AN73" s="100">
        <v>0.605769</v>
      </c>
      <c r="AO73" s="98">
        <v>1855.2450755840587</v>
      </c>
      <c r="AP73" s="157">
        <v>1.0454999999999999</v>
      </c>
      <c r="AQ73" s="100">
        <v>0.12345679012345678</v>
      </c>
      <c r="AR73" s="100">
        <v>0.5555555555555556</v>
      </c>
      <c r="AS73" s="98">
        <v>320.659642693541</v>
      </c>
      <c r="AT73" s="98">
        <v>412.27668346312413</v>
      </c>
      <c r="AU73" s="98" t="s">
        <v>868</v>
      </c>
      <c r="AV73" s="98">
        <v>320.659642693541</v>
      </c>
      <c r="AW73" s="98">
        <v>320.659642693541</v>
      </c>
      <c r="AX73" s="98">
        <v>366.46816307833257</v>
      </c>
      <c r="AY73" s="98">
        <v>870.3618873110398</v>
      </c>
      <c r="AZ73" s="98">
        <v>595.5107650022904</v>
      </c>
      <c r="BA73" s="100" t="s">
        <v>868</v>
      </c>
      <c r="BB73" s="100" t="s">
        <v>868</v>
      </c>
      <c r="BC73" s="100" t="s">
        <v>868</v>
      </c>
      <c r="BD73" s="157">
        <v>0.8301999999999999</v>
      </c>
      <c r="BE73" s="157">
        <v>1.2993999999999999</v>
      </c>
      <c r="BF73" s="161">
        <v>459</v>
      </c>
      <c r="BG73" s="161">
        <v>14</v>
      </c>
      <c r="BH73" s="161">
        <v>1055</v>
      </c>
      <c r="BI73" s="161">
        <v>372</v>
      </c>
      <c r="BJ73" s="161">
        <v>208</v>
      </c>
      <c r="BK73" s="97"/>
      <c r="BL73" s="97"/>
      <c r="BM73" s="97"/>
      <c r="BN73" s="97"/>
    </row>
    <row r="74" spans="1:66" ht="12.75">
      <c r="A74" s="79" t="s">
        <v>250</v>
      </c>
      <c r="B74" s="79" t="s">
        <v>107</v>
      </c>
      <c r="C74" s="79" t="s">
        <v>284</v>
      </c>
      <c r="D74" s="99">
        <v>6716</v>
      </c>
      <c r="E74" s="99">
        <v>1512</v>
      </c>
      <c r="F74" s="99" t="s">
        <v>152</v>
      </c>
      <c r="G74" s="99">
        <v>51</v>
      </c>
      <c r="H74" s="99">
        <v>15</v>
      </c>
      <c r="I74" s="99">
        <v>200</v>
      </c>
      <c r="J74" s="99">
        <v>814</v>
      </c>
      <c r="K74" s="99">
        <v>8</v>
      </c>
      <c r="L74" s="99">
        <v>1290</v>
      </c>
      <c r="M74" s="99">
        <v>556</v>
      </c>
      <c r="N74" s="99">
        <v>273</v>
      </c>
      <c r="O74" s="99">
        <v>149</v>
      </c>
      <c r="P74" s="158">
        <v>149</v>
      </c>
      <c r="Q74" s="99">
        <v>18</v>
      </c>
      <c r="R74" s="99">
        <v>34</v>
      </c>
      <c r="S74" s="99">
        <v>20</v>
      </c>
      <c r="T74" s="99">
        <v>31</v>
      </c>
      <c r="U74" s="99" t="s">
        <v>868</v>
      </c>
      <c r="V74" s="99">
        <v>23</v>
      </c>
      <c r="W74" s="99">
        <v>29</v>
      </c>
      <c r="X74" s="99">
        <v>41</v>
      </c>
      <c r="Y74" s="99">
        <v>62</v>
      </c>
      <c r="Z74" s="99">
        <v>49</v>
      </c>
      <c r="AA74" s="99">
        <v>7</v>
      </c>
      <c r="AB74" s="99">
        <v>19</v>
      </c>
      <c r="AC74" s="99">
        <v>15</v>
      </c>
      <c r="AD74" s="98" t="s">
        <v>132</v>
      </c>
      <c r="AE74" s="100">
        <v>0.2251340083382966</v>
      </c>
      <c r="AF74" s="100">
        <v>0.12</v>
      </c>
      <c r="AG74" s="98">
        <v>759.3805836807624</v>
      </c>
      <c r="AH74" s="98">
        <v>223.34723049434186</v>
      </c>
      <c r="AI74" s="100">
        <v>0.0298</v>
      </c>
      <c r="AJ74" s="100">
        <v>0.78194</v>
      </c>
      <c r="AK74" s="100">
        <v>0.666667</v>
      </c>
      <c r="AL74" s="100">
        <v>0.814908</v>
      </c>
      <c r="AM74" s="100">
        <v>0.606987</v>
      </c>
      <c r="AN74" s="100">
        <v>0.562887</v>
      </c>
      <c r="AO74" s="98">
        <v>2218.5824895771293</v>
      </c>
      <c r="AP74" s="157">
        <v>0.9481</v>
      </c>
      <c r="AQ74" s="100">
        <v>0.12080536912751678</v>
      </c>
      <c r="AR74" s="100">
        <v>0.5294117647058824</v>
      </c>
      <c r="AS74" s="98">
        <v>297.79630732578914</v>
      </c>
      <c r="AT74" s="98">
        <v>461.5842763549732</v>
      </c>
      <c r="AU74" s="98" t="s">
        <v>868</v>
      </c>
      <c r="AV74" s="98">
        <v>342.4657534246575</v>
      </c>
      <c r="AW74" s="98">
        <v>431.8046456223943</v>
      </c>
      <c r="AX74" s="98">
        <v>610.4824300178677</v>
      </c>
      <c r="AY74" s="98">
        <v>923.1685527099464</v>
      </c>
      <c r="AZ74" s="98">
        <v>729.6009529481835</v>
      </c>
      <c r="BA74" s="100">
        <v>0.17073170731707318</v>
      </c>
      <c r="BB74" s="100">
        <v>0.4634146341463415</v>
      </c>
      <c r="BC74" s="100">
        <v>0.36585365853658536</v>
      </c>
      <c r="BD74" s="157">
        <v>0.8019</v>
      </c>
      <c r="BE74" s="157">
        <v>1.1131</v>
      </c>
      <c r="BF74" s="161">
        <v>1041</v>
      </c>
      <c r="BG74" s="161">
        <v>12</v>
      </c>
      <c r="BH74" s="161">
        <v>1583</v>
      </c>
      <c r="BI74" s="161">
        <v>916</v>
      </c>
      <c r="BJ74" s="161">
        <v>485</v>
      </c>
      <c r="BK74" s="97"/>
      <c r="BL74" s="97"/>
      <c r="BM74" s="97"/>
      <c r="BN74" s="97"/>
    </row>
    <row r="75" spans="1:66" ht="12.75">
      <c r="A75" s="79" t="s">
        <v>239</v>
      </c>
      <c r="B75" s="79" t="s">
        <v>90</v>
      </c>
      <c r="C75" s="79" t="s">
        <v>284</v>
      </c>
      <c r="D75" s="99">
        <v>6699</v>
      </c>
      <c r="E75" s="99">
        <v>1658</v>
      </c>
      <c r="F75" s="99" t="s">
        <v>151</v>
      </c>
      <c r="G75" s="99">
        <v>35</v>
      </c>
      <c r="H75" s="99">
        <v>24</v>
      </c>
      <c r="I75" s="99">
        <v>174</v>
      </c>
      <c r="J75" s="99">
        <v>894</v>
      </c>
      <c r="K75" s="99">
        <v>881</v>
      </c>
      <c r="L75" s="99">
        <v>1219</v>
      </c>
      <c r="M75" s="99">
        <v>658</v>
      </c>
      <c r="N75" s="99">
        <v>349</v>
      </c>
      <c r="O75" s="99">
        <v>182</v>
      </c>
      <c r="P75" s="158">
        <v>182</v>
      </c>
      <c r="Q75" s="99">
        <v>31</v>
      </c>
      <c r="R75" s="99">
        <v>63</v>
      </c>
      <c r="S75" s="99">
        <v>28</v>
      </c>
      <c r="T75" s="99">
        <v>28</v>
      </c>
      <c r="U75" s="99">
        <v>9</v>
      </c>
      <c r="V75" s="99">
        <v>29</v>
      </c>
      <c r="W75" s="99">
        <v>43</v>
      </c>
      <c r="X75" s="99">
        <v>30</v>
      </c>
      <c r="Y75" s="99">
        <v>91</v>
      </c>
      <c r="Z75" s="99">
        <v>60</v>
      </c>
      <c r="AA75" s="99">
        <v>13</v>
      </c>
      <c r="AB75" s="99">
        <v>25</v>
      </c>
      <c r="AC75" s="99">
        <v>13</v>
      </c>
      <c r="AD75" s="98" t="s">
        <v>132</v>
      </c>
      <c r="AE75" s="100">
        <v>0.24749962680997165</v>
      </c>
      <c r="AF75" s="100">
        <v>0.09</v>
      </c>
      <c r="AG75" s="98">
        <v>522.466039707419</v>
      </c>
      <c r="AH75" s="98">
        <v>358.26242722794444</v>
      </c>
      <c r="AI75" s="100">
        <v>0.026000000000000002</v>
      </c>
      <c r="AJ75" s="100">
        <v>0.823204</v>
      </c>
      <c r="AK75" s="100">
        <v>0.823364</v>
      </c>
      <c r="AL75" s="100">
        <v>0.772497</v>
      </c>
      <c r="AM75" s="100">
        <v>0.681865</v>
      </c>
      <c r="AN75" s="100">
        <v>0.667304</v>
      </c>
      <c r="AO75" s="98">
        <v>2716.823406478579</v>
      </c>
      <c r="AP75" s="157">
        <v>1.0949</v>
      </c>
      <c r="AQ75" s="100">
        <v>0.17032967032967034</v>
      </c>
      <c r="AR75" s="100">
        <v>0.49206349206349204</v>
      </c>
      <c r="AS75" s="98">
        <v>417.9728317659352</v>
      </c>
      <c r="AT75" s="98">
        <v>417.9728317659352</v>
      </c>
      <c r="AU75" s="98">
        <v>134.3484102104792</v>
      </c>
      <c r="AV75" s="98">
        <v>432.9004329004329</v>
      </c>
      <c r="AW75" s="98">
        <v>641.8868487834005</v>
      </c>
      <c r="AX75" s="98">
        <v>447.82803403493057</v>
      </c>
      <c r="AY75" s="98">
        <v>1358.4117032392894</v>
      </c>
      <c r="AZ75" s="98">
        <v>895.6560680698611</v>
      </c>
      <c r="BA75" s="101">
        <v>0.2549019607843137</v>
      </c>
      <c r="BB75" s="101">
        <v>0.49019607843137253</v>
      </c>
      <c r="BC75" s="101">
        <v>0.2549019607843137</v>
      </c>
      <c r="BD75" s="157">
        <v>0.9416</v>
      </c>
      <c r="BE75" s="157">
        <v>1.2661</v>
      </c>
      <c r="BF75" s="161">
        <v>1086</v>
      </c>
      <c r="BG75" s="161">
        <v>1070</v>
      </c>
      <c r="BH75" s="161">
        <v>1578</v>
      </c>
      <c r="BI75" s="161">
        <v>965</v>
      </c>
      <c r="BJ75" s="161">
        <v>523</v>
      </c>
      <c r="BK75" s="97"/>
      <c r="BL75" s="97"/>
      <c r="BM75" s="97"/>
      <c r="BN75" s="97"/>
    </row>
    <row r="76" spans="1:66" ht="12.75">
      <c r="A76" s="79" t="s">
        <v>225</v>
      </c>
      <c r="B76" s="79" t="s">
        <v>58</v>
      </c>
      <c r="C76" s="79" t="s">
        <v>284</v>
      </c>
      <c r="D76" s="99">
        <v>11329</v>
      </c>
      <c r="E76" s="99">
        <v>2935</v>
      </c>
      <c r="F76" s="99" t="s">
        <v>151</v>
      </c>
      <c r="G76" s="99">
        <v>78</v>
      </c>
      <c r="H76" s="99">
        <v>34</v>
      </c>
      <c r="I76" s="99">
        <v>339</v>
      </c>
      <c r="J76" s="99">
        <v>1306</v>
      </c>
      <c r="K76" s="99">
        <v>1287</v>
      </c>
      <c r="L76" s="99">
        <v>1907</v>
      </c>
      <c r="M76" s="99">
        <v>955</v>
      </c>
      <c r="N76" s="99">
        <v>493</v>
      </c>
      <c r="O76" s="99">
        <v>313</v>
      </c>
      <c r="P76" s="158">
        <v>313</v>
      </c>
      <c r="Q76" s="99">
        <v>39</v>
      </c>
      <c r="R76" s="99">
        <v>84</v>
      </c>
      <c r="S76" s="99">
        <v>42</v>
      </c>
      <c r="T76" s="99">
        <v>69</v>
      </c>
      <c r="U76" s="99">
        <v>7</v>
      </c>
      <c r="V76" s="99">
        <v>55</v>
      </c>
      <c r="W76" s="99">
        <v>73</v>
      </c>
      <c r="X76" s="99">
        <v>81</v>
      </c>
      <c r="Y76" s="99">
        <v>125</v>
      </c>
      <c r="Z76" s="99">
        <v>123</v>
      </c>
      <c r="AA76" s="99">
        <v>17</v>
      </c>
      <c r="AB76" s="99">
        <v>36</v>
      </c>
      <c r="AC76" s="99">
        <v>23</v>
      </c>
      <c r="AD76" s="98" t="s">
        <v>132</v>
      </c>
      <c r="AE76" s="100">
        <v>0.2590696442757525</v>
      </c>
      <c r="AF76" s="100">
        <v>0.09</v>
      </c>
      <c r="AG76" s="98">
        <v>688.4985435607732</v>
      </c>
      <c r="AH76" s="98">
        <v>300.11474975726014</v>
      </c>
      <c r="AI76" s="100">
        <v>0.029900000000000003</v>
      </c>
      <c r="AJ76" s="100">
        <v>0.803198</v>
      </c>
      <c r="AK76" s="100">
        <v>0.820268</v>
      </c>
      <c r="AL76" s="100">
        <v>0.768332</v>
      </c>
      <c r="AM76" s="100">
        <v>0.622555</v>
      </c>
      <c r="AN76" s="100">
        <v>0.582054</v>
      </c>
      <c r="AO76" s="98">
        <v>2762.8210786477184</v>
      </c>
      <c r="AP76" s="157">
        <v>1.1118000000000001</v>
      </c>
      <c r="AQ76" s="100">
        <v>0.12460063897763578</v>
      </c>
      <c r="AR76" s="100">
        <v>0.4642857142857143</v>
      </c>
      <c r="AS76" s="98">
        <v>370.7299849942625</v>
      </c>
      <c r="AT76" s="98">
        <v>609.0564039191455</v>
      </c>
      <c r="AU76" s="98">
        <v>61.788330832377085</v>
      </c>
      <c r="AV76" s="98">
        <v>485.4797422543914</v>
      </c>
      <c r="AW76" s="98">
        <v>644.3640215376467</v>
      </c>
      <c r="AX76" s="98">
        <v>714.9792567746491</v>
      </c>
      <c r="AY76" s="98">
        <v>1103.3630505781623</v>
      </c>
      <c r="AZ76" s="98">
        <v>1085.7092417689116</v>
      </c>
      <c r="BA76" s="101">
        <v>0.2236842105263158</v>
      </c>
      <c r="BB76" s="101">
        <v>0.47368421052631576</v>
      </c>
      <c r="BC76" s="101">
        <v>0.3026315789473684</v>
      </c>
      <c r="BD76" s="157">
        <v>0.992</v>
      </c>
      <c r="BE76" s="157">
        <v>1.242</v>
      </c>
      <c r="BF76" s="161">
        <v>1626</v>
      </c>
      <c r="BG76" s="161">
        <v>1569</v>
      </c>
      <c r="BH76" s="161">
        <v>2482</v>
      </c>
      <c r="BI76" s="161">
        <v>1534</v>
      </c>
      <c r="BJ76" s="161">
        <v>847</v>
      </c>
      <c r="BK76" s="97"/>
      <c r="BL76" s="97"/>
      <c r="BM76" s="97"/>
      <c r="BN76" s="97"/>
    </row>
    <row r="77" spans="1:66" ht="12.75">
      <c r="A77" s="79" t="s">
        <v>288</v>
      </c>
      <c r="B77" s="79" t="s">
        <v>65</v>
      </c>
      <c r="C77" s="79" t="s">
        <v>284</v>
      </c>
      <c r="D77" s="99">
        <v>10064</v>
      </c>
      <c r="E77" s="99">
        <v>2872</v>
      </c>
      <c r="F77" s="99" t="s">
        <v>150</v>
      </c>
      <c r="G77" s="99">
        <v>81</v>
      </c>
      <c r="H77" s="99">
        <v>42</v>
      </c>
      <c r="I77" s="99">
        <v>262</v>
      </c>
      <c r="J77" s="99">
        <v>1313</v>
      </c>
      <c r="K77" s="99">
        <v>39</v>
      </c>
      <c r="L77" s="99">
        <v>1649</v>
      </c>
      <c r="M77" s="99">
        <v>1136</v>
      </c>
      <c r="N77" s="99">
        <v>615</v>
      </c>
      <c r="O77" s="99">
        <v>260</v>
      </c>
      <c r="P77" s="158">
        <v>260</v>
      </c>
      <c r="Q77" s="99">
        <v>38</v>
      </c>
      <c r="R77" s="99">
        <v>75</v>
      </c>
      <c r="S77" s="99">
        <v>39</v>
      </c>
      <c r="T77" s="99">
        <v>62</v>
      </c>
      <c r="U77" s="99" t="s">
        <v>868</v>
      </c>
      <c r="V77" s="99">
        <v>30</v>
      </c>
      <c r="W77" s="99">
        <v>51</v>
      </c>
      <c r="X77" s="99">
        <v>62</v>
      </c>
      <c r="Y77" s="99">
        <v>92</v>
      </c>
      <c r="Z77" s="99">
        <v>106</v>
      </c>
      <c r="AA77" s="99">
        <v>22</v>
      </c>
      <c r="AB77" s="99">
        <v>28</v>
      </c>
      <c r="AC77" s="99">
        <v>26</v>
      </c>
      <c r="AD77" s="98" t="s">
        <v>132</v>
      </c>
      <c r="AE77" s="100">
        <v>0.28537360890302066</v>
      </c>
      <c r="AF77" s="100">
        <v>0.16</v>
      </c>
      <c r="AG77" s="98">
        <v>804.8489666136725</v>
      </c>
      <c r="AH77" s="98">
        <v>417.329093799682</v>
      </c>
      <c r="AI77" s="100">
        <v>0.026000000000000002</v>
      </c>
      <c r="AJ77" s="100">
        <v>0.747297</v>
      </c>
      <c r="AK77" s="100">
        <v>0.735849</v>
      </c>
      <c r="AL77" s="100">
        <v>0.75851</v>
      </c>
      <c r="AM77" s="100">
        <v>0.64</v>
      </c>
      <c r="AN77" s="100">
        <v>0.609514</v>
      </c>
      <c r="AO77" s="98">
        <v>2583.4658187599366</v>
      </c>
      <c r="AP77" s="157">
        <v>0.9773000000000001</v>
      </c>
      <c r="AQ77" s="100">
        <v>0.14615384615384616</v>
      </c>
      <c r="AR77" s="100">
        <v>0.5066666666666667</v>
      </c>
      <c r="AS77" s="98">
        <v>387.51987281399045</v>
      </c>
      <c r="AT77" s="98">
        <v>616.0572337042926</v>
      </c>
      <c r="AU77" s="98" t="s">
        <v>868</v>
      </c>
      <c r="AV77" s="98">
        <v>298.09220985691576</v>
      </c>
      <c r="AW77" s="98">
        <v>506.7567567567568</v>
      </c>
      <c r="AX77" s="98">
        <v>616.0572337042926</v>
      </c>
      <c r="AY77" s="98">
        <v>914.1494435612083</v>
      </c>
      <c r="AZ77" s="98">
        <v>1053.2591414944357</v>
      </c>
      <c r="BA77" s="100">
        <v>0.2894736842105263</v>
      </c>
      <c r="BB77" s="100">
        <v>0.3684210526315789</v>
      </c>
      <c r="BC77" s="100">
        <v>0.34210526315789475</v>
      </c>
      <c r="BD77" s="157">
        <v>0.8621</v>
      </c>
      <c r="BE77" s="157">
        <v>1.1036</v>
      </c>
      <c r="BF77" s="161">
        <v>1757</v>
      </c>
      <c r="BG77" s="161">
        <v>53</v>
      </c>
      <c r="BH77" s="161">
        <v>2174</v>
      </c>
      <c r="BI77" s="161">
        <v>1775</v>
      </c>
      <c r="BJ77" s="161">
        <v>1009</v>
      </c>
      <c r="BK77" s="97"/>
      <c r="BL77" s="97"/>
      <c r="BM77" s="97"/>
      <c r="BN77" s="97"/>
    </row>
    <row r="78" spans="1:66" ht="12.75">
      <c r="A78" s="79" t="s">
        <v>295</v>
      </c>
      <c r="B78" s="79" t="s">
        <v>83</v>
      </c>
      <c r="C78" s="79" t="s">
        <v>284</v>
      </c>
      <c r="D78" s="99">
        <v>8165</v>
      </c>
      <c r="E78" s="99">
        <v>1820</v>
      </c>
      <c r="F78" s="99" t="s">
        <v>151</v>
      </c>
      <c r="G78" s="99">
        <v>51</v>
      </c>
      <c r="H78" s="99">
        <v>32</v>
      </c>
      <c r="I78" s="99">
        <v>211</v>
      </c>
      <c r="J78" s="99">
        <v>965</v>
      </c>
      <c r="K78" s="99">
        <v>954</v>
      </c>
      <c r="L78" s="99">
        <v>1448</v>
      </c>
      <c r="M78" s="99">
        <v>686</v>
      </c>
      <c r="N78" s="99">
        <v>358</v>
      </c>
      <c r="O78" s="99">
        <v>166</v>
      </c>
      <c r="P78" s="158">
        <v>166</v>
      </c>
      <c r="Q78" s="99">
        <v>15</v>
      </c>
      <c r="R78" s="99">
        <v>42</v>
      </c>
      <c r="S78" s="99">
        <v>25</v>
      </c>
      <c r="T78" s="99">
        <v>31</v>
      </c>
      <c r="U78" s="99">
        <v>14</v>
      </c>
      <c r="V78" s="99">
        <v>28</v>
      </c>
      <c r="W78" s="99">
        <v>61</v>
      </c>
      <c r="X78" s="99">
        <v>68</v>
      </c>
      <c r="Y78" s="99">
        <v>96</v>
      </c>
      <c r="Z78" s="99">
        <v>56</v>
      </c>
      <c r="AA78" s="99" t="s">
        <v>868</v>
      </c>
      <c r="AB78" s="99">
        <v>23</v>
      </c>
      <c r="AC78" s="99" t="s">
        <v>868</v>
      </c>
      <c r="AD78" s="98" t="s">
        <v>132</v>
      </c>
      <c r="AE78" s="100">
        <v>0.22290263319044704</v>
      </c>
      <c r="AF78" s="100">
        <v>0.09</v>
      </c>
      <c r="AG78" s="98">
        <v>624.6172688303735</v>
      </c>
      <c r="AH78" s="98">
        <v>391.9167176974893</v>
      </c>
      <c r="AI78" s="100">
        <v>0.0258</v>
      </c>
      <c r="AJ78" s="100">
        <v>0.822677</v>
      </c>
      <c r="AK78" s="100">
        <v>0.830287</v>
      </c>
      <c r="AL78" s="100">
        <v>0.769803</v>
      </c>
      <c r="AM78" s="100">
        <v>0.613047</v>
      </c>
      <c r="AN78" s="100">
        <v>0.581169</v>
      </c>
      <c r="AO78" s="98">
        <v>2033.0679730557256</v>
      </c>
      <c r="AP78" s="157">
        <v>0.8742</v>
      </c>
      <c r="AQ78" s="100">
        <v>0.09036144578313253</v>
      </c>
      <c r="AR78" s="100">
        <v>0.35714285714285715</v>
      </c>
      <c r="AS78" s="98">
        <v>306.1849357011635</v>
      </c>
      <c r="AT78" s="98">
        <v>379.6693202694427</v>
      </c>
      <c r="AU78" s="98">
        <v>171.46356399265156</v>
      </c>
      <c r="AV78" s="98">
        <v>342.9271279853031</v>
      </c>
      <c r="AW78" s="98">
        <v>747.091243110839</v>
      </c>
      <c r="AX78" s="98">
        <v>832.8230251071648</v>
      </c>
      <c r="AY78" s="98">
        <v>1175.7501530924678</v>
      </c>
      <c r="AZ78" s="98">
        <v>685.8542559706062</v>
      </c>
      <c r="BA78" s="100" t="s">
        <v>868</v>
      </c>
      <c r="BB78" s="100">
        <v>0.6388888888888888</v>
      </c>
      <c r="BC78" s="100" t="s">
        <v>868</v>
      </c>
      <c r="BD78" s="157">
        <v>0.7463</v>
      </c>
      <c r="BE78" s="157">
        <v>1.0178</v>
      </c>
      <c r="BF78" s="161">
        <v>1173</v>
      </c>
      <c r="BG78" s="161">
        <v>1149</v>
      </c>
      <c r="BH78" s="161">
        <v>1881</v>
      </c>
      <c r="BI78" s="161">
        <v>1119</v>
      </c>
      <c r="BJ78" s="161">
        <v>616</v>
      </c>
      <c r="BK78" s="97"/>
      <c r="BL78" s="97"/>
      <c r="BM78" s="97"/>
      <c r="BN78" s="97"/>
    </row>
    <row r="79" spans="1:66" ht="12.75">
      <c r="A79" s="79" t="s">
        <v>242</v>
      </c>
      <c r="B79" s="79" t="s">
        <v>94</v>
      </c>
      <c r="C79" s="79" t="s">
        <v>284</v>
      </c>
      <c r="D79" s="99">
        <v>6716</v>
      </c>
      <c r="E79" s="99">
        <v>1626</v>
      </c>
      <c r="F79" s="99" t="s">
        <v>151</v>
      </c>
      <c r="G79" s="99">
        <v>51</v>
      </c>
      <c r="H79" s="99">
        <v>20</v>
      </c>
      <c r="I79" s="99">
        <v>165</v>
      </c>
      <c r="J79" s="99">
        <v>826</v>
      </c>
      <c r="K79" s="99">
        <v>13</v>
      </c>
      <c r="L79" s="99">
        <v>1262</v>
      </c>
      <c r="M79" s="99">
        <v>683</v>
      </c>
      <c r="N79" s="99">
        <v>338</v>
      </c>
      <c r="O79" s="99">
        <v>208</v>
      </c>
      <c r="P79" s="158">
        <v>208</v>
      </c>
      <c r="Q79" s="99">
        <v>19</v>
      </c>
      <c r="R79" s="99">
        <v>39</v>
      </c>
      <c r="S79" s="99">
        <v>29</v>
      </c>
      <c r="T79" s="99">
        <v>42</v>
      </c>
      <c r="U79" s="99" t="s">
        <v>868</v>
      </c>
      <c r="V79" s="99">
        <v>34</v>
      </c>
      <c r="W79" s="99">
        <v>47</v>
      </c>
      <c r="X79" s="99">
        <v>47</v>
      </c>
      <c r="Y79" s="99">
        <v>81</v>
      </c>
      <c r="Z79" s="99">
        <v>54</v>
      </c>
      <c r="AA79" s="99">
        <v>6</v>
      </c>
      <c r="AB79" s="99">
        <v>14</v>
      </c>
      <c r="AC79" s="99">
        <v>19</v>
      </c>
      <c r="AD79" s="98" t="s">
        <v>132</v>
      </c>
      <c r="AE79" s="100">
        <v>0.24210839785586658</v>
      </c>
      <c r="AF79" s="100">
        <v>0.08</v>
      </c>
      <c r="AG79" s="98">
        <v>759.3805836807624</v>
      </c>
      <c r="AH79" s="98">
        <v>297.79630732578914</v>
      </c>
      <c r="AI79" s="100">
        <v>0.0246</v>
      </c>
      <c r="AJ79" s="100">
        <v>0.747511</v>
      </c>
      <c r="AK79" s="100">
        <v>0.764706</v>
      </c>
      <c r="AL79" s="100">
        <v>0.810533</v>
      </c>
      <c r="AM79" s="100">
        <v>0.644948</v>
      </c>
      <c r="AN79" s="100">
        <v>0.610108</v>
      </c>
      <c r="AO79" s="98">
        <v>3097.081596188207</v>
      </c>
      <c r="AP79" s="157">
        <v>1.2554</v>
      </c>
      <c r="AQ79" s="100">
        <v>0.09134615384615384</v>
      </c>
      <c r="AR79" s="100">
        <v>0.48717948717948717</v>
      </c>
      <c r="AS79" s="98">
        <v>431.8046456223943</v>
      </c>
      <c r="AT79" s="98">
        <v>625.3722453841573</v>
      </c>
      <c r="AU79" s="98" t="s">
        <v>868</v>
      </c>
      <c r="AV79" s="98">
        <v>506.2537224538416</v>
      </c>
      <c r="AW79" s="98">
        <v>699.8213222156045</v>
      </c>
      <c r="AX79" s="98">
        <v>699.8213222156045</v>
      </c>
      <c r="AY79" s="98">
        <v>1206.075044669446</v>
      </c>
      <c r="AZ79" s="98">
        <v>804.0500297796307</v>
      </c>
      <c r="BA79" s="100">
        <v>0.15384615384615385</v>
      </c>
      <c r="BB79" s="100">
        <v>0.358974358974359</v>
      </c>
      <c r="BC79" s="100">
        <v>0.48717948717948717</v>
      </c>
      <c r="BD79" s="157">
        <v>1.0906</v>
      </c>
      <c r="BE79" s="157">
        <v>1.4381</v>
      </c>
      <c r="BF79" s="161">
        <v>1105</v>
      </c>
      <c r="BG79" s="161">
        <v>17</v>
      </c>
      <c r="BH79" s="161">
        <v>1557</v>
      </c>
      <c r="BI79" s="161">
        <v>1059</v>
      </c>
      <c r="BJ79" s="161">
        <v>554</v>
      </c>
      <c r="BK79" s="97"/>
      <c r="BL79" s="97"/>
      <c r="BM79" s="97"/>
      <c r="BN79" s="97"/>
    </row>
    <row r="80" spans="1:66" ht="12.75">
      <c r="A80" s="79" t="s">
        <v>826</v>
      </c>
      <c r="B80" s="94" t="s">
        <v>284</v>
      </c>
      <c r="C80" s="94" t="s">
        <v>7</v>
      </c>
      <c r="D80" s="99">
        <v>543498</v>
      </c>
      <c r="E80" s="99">
        <v>116440</v>
      </c>
      <c r="F80" s="99">
        <v>59359.679999999986</v>
      </c>
      <c r="G80" s="99">
        <v>3214</v>
      </c>
      <c r="H80" s="99">
        <v>1544</v>
      </c>
      <c r="I80" s="99">
        <v>13027</v>
      </c>
      <c r="J80" s="99">
        <v>58694</v>
      </c>
      <c r="K80" s="99">
        <v>25769</v>
      </c>
      <c r="L80" s="99">
        <v>99387</v>
      </c>
      <c r="M80" s="99">
        <v>45401</v>
      </c>
      <c r="N80" s="99">
        <v>23056</v>
      </c>
      <c r="O80" s="99">
        <v>14061</v>
      </c>
      <c r="P80" s="99">
        <v>14061</v>
      </c>
      <c r="Q80" s="99">
        <v>1685</v>
      </c>
      <c r="R80" s="99">
        <v>3326</v>
      </c>
      <c r="S80" s="99">
        <v>2338</v>
      </c>
      <c r="T80" s="99">
        <v>2525</v>
      </c>
      <c r="U80" s="99">
        <v>446</v>
      </c>
      <c r="V80" s="99">
        <v>2343</v>
      </c>
      <c r="W80" s="99">
        <v>3343</v>
      </c>
      <c r="X80" s="99">
        <v>3389</v>
      </c>
      <c r="Y80" s="99">
        <v>5549</v>
      </c>
      <c r="Z80" s="99">
        <v>3748</v>
      </c>
      <c r="AA80" s="99">
        <v>716</v>
      </c>
      <c r="AB80" s="99">
        <v>1439</v>
      </c>
      <c r="AC80" s="99">
        <v>857</v>
      </c>
      <c r="AD80" s="98">
        <v>0</v>
      </c>
      <c r="AE80" s="101">
        <v>0.21424181873714346</v>
      </c>
      <c r="AF80" s="101">
        <v>0.10921784440789108</v>
      </c>
      <c r="AG80" s="98">
        <v>591.3545220037608</v>
      </c>
      <c r="AH80" s="98">
        <v>284.0856820080295</v>
      </c>
      <c r="AI80" s="101">
        <v>0.023968809452840672</v>
      </c>
      <c r="AJ80" s="101">
        <v>0.7648821934945789</v>
      </c>
      <c r="AK80" s="101">
        <v>0.782681326691775</v>
      </c>
      <c r="AL80" s="101">
        <v>0.784725073429555</v>
      </c>
      <c r="AM80" s="101">
        <v>0.6214802951281946</v>
      </c>
      <c r="AN80" s="101">
        <v>0.5872943094401141</v>
      </c>
      <c r="AO80" s="98">
        <v>2587.130035437113</v>
      </c>
      <c r="AP80" s="98">
        <v>0</v>
      </c>
      <c r="AQ80" s="101">
        <v>0.11983500462271532</v>
      </c>
      <c r="AR80" s="101">
        <v>0.5066145520144317</v>
      </c>
      <c r="AS80" s="98">
        <v>430.1763759940239</v>
      </c>
      <c r="AT80" s="98">
        <v>464.5831263408513</v>
      </c>
      <c r="AU80" s="98">
        <v>82.06101954377017</v>
      </c>
      <c r="AV80" s="98">
        <v>431.0963425808375</v>
      </c>
      <c r="AW80" s="98">
        <v>615.0896599435508</v>
      </c>
      <c r="AX80" s="98">
        <v>623.5533525422356</v>
      </c>
      <c r="AY80" s="98">
        <v>1020.9789180456966</v>
      </c>
      <c r="AZ80" s="98">
        <v>689.6069534754498</v>
      </c>
      <c r="BA80" s="101">
        <v>0.23771580345285526</v>
      </c>
      <c r="BB80" s="101">
        <v>0.47775564409030546</v>
      </c>
      <c r="BC80" s="101">
        <v>0.28452855245683933</v>
      </c>
      <c r="BD80" s="98">
        <v>0</v>
      </c>
      <c r="BE80" s="98">
        <v>0</v>
      </c>
      <c r="BF80" s="99">
        <v>76736</v>
      </c>
      <c r="BG80" s="99">
        <v>32924</v>
      </c>
      <c r="BH80" s="99">
        <v>126652</v>
      </c>
      <c r="BI80" s="99">
        <v>73053</v>
      </c>
      <c r="BJ80" s="99">
        <v>39258</v>
      </c>
      <c r="BK80" s="97"/>
      <c r="BL80" s="97"/>
      <c r="BM80" s="97"/>
      <c r="BN80" s="97"/>
    </row>
    <row r="81" spans="1:66" ht="12.75">
      <c r="A81" s="79" t="s">
        <v>24</v>
      </c>
      <c r="B81" s="94" t="s">
        <v>7</v>
      </c>
      <c r="C81" s="94" t="s">
        <v>7</v>
      </c>
      <c r="D81" s="99">
        <v>55165362</v>
      </c>
      <c r="E81" s="99">
        <v>9048994</v>
      </c>
      <c r="F81" s="99">
        <v>8305264.179999999</v>
      </c>
      <c r="G81" s="99">
        <v>259770</v>
      </c>
      <c r="H81" s="99">
        <v>128954</v>
      </c>
      <c r="I81" s="99">
        <v>978426</v>
      </c>
      <c r="J81" s="99">
        <v>4727163</v>
      </c>
      <c r="K81" s="99">
        <v>1693161</v>
      </c>
      <c r="L81" s="99">
        <v>10175535</v>
      </c>
      <c r="M81" s="99">
        <v>3358821</v>
      </c>
      <c r="N81" s="99">
        <v>1654961</v>
      </c>
      <c r="O81" s="99">
        <v>1093346</v>
      </c>
      <c r="P81" s="99">
        <v>1093346</v>
      </c>
      <c r="Q81" s="99">
        <v>115539</v>
      </c>
      <c r="R81" s="99">
        <v>248587</v>
      </c>
      <c r="S81" s="99">
        <v>205061</v>
      </c>
      <c r="T81" s="99">
        <v>184806</v>
      </c>
      <c r="U81" s="99">
        <v>42802</v>
      </c>
      <c r="V81" s="99">
        <v>192402</v>
      </c>
      <c r="W81" s="99">
        <v>343839</v>
      </c>
      <c r="X81" s="99">
        <v>238616</v>
      </c>
      <c r="Y81" s="99">
        <v>553576</v>
      </c>
      <c r="Z81" s="99">
        <v>323780</v>
      </c>
      <c r="AA81" s="99">
        <v>58003</v>
      </c>
      <c r="AB81" s="99">
        <v>120283</v>
      </c>
      <c r="AC81" s="99">
        <v>66239</v>
      </c>
      <c r="AD81" s="98">
        <v>0</v>
      </c>
      <c r="AE81" s="101">
        <v>0.16403398204837302</v>
      </c>
      <c r="AF81" s="101">
        <v>0.1505521558981159</v>
      </c>
      <c r="AG81" s="98">
        <v>470.8933116400106</v>
      </c>
      <c r="AH81" s="98">
        <v>233.75900261472046</v>
      </c>
      <c r="AI81" s="101">
        <v>0.017736238185113332</v>
      </c>
      <c r="AJ81" s="101">
        <v>0.7246856648259642</v>
      </c>
      <c r="AK81" s="101">
        <v>0.7425503147315781</v>
      </c>
      <c r="AL81" s="101">
        <v>0.7530641252748632</v>
      </c>
      <c r="AM81" s="101">
        <v>0.5744521249276766</v>
      </c>
      <c r="AN81" s="101">
        <v>0.5565049054289257</v>
      </c>
      <c r="AO81" s="98">
        <v>1981.9429445600304</v>
      </c>
      <c r="AP81" s="98">
        <v>1</v>
      </c>
      <c r="AQ81" s="101">
        <v>0.10567469035419712</v>
      </c>
      <c r="AR81" s="101">
        <v>0.46478295325177904</v>
      </c>
      <c r="AS81" s="98">
        <v>371.7205735004512</v>
      </c>
      <c r="AT81" s="98">
        <v>335.00369307827617</v>
      </c>
      <c r="AU81" s="98">
        <v>77.58854188249504</v>
      </c>
      <c r="AV81" s="98">
        <v>348.7732030109763</v>
      </c>
      <c r="AW81" s="98">
        <v>623.2878522577265</v>
      </c>
      <c r="AX81" s="98">
        <v>432.5467854266958</v>
      </c>
      <c r="AY81" s="98">
        <v>1003.4847591501348</v>
      </c>
      <c r="AZ81" s="98">
        <v>586.9262672471904</v>
      </c>
      <c r="BA81" s="101">
        <v>0.2372068295675289</v>
      </c>
      <c r="BB81" s="101">
        <v>0.4919047132195072</v>
      </c>
      <c r="BC81" s="101">
        <v>0.2708884572129639</v>
      </c>
      <c r="BD81" s="98">
        <v>0</v>
      </c>
      <c r="BE81" s="98">
        <v>0</v>
      </c>
      <c r="BF81" s="99">
        <v>6523053</v>
      </c>
      <c r="BG81" s="99">
        <v>2280197</v>
      </c>
      <c r="BH81" s="99">
        <v>13512176</v>
      </c>
      <c r="BI81" s="99">
        <v>5846999</v>
      </c>
      <c r="BJ81" s="99">
        <v>2973848</v>
      </c>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292"/>
      <c r="C88" s="292"/>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89"/>
      <c r="AE88" s="296"/>
      <c r="AF88" s="296"/>
      <c r="AG88" s="289"/>
      <c r="AH88" s="289"/>
      <c r="AI88" s="296"/>
      <c r="AJ88" s="296"/>
      <c r="AK88" s="296"/>
      <c r="AL88" s="296"/>
      <c r="AM88" s="296"/>
      <c r="AN88" s="296"/>
      <c r="AO88" s="289"/>
      <c r="AP88" s="289"/>
      <c r="AQ88" s="296"/>
      <c r="AR88" s="296"/>
      <c r="AS88" s="289"/>
      <c r="AT88" s="289"/>
      <c r="AU88" s="289"/>
      <c r="AV88" s="289"/>
      <c r="AW88" s="289"/>
      <c r="AX88" s="289"/>
      <c r="AY88" s="289"/>
      <c r="AZ88" s="289"/>
      <c r="BA88" s="296"/>
      <c r="BB88" s="296"/>
      <c r="BC88" s="296"/>
      <c r="BD88" s="289"/>
      <c r="BE88" s="289"/>
      <c r="BF88" s="293"/>
      <c r="BG88" s="293"/>
      <c r="BH88" s="293"/>
      <c r="BI88" s="293"/>
      <c r="BJ88" s="293"/>
      <c r="BK88" s="97"/>
      <c r="BL88" s="97"/>
      <c r="BM88" s="97"/>
      <c r="BN88" s="97"/>
    </row>
    <row r="89" spans="1:66" ht="12.75">
      <c r="A89" s="8"/>
      <c r="B89" s="292"/>
      <c r="C89" s="292"/>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89"/>
      <c r="AE89" s="296"/>
      <c r="AF89" s="296"/>
      <c r="AG89" s="289"/>
      <c r="AH89" s="289"/>
      <c r="AI89" s="296"/>
      <c r="AJ89" s="296"/>
      <c r="AK89" s="296"/>
      <c r="AL89" s="296"/>
      <c r="AM89" s="296"/>
      <c r="AN89" s="296"/>
      <c r="AO89" s="289"/>
      <c r="AP89" s="289"/>
      <c r="AQ89" s="296"/>
      <c r="AR89" s="296"/>
      <c r="AS89" s="289"/>
      <c r="AT89" s="289"/>
      <c r="AU89" s="289"/>
      <c r="AV89" s="289"/>
      <c r="AW89" s="289"/>
      <c r="AX89" s="289"/>
      <c r="AY89" s="289"/>
      <c r="AZ89" s="289"/>
      <c r="BA89" s="296"/>
      <c r="BB89" s="296"/>
      <c r="BC89" s="296"/>
      <c r="BD89" s="289"/>
      <c r="BE89" s="289"/>
      <c r="BF89" s="293"/>
      <c r="BG89" s="293"/>
      <c r="BH89" s="293"/>
      <c r="BI89" s="293"/>
      <c r="BJ89" s="293"/>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179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137</v>
      </c>
      <c r="O4" s="75" t="s">
        <v>136</v>
      </c>
      <c r="P4" s="75" t="s">
        <v>186</v>
      </c>
      <c r="Q4" s="75" t="s">
        <v>187</v>
      </c>
      <c r="R4" s="75" t="s">
        <v>188</v>
      </c>
      <c r="S4" s="75" t="s">
        <v>189</v>
      </c>
      <c r="T4" s="39" t="s">
        <v>53</v>
      </c>
      <c r="U4" s="40" t="s">
        <v>54</v>
      </c>
      <c r="V4" s="41" t="s">
        <v>7</v>
      </c>
      <c r="W4" s="24" t="s">
        <v>2</v>
      </c>
      <c r="X4" s="24" t="s">
        <v>3</v>
      </c>
      <c r="Y4" s="75" t="s">
        <v>271</v>
      </c>
      <c r="Z4" s="75" t="s">
        <v>270</v>
      </c>
      <c r="AA4" s="26" t="s">
        <v>55</v>
      </c>
      <c r="AB4" s="24" t="s">
        <v>5</v>
      </c>
      <c r="AC4" s="75" t="s">
        <v>35</v>
      </c>
      <c r="AD4" s="24" t="s">
        <v>6</v>
      </c>
      <c r="AE4" s="24" t="s">
        <v>56</v>
      </c>
      <c r="AF4" s="24" t="s">
        <v>16</v>
      </c>
      <c r="AG4" s="24" t="s">
        <v>15</v>
      </c>
      <c r="AH4" s="24" t="s">
        <v>14</v>
      </c>
      <c r="AI4" s="25" t="s">
        <v>30</v>
      </c>
      <c r="AJ4" s="47" t="s">
        <v>10</v>
      </c>
      <c r="AK4" s="26" t="s">
        <v>21</v>
      </c>
      <c r="AL4" s="25" t="s">
        <v>22</v>
      </c>
      <c r="AQ4" s="102" t="s">
        <v>176</v>
      </c>
      <c r="AR4" s="102" t="s">
        <v>178</v>
      </c>
      <c r="AS4" s="102" t="s">
        <v>177</v>
      </c>
      <c r="AY4" s="102" t="s">
        <v>844</v>
      </c>
      <c r="AZ4" s="102" t="s">
        <v>845</v>
      </c>
      <c r="BA4" s="102" t="s">
        <v>185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449</v>
      </c>
      <c r="AZ5" s="103" t="s">
        <v>633</v>
      </c>
      <c r="BA5" s="103" t="s">
        <v>132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448</v>
      </c>
      <c r="AZ6" s="103" t="s">
        <v>634</v>
      </c>
      <c r="BA6" s="103" t="s">
        <v>132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343</v>
      </c>
      <c r="E7" s="38">
        <f>IF(LEFT(VLOOKUP($B7,'Indicator chart'!$D$1:$J$36,5,FALSE),1)=" "," ",VLOOKUP($B7,'Indicator chart'!$D$1:$J$36,5,FALSE))</f>
        <v>0.13589540412044374</v>
      </c>
      <c r="F7" s="38">
        <f>IF(LEFT(VLOOKUP($B7,'Indicator chart'!$D$1:$J$36,6,FALSE),1)=" "," ",VLOOKUP($B7,'Indicator chart'!$D$1:$J$36,6,FALSE))</f>
        <v>0.12307850799521124</v>
      </c>
      <c r="G7" s="38">
        <f>IF(LEFT(VLOOKUP($B7,'Indicator chart'!$D$1:$J$36,7,FALSE),1)=" "," ",VLOOKUP($B7,'Indicator chart'!$D$1:$J$36,7,FALSE))</f>
        <v>0.14981897102404373</v>
      </c>
      <c r="H7" s="50">
        <f aca="true" t="shared" si="0" ref="H7:H31">IF(LEFT(F7,1)=" ",4,IF(AND(ABS(N7-E7)&gt;SQRT((E7-G7)^2+(N7-R7)^2),E7&lt;N7),1,IF(AND(ABS(N7-E7)&gt;SQRT((E7-F7)^2+(N7-S7)^2),E7&gt;N7),3,2)))</f>
        <v>1</v>
      </c>
      <c r="I7" s="300" t="s">
        <v>543</v>
      </c>
      <c r="J7" s="300" t="s">
        <v>551</v>
      </c>
      <c r="K7" s="300" t="s">
        <v>570</v>
      </c>
      <c r="L7" s="300" t="s">
        <v>592</v>
      </c>
      <c r="M7" s="300" t="s">
        <v>613</v>
      </c>
      <c r="N7" s="80">
        <f>VLOOKUP('Hide - Control'!B$3,'All practice data'!A:CA,A7+29,FALSE)</f>
        <v>0.21424181873714346</v>
      </c>
      <c r="O7" s="80">
        <f>VLOOKUP('Hide - Control'!C$3,'All practice data'!A:CA,A7+29,FALSE)</f>
        <v>0.16403398204837302</v>
      </c>
      <c r="P7" s="38">
        <f>VLOOKUP('Hide - Control'!$B$4,'All practice data'!B:BC,A7+2,FALSE)</f>
        <v>116440</v>
      </c>
      <c r="Q7" s="38">
        <f>VLOOKUP('Hide - Control'!$B$4,'All practice data'!B:BC,3,FALSE)</f>
        <v>543498</v>
      </c>
      <c r="R7" s="38">
        <f>+((2*P7+1.96^2-1.96*SQRT(1.96^2+4*P7*(1-P7/Q7)))/(2*(Q7+1.96^2)))</f>
        <v>0.2131530190641224</v>
      </c>
      <c r="S7" s="38">
        <f>+((2*P7+1.96^2+1.96*SQRT(1.96^2+4*P7*(1-P7/Q7)))/(2*(Q7+1.96^2)))</f>
        <v>0.2153346580234468</v>
      </c>
      <c r="T7" s="53" t="str">
        <f>IF($C7=1,M7,I7)</f>
        <v>0.344068706</v>
      </c>
      <c r="U7" s="51" t="str">
        <f aca="true" t="shared" si="1" ref="U7:U15">IF($C7=1,I7,M7)</f>
        <v>0.04467354</v>
      </c>
      <c r="V7" s="7">
        <v>1</v>
      </c>
      <c r="W7" s="27" t="str">
        <f aca="true" t="shared" si="2" ref="W7:W31">IF((K7-I7)&gt;(M7-K7),I7,(K7-(M7-K7)))</f>
        <v>0.04467354</v>
      </c>
      <c r="X7" s="27">
        <f aca="true" t="shared" si="3" ref="X7:X31">IF(W7=I7,K7+(K7-I7),M7)</f>
        <v>0.40023615600000007</v>
      </c>
      <c r="Y7" s="27" t="str">
        <f aca="true" t="shared" si="4" ref="Y7:Y31">IF(C7=1,W7,X7)</f>
        <v>0.04467354</v>
      </c>
      <c r="Z7" s="27">
        <f aca="true" t="shared" si="5" ref="Z7:Z31">IF(C7=1,X7,W7)</f>
        <v>0.40023615600000007</v>
      </c>
      <c r="AA7" s="32">
        <f aca="true" t="shared" si="6" ref="AA7:AA31">IF(ISERROR(IF(C7=1,(I7-$Y7)/($Z7-$Y7),(U7-$Y7)/($Z7-$Y7))),"",IF(C7=1,(I7-$Y7)/($Z7-$Y7),(U7-$Y7)/($Z7-$Y7)))</f>
        <v>0</v>
      </c>
      <c r="AB7" s="33">
        <f aca="true" t="shared" si="7" ref="AB7:AB31">IF(ISERROR(IF(C7=1,(J7-$Y7)/($Z7-$Y7),(L7-$Y7)/($Z7-$Y7))),"",IF(C7=1,(J7-$Y7)/($Z7-$Y7),(L7-$Y7)/($Z7-$Y7)))</f>
        <v>0.378634693136581</v>
      </c>
      <c r="AC7" s="33">
        <v>0.5</v>
      </c>
      <c r="AD7" s="33">
        <f aca="true" t="shared" si="8" ref="AD7:AD31">IF(ISERROR(IF(C7=1,(L7-$Y7)/($Z7-$Y7),(J7-$Y7)/($Z7-$Y7))),"",IF(C7=1,(L7-$Y7)/($Z7-$Y7),(J7-$Y7)/($Z7-$Y7)))</f>
        <v>0.5727908498681986</v>
      </c>
      <c r="AE7" s="33">
        <f aca="true" t="shared" si="9" ref="AE7:AE31">IF(ISERROR(IF(C7=1,(M7-$Y7)/($Z7-$Y7),(I7-$Y7)/($Z7-$Y7))),"",IF(C7=1,(M7-$Y7)/($Z7-$Y7),(I7-$Y7)/($Z7-$Y7)))</f>
        <v>0.8420321837209116</v>
      </c>
      <c r="AF7" s="33">
        <f aca="true" t="shared" si="10" ref="AF7:AF30">IF(E7=" ",-999,IF(H7=4,(E7-$Y7)/($Z7-$Y7),-999))</f>
        <v>-999</v>
      </c>
      <c r="AG7" s="33">
        <f aca="true" t="shared" si="11" ref="AG7:AG31">IF(E7=" ",-999,IF(H7=2,(E7-$Y7)/($Z7-$Y7),-999))</f>
        <v>-999</v>
      </c>
      <c r="AH7" s="33">
        <f aca="true" t="shared" si="12" ref="AH7:AH31">IF(E7=" ",-999,IF(MAX(AK7:AL7)&gt;-999,MAX(AK7:AL7),-999))</f>
        <v>0.2565563982700693</v>
      </c>
      <c r="AI7" s="34">
        <f aca="true" t="shared" si="13" ref="AI7:AI31">IF(ISERROR((O7-$Y7)/($Z7-$Y7)),-999,(O7-$Y7)/($Z7-$Y7))</f>
        <v>0.3356945772059822</v>
      </c>
      <c r="AJ7" s="4">
        <v>2.7020512924389086</v>
      </c>
      <c r="AK7" s="32">
        <f aca="true" t="shared" si="14" ref="AK7:AK31">IF(H7=1,(E7-$Y7)/($Z7-$Y7),-999)</f>
        <v>0.2565563982700693</v>
      </c>
      <c r="AL7" s="34">
        <f aca="true" t="shared" si="15" ref="AL7:AL31">IF(H7=3,(E7-$Y7)/($Z7-$Y7),-999)</f>
        <v>-999</v>
      </c>
      <c r="AQ7" s="103">
        <v>2</v>
      </c>
      <c r="AR7" s="103">
        <v>0.2422</v>
      </c>
      <c r="AS7" s="103">
        <v>7.2247</v>
      </c>
      <c r="AY7" s="103" t="s">
        <v>437</v>
      </c>
      <c r="AZ7" s="103" t="s">
        <v>635</v>
      </c>
      <c r="BA7" s="103" t="s">
        <v>132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0.07004307115701681</v>
      </c>
      <c r="G8" s="38">
        <f>IF(LEFT(VLOOKUP($B8,'Indicator chart'!$D$1:$J$36,7,FALSE),1)=" "," ",VLOOKUP($B8,'Indicator chart'!$D$1:$J$36,7,FALSE))</f>
        <v>0.09123348984269139</v>
      </c>
      <c r="H8" s="50">
        <f t="shared" si="0"/>
        <v>1</v>
      </c>
      <c r="I8" s="300" t="s">
        <v>527</v>
      </c>
      <c r="J8" s="300" t="s">
        <v>529</v>
      </c>
      <c r="K8" s="300" t="s">
        <v>523</v>
      </c>
      <c r="L8" s="300" t="s">
        <v>533</v>
      </c>
      <c r="M8" s="300" t="s">
        <v>526</v>
      </c>
      <c r="N8" s="80">
        <f>VLOOKUP('Hide - Control'!B$3,'All practice data'!A:CA,A8+29,FALSE)</f>
        <v>0.10921784440789108</v>
      </c>
      <c r="O8" s="80">
        <f>VLOOKUP('Hide - Control'!C$3,'All practice data'!A:CA,A8+29,FALSE)</f>
        <v>0.1505521558981159</v>
      </c>
      <c r="P8" s="38">
        <f>VLOOKUP('Hide - Control'!$B$4,'All practice data'!B:BC,A8+2,FALSE)</f>
        <v>59359.679999999986</v>
      </c>
      <c r="Q8" s="38">
        <f>VLOOKUP('Hide - Control'!$B$4,'All practice data'!B:BC,3,FALSE)</f>
        <v>543498</v>
      </c>
      <c r="R8" s="38">
        <f>+((2*P8+1.96^2-1.96*SQRT(1.96^2+4*P8*(1-P8/Q8)))/(2*(Q8+1.96^2)))</f>
        <v>0.10839134691584097</v>
      </c>
      <c r="S8" s="38">
        <f>+((2*P8+1.96^2+1.96*SQRT(1.96^2+4*P8*(1-P8/Q8)))/(2*(Q8+1.96^2)))</f>
        <v>0.11004986618197306</v>
      </c>
      <c r="T8" s="53" t="str">
        <f aca="true" t="shared" si="16" ref="T8:T15">IF($C8=1,M8,I8)</f>
        <v>0.18</v>
      </c>
      <c r="U8" s="51" t="str">
        <f t="shared" si="1"/>
        <v>0.06</v>
      </c>
      <c r="V8" s="7"/>
      <c r="W8" s="27">
        <f t="shared" si="2"/>
        <v>0.020000000000000018</v>
      </c>
      <c r="X8" s="27" t="str">
        <f t="shared" si="3"/>
        <v>0.18</v>
      </c>
      <c r="Y8" s="27">
        <f t="shared" si="4"/>
        <v>0.020000000000000018</v>
      </c>
      <c r="Z8" s="27" t="str">
        <f t="shared" si="5"/>
        <v>0.18</v>
      </c>
      <c r="AA8" s="32">
        <f t="shared" si="6"/>
        <v>0.24999999999999992</v>
      </c>
      <c r="AB8" s="33">
        <f t="shared" si="7"/>
        <v>0.43749999999999994</v>
      </c>
      <c r="AC8" s="33">
        <v>0.5</v>
      </c>
      <c r="AD8" s="33">
        <f t="shared" si="8"/>
        <v>0.625</v>
      </c>
      <c r="AE8" s="33">
        <f t="shared" si="9"/>
        <v>1</v>
      </c>
      <c r="AF8" s="33">
        <f t="shared" si="10"/>
        <v>-999</v>
      </c>
      <c r="AG8" s="33">
        <f t="shared" si="11"/>
        <v>-999</v>
      </c>
      <c r="AH8" s="33">
        <f t="shared" si="12"/>
        <v>0.37499999999999994</v>
      </c>
      <c r="AI8" s="34">
        <f t="shared" si="13"/>
        <v>0.8159509743632244</v>
      </c>
      <c r="AJ8" s="4">
        <v>3.778046717820832</v>
      </c>
      <c r="AK8" s="32">
        <f t="shared" si="14"/>
        <v>0.37499999999999994</v>
      </c>
      <c r="AL8" s="34">
        <f t="shared" si="15"/>
        <v>-999</v>
      </c>
      <c r="AQ8" s="103">
        <v>3</v>
      </c>
      <c r="AR8" s="103">
        <v>0.6187</v>
      </c>
      <c r="AS8" s="103">
        <v>8.7673</v>
      </c>
      <c r="AY8" s="103" t="s">
        <v>451</v>
      </c>
      <c r="AZ8" s="103" t="s">
        <v>636</v>
      </c>
      <c r="BA8" s="103" t="s">
        <v>132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v>
      </c>
      <c r="E9" s="38">
        <f>IF(LEFT(VLOOKUP($B9,'Indicator chart'!$D$1:$J$36,5,FALSE),1)=" "," ",VLOOKUP($B9,'Indicator chart'!$D$1:$J$36,5,FALSE))</f>
        <v>396.19651347068145</v>
      </c>
      <c r="F9" s="38">
        <f>IF(LEFT(VLOOKUP($B9,'Indicator chart'!$D$1:$J$36,6,FALSE),1)=" "," ",VLOOKUP($B9,'Indicator chart'!$D$1:$J$36,6,FALSE))</f>
        <v>189.67433500529324</v>
      </c>
      <c r="G9" s="38">
        <f>IF(LEFT(VLOOKUP($B9,'Indicator chart'!$D$1:$J$36,7,FALSE),1)=" "," ",VLOOKUP($B9,'Indicator chart'!$D$1:$J$36,7,FALSE))</f>
        <v>728.6698444552503</v>
      </c>
      <c r="H9" s="50">
        <f t="shared" si="0"/>
        <v>2</v>
      </c>
      <c r="I9" s="300" t="s">
        <v>524</v>
      </c>
      <c r="J9" s="300" t="s">
        <v>552</v>
      </c>
      <c r="K9" s="300" t="s">
        <v>571</v>
      </c>
      <c r="L9" s="300" t="s">
        <v>593</v>
      </c>
      <c r="M9" s="300" t="s">
        <v>614</v>
      </c>
      <c r="N9" s="80">
        <f>VLOOKUP('Hide - Control'!B$3,'All practice data'!A:CA,A9+29,FALSE)</f>
        <v>591.3545220037608</v>
      </c>
      <c r="O9" s="80">
        <f>VLOOKUP('Hide - Control'!C$3,'All practice data'!A:CA,A9+29,FALSE)</f>
        <v>470.8933116400106</v>
      </c>
      <c r="P9" s="38">
        <f>VLOOKUP('Hide - Control'!$B$4,'All practice data'!B:BC,A9+2,FALSE)</f>
        <v>3214</v>
      </c>
      <c r="Q9" s="38">
        <f>VLOOKUP('Hide - Control'!$B$4,'All practice data'!B:BC,3,FALSE)</f>
        <v>543498</v>
      </c>
      <c r="R9" s="38">
        <f>100000*(P9*(1-1/(9*P9)-1.96/(3*SQRT(P9)))^3)/Q9</f>
        <v>571.0845881067594</v>
      </c>
      <c r="S9" s="38">
        <f>100000*((P9+1)*(1-1/(9*(P9+1))+1.96/(3*SQRT(P9+1)))^3)/Q9</f>
        <v>612.1601745138188</v>
      </c>
      <c r="T9" s="53" t="str">
        <f t="shared" si="16"/>
        <v>1313.320826</v>
      </c>
      <c r="U9" s="51" t="str">
        <f t="shared" si="1"/>
        <v>156.098</v>
      </c>
      <c r="V9" s="7"/>
      <c r="W9" s="27">
        <f t="shared" si="2"/>
        <v>-143.4188878</v>
      </c>
      <c r="X9" s="27" t="str">
        <f t="shared" si="3"/>
        <v>1313.320826</v>
      </c>
      <c r="Y9" s="27">
        <f t="shared" si="4"/>
        <v>-143.4188878</v>
      </c>
      <c r="Z9" s="27" t="str">
        <f t="shared" si="5"/>
        <v>1313.320826</v>
      </c>
      <c r="AA9" s="32">
        <f t="shared" si="6"/>
        <v>0.20560769021577013</v>
      </c>
      <c r="AB9" s="33">
        <f t="shared" si="7"/>
        <v>0.4303332843619218</v>
      </c>
      <c r="AC9" s="33">
        <v>0.5</v>
      </c>
      <c r="AD9" s="33">
        <f t="shared" si="8"/>
        <v>0.570171450006912</v>
      </c>
      <c r="AE9" s="33">
        <f t="shared" si="9"/>
        <v>1</v>
      </c>
      <c r="AF9" s="33">
        <f t="shared" si="10"/>
        <v>-999</v>
      </c>
      <c r="AG9" s="33">
        <f t="shared" si="11"/>
        <v>0.3704267798555857</v>
      </c>
      <c r="AH9" s="33">
        <f t="shared" si="12"/>
        <v>-999</v>
      </c>
      <c r="AI9" s="34">
        <f t="shared" si="13"/>
        <v>0.42170347497257243</v>
      </c>
      <c r="AJ9" s="4">
        <v>4.854042143202755</v>
      </c>
      <c r="AK9" s="32">
        <f t="shared" si="14"/>
        <v>-999</v>
      </c>
      <c r="AL9" s="34">
        <f t="shared" si="15"/>
        <v>-999</v>
      </c>
      <c r="AQ9" s="103">
        <v>4</v>
      </c>
      <c r="AR9" s="103">
        <v>1.0899</v>
      </c>
      <c r="AS9" s="103">
        <v>10.2416</v>
      </c>
      <c r="AY9" s="103" t="s">
        <v>382</v>
      </c>
      <c r="AZ9" s="103" t="s">
        <v>637</v>
      </c>
      <c r="BA9" s="103" t="s">
        <v>132</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519</v>
      </c>
      <c r="J10" s="300" t="s">
        <v>553</v>
      </c>
      <c r="K10" s="300" t="s">
        <v>572</v>
      </c>
      <c r="L10" s="300" t="s">
        <v>594</v>
      </c>
      <c r="M10" s="300" t="s">
        <v>615</v>
      </c>
      <c r="N10" s="80">
        <f>VLOOKUP('Hide - Control'!B$3,'All practice data'!A:CA,A10+29,FALSE)</f>
        <v>284.0856820080295</v>
      </c>
      <c r="O10" s="80">
        <f>VLOOKUP('Hide - Control'!C$3,'All practice data'!A:CA,A10+29,FALSE)</f>
        <v>233.75900261472046</v>
      </c>
      <c r="P10" s="38">
        <f>VLOOKUP('Hide - Control'!$B$4,'All practice data'!B:BC,A10+2,FALSE)</f>
        <v>1544</v>
      </c>
      <c r="Q10" s="38">
        <f>VLOOKUP('Hide - Control'!$B$4,'All practice data'!B:BC,3,FALSE)</f>
        <v>543498</v>
      </c>
      <c r="R10" s="38">
        <f>100000*(P10*(1-1/(9*P10)-1.96/(3*SQRT(P10)))^3)/Q10</f>
        <v>270.0902926477964</v>
      </c>
      <c r="S10" s="38">
        <f>100000*((P10+1)*(1-1/(9*(P10+1))+1.96/(3*SQRT(P10+1)))^3)/Q10</f>
        <v>298.6181849018195</v>
      </c>
      <c r="T10" s="53" t="str">
        <f t="shared" si="16"/>
        <v>703.564728</v>
      </c>
      <c r="U10" s="51" t="str">
        <f t="shared" si="1"/>
        <v>61.6589</v>
      </c>
      <c r="V10" s="7"/>
      <c r="W10" s="27">
        <f t="shared" si="2"/>
        <v>-136.30197099999998</v>
      </c>
      <c r="X10" s="27" t="str">
        <f t="shared" si="3"/>
        <v>703.564728</v>
      </c>
      <c r="Y10" s="27">
        <f t="shared" si="4"/>
        <v>-136.30197099999998</v>
      </c>
      <c r="Z10" s="27" t="str">
        <f t="shared" si="5"/>
        <v>703.564728</v>
      </c>
      <c r="AA10" s="32">
        <f t="shared" si="6"/>
        <v>0.2357051080078602</v>
      </c>
      <c r="AB10" s="33">
        <f t="shared" si="7"/>
        <v>0.4315428942849418</v>
      </c>
      <c r="AC10" s="33">
        <v>0.5</v>
      </c>
      <c r="AD10" s="33">
        <f t="shared" si="8"/>
        <v>0.5911604075874903</v>
      </c>
      <c r="AE10" s="33">
        <f t="shared" si="9"/>
        <v>1</v>
      </c>
      <c r="AF10" s="33">
        <f t="shared" si="10"/>
        <v>-999</v>
      </c>
      <c r="AG10" s="33">
        <f t="shared" si="11"/>
        <v>-999</v>
      </c>
      <c r="AH10" s="33">
        <f t="shared" si="12"/>
        <v>-999</v>
      </c>
      <c r="AI10" s="34">
        <f t="shared" si="13"/>
        <v>0.4406187006287297</v>
      </c>
      <c r="AJ10" s="4">
        <v>5.930037568584676</v>
      </c>
      <c r="AK10" s="32">
        <f t="shared" si="14"/>
        <v>-999</v>
      </c>
      <c r="AL10" s="34">
        <f t="shared" si="15"/>
        <v>-999</v>
      </c>
      <c r="AY10" s="103" t="s">
        <v>450</v>
      </c>
      <c r="AZ10" s="103" t="s">
        <v>638</v>
      </c>
      <c r="BA10" s="103" t="s">
        <v>132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25</v>
      </c>
      <c r="E11" s="38">
        <f>IF(LEFT(VLOOKUP($B11,'Indicator chart'!$D$1:$J$36,5,FALSE),1)=" "," ",VLOOKUP($B11,'Indicator chart'!$D$1:$J$36,5,FALSE))</f>
        <v>0.009899999999999999</v>
      </c>
      <c r="F11" s="38">
        <f>IF(LEFT(VLOOKUP($B11,'Indicator chart'!$D$1:$J$36,6,FALSE),1)=" "," ",VLOOKUP($B11,'Indicator chart'!$D$1:$J$36,6,FALSE))</f>
        <v>0.0067180148890973726</v>
      </c>
      <c r="G11" s="38">
        <f>IF(LEFT(VLOOKUP($B11,'Indicator chart'!$D$1:$J$36,7,FALSE),1)=" "," ",VLOOKUP($B11,'Indicator chart'!$D$1:$J$36,7,FALSE))</f>
        <v>0.014581420961629982</v>
      </c>
      <c r="H11" s="50">
        <f t="shared" si="0"/>
        <v>1</v>
      </c>
      <c r="I11" s="300" t="s">
        <v>538</v>
      </c>
      <c r="J11" s="300" t="s">
        <v>536</v>
      </c>
      <c r="K11" s="300" t="s">
        <v>537</v>
      </c>
      <c r="L11" s="300" t="s">
        <v>595</v>
      </c>
      <c r="M11" s="300" t="s">
        <v>616</v>
      </c>
      <c r="N11" s="80">
        <f>VLOOKUP('Hide - Control'!B$3,'All practice data'!A:CA,A11+29,FALSE)</f>
        <v>0.023968809452840672</v>
      </c>
      <c r="O11" s="80">
        <f>VLOOKUP('Hide - Control'!C$3,'All practice data'!A:CA,A11+29,FALSE)</f>
        <v>0.017736238185113332</v>
      </c>
      <c r="P11" s="38">
        <f>VLOOKUP('Hide - Control'!$B$4,'All practice data'!B:BC,A11+2,FALSE)</f>
        <v>13027</v>
      </c>
      <c r="Q11" s="38">
        <f>VLOOKUP('Hide - Control'!$B$4,'All practice data'!B:BC,3,FALSE)</f>
        <v>543498</v>
      </c>
      <c r="R11" s="80">
        <f aca="true" t="shared" si="17" ref="R11:R16">+((2*P11+1.96^2-1.96*SQRT(1.96^2+4*P11*(1-P11/Q11)))/(2*(Q11+1.96^2)))</f>
        <v>0.023565519724429555</v>
      </c>
      <c r="S11" s="80">
        <f aca="true" t="shared" si="18" ref="S11:S16">+((2*P11+1.96^2+1.96*SQRT(1.96^2+4*P11*(1-P11/Q11)))/(2*(Q11+1.96^2)))</f>
        <v>0.024378828584104305</v>
      </c>
      <c r="T11" s="53" t="str">
        <f t="shared" si="16"/>
        <v>0.0403</v>
      </c>
      <c r="U11" s="51" t="str">
        <f t="shared" si="1"/>
        <v>0.0039</v>
      </c>
      <c r="V11" s="7"/>
      <c r="W11" s="27" t="str">
        <f t="shared" si="2"/>
        <v>0.0039</v>
      </c>
      <c r="X11" s="27">
        <f t="shared" si="3"/>
        <v>0.0452</v>
      </c>
      <c r="Y11" s="27" t="str">
        <f t="shared" si="4"/>
        <v>0.0039</v>
      </c>
      <c r="Z11" s="27">
        <f t="shared" si="5"/>
        <v>0.0452</v>
      </c>
      <c r="AA11" s="32">
        <f t="shared" si="6"/>
        <v>0</v>
      </c>
      <c r="AB11" s="33">
        <f t="shared" si="7"/>
        <v>0.4092009685230024</v>
      </c>
      <c r="AC11" s="33">
        <v>0.5</v>
      </c>
      <c r="AD11" s="33">
        <f t="shared" si="8"/>
        <v>0.5817191283292978</v>
      </c>
      <c r="AE11" s="33">
        <f t="shared" si="9"/>
        <v>0.8813559322033899</v>
      </c>
      <c r="AF11" s="33">
        <f t="shared" si="10"/>
        <v>-999</v>
      </c>
      <c r="AG11" s="33">
        <f t="shared" si="11"/>
        <v>-999</v>
      </c>
      <c r="AH11" s="33">
        <f t="shared" si="12"/>
        <v>0.14527845036319612</v>
      </c>
      <c r="AI11" s="34">
        <f t="shared" si="13"/>
        <v>0.33501787373155767</v>
      </c>
      <c r="AJ11" s="4">
        <v>7.0060329939666</v>
      </c>
      <c r="AK11" s="32">
        <f t="shared" si="14"/>
        <v>0.14527845036319612</v>
      </c>
      <c r="AL11" s="34">
        <f t="shared" si="15"/>
        <v>-999</v>
      </c>
      <c r="AY11" s="103" t="s">
        <v>272</v>
      </c>
      <c r="AZ11" s="103" t="s">
        <v>639</v>
      </c>
      <c r="BA11" s="103" t="s">
        <v>132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150</v>
      </c>
      <c r="E12" s="38">
        <f>IF(LEFT(VLOOKUP($B12,'Indicator chart'!$D$1:$J$36,5,FALSE),1)=" "," ",VLOOKUP($B12,'Indicator chart'!$D$1:$J$36,5,FALSE))</f>
        <v>0.612245</v>
      </c>
      <c r="F12" s="38">
        <f>IF(LEFT(VLOOKUP($B12,'Indicator chart'!$D$1:$J$36,6,FALSE),1)=" "," ",VLOOKUP($B12,'Indicator chart'!$D$1:$J$36,6,FALSE))</f>
        <v>0.5499481788362867</v>
      </c>
      <c r="G12" s="38">
        <f>IF(LEFT(VLOOKUP($B12,'Indicator chart'!$D$1:$J$36,7,FALSE),1)=" "," ",VLOOKUP($B12,'Indicator chart'!$D$1:$J$36,7,FALSE))</f>
        <v>0.6710759586069702</v>
      </c>
      <c r="H12" s="50">
        <f t="shared" si="0"/>
        <v>1</v>
      </c>
      <c r="I12" s="300" t="s">
        <v>544</v>
      </c>
      <c r="J12" s="300" t="s">
        <v>554</v>
      </c>
      <c r="K12" s="300" t="s">
        <v>573</v>
      </c>
      <c r="L12" s="300" t="s">
        <v>596</v>
      </c>
      <c r="M12" s="300" t="s">
        <v>617</v>
      </c>
      <c r="N12" s="80">
        <f>VLOOKUP('Hide - Control'!B$3,'All practice data'!A:CA,A12+29,FALSE)</f>
        <v>0.7648821934945789</v>
      </c>
      <c r="O12" s="80">
        <f>VLOOKUP('Hide - Control'!C$3,'All practice data'!A:CA,A12+29,FALSE)</f>
        <v>0.7246856648259642</v>
      </c>
      <c r="P12" s="38">
        <f>VLOOKUP('Hide - Control'!$B$4,'All practice data'!B:BC,A12+2,FALSE)</f>
        <v>58694</v>
      </c>
      <c r="Q12" s="38">
        <f>VLOOKUP('Hide - Control'!$B$4,'All practice data'!B:BJ,57,FALSE)</f>
        <v>76736</v>
      </c>
      <c r="R12" s="38">
        <f t="shared" si="17"/>
        <v>0.7618684592634093</v>
      </c>
      <c r="S12" s="38">
        <f t="shared" si="18"/>
        <v>0.7678694076961702</v>
      </c>
      <c r="T12" s="53" t="str">
        <f t="shared" si="16"/>
        <v>0.858575</v>
      </c>
      <c r="U12" s="51" t="str">
        <f t="shared" si="1"/>
        <v>0.413534</v>
      </c>
      <c r="V12" s="7"/>
      <c r="W12" s="27" t="str">
        <f t="shared" si="2"/>
        <v>0.413534</v>
      </c>
      <c r="X12" s="27">
        <f t="shared" si="3"/>
        <v>1.098682</v>
      </c>
      <c r="Y12" s="27" t="str">
        <f t="shared" si="4"/>
        <v>0.413534</v>
      </c>
      <c r="Z12" s="27">
        <f t="shared" si="5"/>
        <v>1.098682</v>
      </c>
      <c r="AA12" s="32">
        <f t="shared" si="6"/>
        <v>0</v>
      </c>
      <c r="AB12" s="33">
        <f t="shared" si="7"/>
        <v>0.45585880714823657</v>
      </c>
      <c r="AC12" s="33">
        <v>0.5</v>
      </c>
      <c r="AD12" s="33">
        <f t="shared" si="8"/>
        <v>0.5689610128030733</v>
      </c>
      <c r="AE12" s="33">
        <f t="shared" si="9"/>
        <v>0.649554548798216</v>
      </c>
      <c r="AF12" s="33">
        <f t="shared" si="10"/>
        <v>-999</v>
      </c>
      <c r="AG12" s="33">
        <f t="shared" si="11"/>
        <v>-999</v>
      </c>
      <c r="AH12" s="33">
        <f t="shared" si="12"/>
        <v>0.2900263884591359</v>
      </c>
      <c r="AI12" s="34">
        <f t="shared" si="13"/>
        <v>0.45413788674266614</v>
      </c>
      <c r="AJ12" s="4">
        <v>8.082028419348523</v>
      </c>
      <c r="AK12" s="32">
        <f t="shared" si="14"/>
        <v>0.2900263884591359</v>
      </c>
      <c r="AL12" s="34">
        <f t="shared" si="15"/>
        <v>-999</v>
      </c>
      <c r="AY12" s="103" t="s">
        <v>379</v>
      </c>
      <c r="AZ12" s="103" t="s">
        <v>640</v>
      </c>
      <c r="BA12" s="103" t="s">
        <v>132</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267</v>
      </c>
      <c r="J13" s="300" t="s">
        <v>531</v>
      </c>
      <c r="K13" s="300" t="s">
        <v>574</v>
      </c>
      <c r="L13" s="300" t="s">
        <v>597</v>
      </c>
      <c r="M13" s="300" t="s">
        <v>618</v>
      </c>
      <c r="N13" s="80">
        <f>VLOOKUP('Hide - Control'!B$3,'All practice data'!A:CA,A13+29,FALSE)</f>
        <v>0.782681326691775</v>
      </c>
      <c r="O13" s="80">
        <f>VLOOKUP('Hide - Control'!C$3,'All practice data'!A:CA,A13+29,FALSE)</f>
        <v>0.7425503147315781</v>
      </c>
      <c r="P13" s="38">
        <f>VLOOKUP('Hide - Control'!$B$4,'All practice data'!B:BC,A13+2,FALSE)</f>
        <v>25769</v>
      </c>
      <c r="Q13" s="38">
        <f>VLOOKUP('Hide - Control'!$B$4,'All practice data'!B:BJ,58,FALSE)</f>
        <v>32924</v>
      </c>
      <c r="R13" s="38">
        <f t="shared" si="17"/>
        <v>0.7781935558793215</v>
      </c>
      <c r="S13" s="38">
        <f t="shared" si="18"/>
        <v>0.7871031382107035</v>
      </c>
      <c r="T13" s="53" t="str">
        <f t="shared" si="16"/>
        <v>0.944444</v>
      </c>
      <c r="U13" s="51" t="str">
        <f t="shared" si="1"/>
        <v>0</v>
      </c>
      <c r="V13" s="7"/>
      <c r="W13" s="27" t="str">
        <f t="shared" si="2"/>
        <v>0</v>
      </c>
      <c r="X13" s="27">
        <f t="shared" si="3"/>
        <v>1.292278</v>
      </c>
      <c r="Y13" s="27" t="str">
        <f t="shared" si="4"/>
        <v>0</v>
      </c>
      <c r="Z13" s="27">
        <f t="shared" si="5"/>
        <v>1.292278</v>
      </c>
      <c r="AA13" s="32">
        <f t="shared" si="6"/>
        <v>0</v>
      </c>
      <c r="AB13" s="33">
        <f t="shared" si="7"/>
        <v>0.38691365170652137</v>
      </c>
      <c r="AC13" s="33">
        <v>0.5</v>
      </c>
      <c r="AD13" s="33">
        <f t="shared" si="8"/>
        <v>0.6037940365772689</v>
      </c>
      <c r="AE13" s="33">
        <f t="shared" si="9"/>
        <v>0.7308365537446276</v>
      </c>
      <c r="AF13" s="33">
        <f t="shared" si="10"/>
        <v>-999</v>
      </c>
      <c r="AG13" s="33">
        <f t="shared" si="11"/>
        <v>-999</v>
      </c>
      <c r="AH13" s="33">
        <f t="shared" si="12"/>
        <v>-999</v>
      </c>
      <c r="AI13" s="34">
        <f t="shared" si="13"/>
        <v>0.5746057076972432</v>
      </c>
      <c r="AJ13" s="4">
        <v>9.158023844730446</v>
      </c>
      <c r="AK13" s="32">
        <f t="shared" si="14"/>
        <v>-999</v>
      </c>
      <c r="AL13" s="34">
        <f t="shared" si="15"/>
        <v>-999</v>
      </c>
      <c r="AY13" s="103" t="s">
        <v>273</v>
      </c>
      <c r="AZ13" s="103" t="s">
        <v>641</v>
      </c>
      <c r="BA13" s="103" t="s">
        <v>132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485</v>
      </c>
      <c r="E14" s="38">
        <f>IF(LEFT(VLOOKUP($B14,'Indicator chart'!$D$1:$J$36,5,FALSE),1)=" "," ",VLOOKUP($B14,'Indicator chart'!$D$1:$J$36,5,FALSE))</f>
        <v>0.754277</v>
      </c>
      <c r="F14" s="38">
        <f>IF(LEFT(VLOOKUP($B14,'Indicator chart'!$D$1:$J$36,6,FALSE),1)=" "," ",VLOOKUP($B14,'Indicator chart'!$D$1:$J$36,6,FALSE))</f>
        <v>0.7195546792968698</v>
      </c>
      <c r="G14" s="38">
        <f>IF(LEFT(VLOOKUP($B14,'Indicator chart'!$D$1:$J$36,7,FALSE),1)=" "," ",VLOOKUP($B14,'Indicator chart'!$D$1:$J$36,7,FALSE))</f>
        <v>0.7859786692076173</v>
      </c>
      <c r="H14" s="50">
        <f t="shared" si="0"/>
        <v>2</v>
      </c>
      <c r="I14" s="300" t="s">
        <v>545</v>
      </c>
      <c r="J14" s="300" t="s">
        <v>555</v>
      </c>
      <c r="K14" s="300" t="s">
        <v>575</v>
      </c>
      <c r="L14" s="300" t="s">
        <v>598</v>
      </c>
      <c r="M14" s="300" t="s">
        <v>619</v>
      </c>
      <c r="N14" s="80">
        <f>VLOOKUP('Hide - Control'!B$3,'All practice data'!A:CA,A14+29,FALSE)</f>
        <v>0.784725073429555</v>
      </c>
      <c r="O14" s="80">
        <f>VLOOKUP('Hide - Control'!C$3,'All practice data'!A:CA,A14+29,FALSE)</f>
        <v>0.7530641252748632</v>
      </c>
      <c r="P14" s="38">
        <f>VLOOKUP('Hide - Control'!$B$4,'All practice data'!B:BC,A14+2,FALSE)</f>
        <v>99387</v>
      </c>
      <c r="Q14" s="38">
        <f>VLOOKUP('Hide - Control'!$B$4,'All practice data'!B:BJ,59,FALSE)</f>
        <v>126652</v>
      </c>
      <c r="R14" s="38">
        <f t="shared" si="17"/>
        <v>0.7824528247964391</v>
      </c>
      <c r="S14" s="38">
        <f t="shared" si="18"/>
        <v>0.7869800500627654</v>
      </c>
      <c r="T14" s="53" t="str">
        <f t="shared" si="16"/>
        <v>0.865979</v>
      </c>
      <c r="U14" s="51" t="str">
        <f t="shared" si="1"/>
        <v>0.648026</v>
      </c>
      <c r="V14" s="7"/>
      <c r="W14" s="27" t="str">
        <f t="shared" si="2"/>
        <v>0.648026</v>
      </c>
      <c r="X14" s="27">
        <f t="shared" si="3"/>
        <v>0.925953</v>
      </c>
      <c r="Y14" s="27" t="str">
        <f t="shared" si="4"/>
        <v>0.648026</v>
      </c>
      <c r="Z14" s="27">
        <f t="shared" si="5"/>
        <v>0.925953</v>
      </c>
      <c r="AA14" s="32">
        <f t="shared" si="6"/>
        <v>0</v>
      </c>
      <c r="AB14" s="33">
        <f t="shared" si="7"/>
        <v>0.4164942592839128</v>
      </c>
      <c r="AC14" s="33">
        <v>0.5</v>
      </c>
      <c r="AD14" s="33">
        <f t="shared" si="8"/>
        <v>0.5884962598092305</v>
      </c>
      <c r="AE14" s="33">
        <f t="shared" si="9"/>
        <v>0.7842095226444356</v>
      </c>
      <c r="AF14" s="33">
        <f t="shared" si="10"/>
        <v>-999</v>
      </c>
      <c r="AG14" s="33">
        <f t="shared" si="11"/>
        <v>0.382298229391171</v>
      </c>
      <c r="AH14" s="33">
        <f t="shared" si="12"/>
        <v>-999</v>
      </c>
      <c r="AI14" s="34">
        <f t="shared" si="13"/>
        <v>0.37793422472398586</v>
      </c>
      <c r="AJ14" s="4">
        <v>10.234019270112368</v>
      </c>
      <c r="AK14" s="32">
        <f t="shared" si="14"/>
        <v>-999</v>
      </c>
      <c r="AL14" s="34">
        <f t="shared" si="15"/>
        <v>-999</v>
      </c>
      <c r="AY14" s="103" t="s">
        <v>405</v>
      </c>
      <c r="AZ14" s="103" t="s">
        <v>642</v>
      </c>
      <c r="BA14" s="103" t="s">
        <v>132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125</v>
      </c>
      <c r="E15" s="38">
        <f>IF(LEFT(VLOOKUP($B15,'Indicator chart'!$D$1:$J$36,5,FALSE),1)=" "," ",VLOOKUP($B15,'Indicator chart'!$D$1:$J$36,5,FALSE))</f>
        <v>0.586854</v>
      </c>
      <c r="F15" s="38">
        <f>IF(LEFT(VLOOKUP($B15,'Indicator chart'!$D$1:$J$36,6,FALSE),1)=" "," ",VLOOKUP($B15,'Indicator chart'!$D$1:$J$36,6,FALSE))</f>
        <v>0.5197584158868334</v>
      </c>
      <c r="G15" s="38">
        <f>IF(LEFT(VLOOKUP($B15,'Indicator chart'!$D$1:$J$36,7,FALSE),1)=" "," ",VLOOKUP($B15,'Indicator chart'!$D$1:$J$36,7,FALSE))</f>
        <v>0.6508730496622126</v>
      </c>
      <c r="H15" s="50">
        <f t="shared" si="0"/>
        <v>2</v>
      </c>
      <c r="I15" s="300" t="s">
        <v>546</v>
      </c>
      <c r="J15" s="300" t="s">
        <v>556</v>
      </c>
      <c r="K15" s="300" t="s">
        <v>576</v>
      </c>
      <c r="L15" s="300" t="s">
        <v>599</v>
      </c>
      <c r="M15" s="300" t="s">
        <v>540</v>
      </c>
      <c r="N15" s="80">
        <f>VLOOKUP('Hide - Control'!B$3,'All practice data'!A:CA,A15+29,FALSE)</f>
        <v>0.6214802951281946</v>
      </c>
      <c r="O15" s="80">
        <f>VLOOKUP('Hide - Control'!C$3,'All practice data'!A:CA,A15+29,FALSE)</f>
        <v>0.5744521249276766</v>
      </c>
      <c r="P15" s="38">
        <f>VLOOKUP('Hide - Control'!$B$4,'All practice data'!B:BC,A15+2,FALSE)</f>
        <v>45401</v>
      </c>
      <c r="Q15" s="38">
        <f>VLOOKUP('Hide - Control'!$B$4,'All practice data'!B:BJ,60,FALSE)</f>
        <v>73053</v>
      </c>
      <c r="R15" s="38">
        <f t="shared" si="17"/>
        <v>0.6179568108653796</v>
      </c>
      <c r="S15" s="38">
        <f t="shared" si="18"/>
        <v>0.6249910036210325</v>
      </c>
      <c r="T15" s="53" t="str">
        <f t="shared" si="16"/>
        <v>0.689612</v>
      </c>
      <c r="U15" s="51" t="str">
        <f t="shared" si="1"/>
        <v>0.377551</v>
      </c>
      <c r="V15" s="7"/>
      <c r="W15" s="27" t="str">
        <f t="shared" si="2"/>
        <v>0.377551</v>
      </c>
      <c r="X15" s="27">
        <f t="shared" si="3"/>
        <v>0.849467</v>
      </c>
      <c r="Y15" s="27" t="str">
        <f t="shared" si="4"/>
        <v>0.377551</v>
      </c>
      <c r="Z15" s="27">
        <f t="shared" si="5"/>
        <v>0.849467</v>
      </c>
      <c r="AA15" s="32">
        <f t="shared" si="6"/>
        <v>0</v>
      </c>
      <c r="AB15" s="33">
        <f t="shared" si="7"/>
        <v>0.46845307215690934</v>
      </c>
      <c r="AC15" s="33">
        <v>0.5</v>
      </c>
      <c r="AD15" s="33">
        <f t="shared" si="8"/>
        <v>0.5658904338907772</v>
      </c>
      <c r="AE15" s="33">
        <f t="shared" si="9"/>
        <v>0.6612638689936345</v>
      </c>
      <c r="AF15" s="33">
        <f t="shared" si="10"/>
        <v>-999</v>
      </c>
      <c r="AG15" s="33">
        <f t="shared" si="11"/>
        <v>0.443517490400834</v>
      </c>
      <c r="AH15" s="33">
        <f t="shared" si="12"/>
        <v>-999</v>
      </c>
      <c r="AI15" s="34">
        <f t="shared" si="13"/>
        <v>0.4172376544293404</v>
      </c>
      <c r="AJ15" s="4">
        <v>11.310014695494289</v>
      </c>
      <c r="AK15" s="32">
        <f t="shared" si="14"/>
        <v>-999</v>
      </c>
      <c r="AL15" s="34">
        <f t="shared" si="15"/>
        <v>-999</v>
      </c>
      <c r="AY15" s="103" t="s">
        <v>452</v>
      </c>
      <c r="AZ15" s="103" t="s">
        <v>643</v>
      </c>
      <c r="BA15" s="103" t="s">
        <v>132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55</v>
      </c>
      <c r="E16" s="38">
        <f>IF(LEFT(VLOOKUP($B16,'Indicator chart'!$D$1:$J$36,5,FALSE),1)=" "," ",VLOOKUP($B16,'Indicator chart'!$D$1:$J$36,5,FALSE))</f>
        <v>0.52381</v>
      </c>
      <c r="F16" s="38">
        <f>IF(LEFT(VLOOKUP($B16,'Indicator chart'!$D$1:$J$36,6,FALSE),1)=" "," ",VLOOKUP($B16,'Indicator chart'!$D$1:$J$36,6,FALSE))</f>
        <v>0.4291367039754025</v>
      </c>
      <c r="G16" s="38">
        <f>IF(LEFT(VLOOKUP($B16,'Indicator chart'!$D$1:$J$36,7,FALSE),1)=" "," ",VLOOKUP($B16,'Indicator chart'!$D$1:$J$36,7,FALSE))</f>
        <v>0.6168016137266525</v>
      </c>
      <c r="H16" s="50">
        <f t="shared" si="0"/>
        <v>2</v>
      </c>
      <c r="I16" s="300" t="s">
        <v>542</v>
      </c>
      <c r="J16" s="300" t="s">
        <v>557</v>
      </c>
      <c r="K16" s="300" t="s">
        <v>577</v>
      </c>
      <c r="L16" s="300" t="s">
        <v>600</v>
      </c>
      <c r="M16" s="300" t="s">
        <v>620</v>
      </c>
      <c r="N16" s="80">
        <f>VLOOKUP('Hide - Control'!B$3,'All practice data'!A:CA,A16+29,FALSE)</f>
        <v>0.5872943094401141</v>
      </c>
      <c r="O16" s="80">
        <f>VLOOKUP('Hide - Control'!C$3,'All practice data'!A:CA,A16+29,FALSE)</f>
        <v>0.5565049054289257</v>
      </c>
      <c r="P16" s="38">
        <f>VLOOKUP('Hide - Control'!$B$4,'All practice data'!B:BC,A16+2,FALSE)</f>
        <v>23056</v>
      </c>
      <c r="Q16" s="38">
        <f>VLOOKUP('Hide - Control'!$B$4,'All practice data'!B:BJ,61,FALSE)</f>
        <v>39258</v>
      </c>
      <c r="R16" s="38">
        <f t="shared" si="17"/>
        <v>0.5824158738176801</v>
      </c>
      <c r="S16" s="38">
        <f t="shared" si="18"/>
        <v>0.5921556623274812</v>
      </c>
      <c r="T16" s="53" t="str">
        <f aca="true" t="shared" si="19" ref="T16:T31">IF($C16=1,M16,I16)</f>
        <v>0.668258</v>
      </c>
      <c r="U16" s="51" t="str">
        <f aca="true" t="shared" si="20" ref="U16:U31">IF($C16=1,I16,M16)</f>
        <v>0.365385</v>
      </c>
      <c r="V16" s="7"/>
      <c r="W16" s="27" t="str">
        <f t="shared" si="2"/>
        <v>0.365385</v>
      </c>
      <c r="X16" s="27">
        <f t="shared" si="3"/>
        <v>0.803985</v>
      </c>
      <c r="Y16" s="27" t="str">
        <f t="shared" si="4"/>
        <v>0.365385</v>
      </c>
      <c r="Z16" s="27">
        <f t="shared" si="5"/>
        <v>0.803985</v>
      </c>
      <c r="AA16" s="32">
        <f t="shared" si="6"/>
        <v>0</v>
      </c>
      <c r="AB16" s="33">
        <f t="shared" si="7"/>
        <v>0.4444453944368445</v>
      </c>
      <c r="AC16" s="33">
        <v>0.5</v>
      </c>
      <c r="AD16" s="33">
        <f t="shared" si="8"/>
        <v>0.5605266757865938</v>
      </c>
      <c r="AE16" s="33">
        <f t="shared" si="9"/>
        <v>0.690544915640675</v>
      </c>
      <c r="AF16" s="33">
        <f t="shared" si="10"/>
        <v>-999</v>
      </c>
      <c r="AG16" s="33">
        <f t="shared" si="11"/>
        <v>0.3612061103511172</v>
      </c>
      <c r="AH16" s="33">
        <f t="shared" si="12"/>
        <v>-999</v>
      </c>
      <c r="AI16" s="34">
        <f t="shared" si="13"/>
        <v>0.43574989837876366</v>
      </c>
      <c r="AJ16" s="4">
        <v>12.386010120876215</v>
      </c>
      <c r="AK16" s="32">
        <f t="shared" si="14"/>
        <v>-999</v>
      </c>
      <c r="AL16" s="34">
        <f t="shared" si="15"/>
        <v>-999</v>
      </c>
      <c r="AY16" s="103" t="s">
        <v>348</v>
      </c>
      <c r="AZ16" s="103" t="s">
        <v>644</v>
      </c>
      <c r="BA16" s="103" t="s">
        <v>132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50</v>
      </c>
      <c r="E17" s="38">
        <f>IF(LEFT(VLOOKUP($B17,'Indicator chart'!$D$1:$J$36,5,FALSE),1)=" "," ",VLOOKUP($B17,'Indicator chart'!$D$1:$J$36,5,FALSE))</f>
        <v>1980.9825673534074</v>
      </c>
      <c r="F17" s="38">
        <f>IF(LEFT(VLOOKUP($B17,'Indicator chart'!$D$1:$J$36,6,FALSE),1)=" "," ",VLOOKUP($B17,'Indicator chart'!$D$1:$J$36,6,FALSE))</f>
        <v>1470.2017295180133</v>
      </c>
      <c r="G17" s="38">
        <f>IF(LEFT(VLOOKUP($B17,'Indicator chart'!$D$1:$J$36,7,FALSE),1)=" "," ",VLOOKUP($B17,'Indicator chart'!$D$1:$J$36,7,FALSE))</f>
        <v>2611.7457165671826</v>
      </c>
      <c r="H17" s="50">
        <f t="shared" si="0"/>
        <v>2</v>
      </c>
      <c r="I17" s="300" t="s">
        <v>547</v>
      </c>
      <c r="J17" s="300" t="s">
        <v>558</v>
      </c>
      <c r="K17" s="300" t="s">
        <v>578</v>
      </c>
      <c r="L17" s="300" t="s">
        <v>601</v>
      </c>
      <c r="M17" s="300" t="s">
        <v>621</v>
      </c>
      <c r="N17" s="80">
        <f>VLOOKUP('Hide - Control'!B$3,'All practice data'!A:CA,A17+29,FALSE)</f>
        <v>2587.130035437113</v>
      </c>
      <c r="O17" s="80">
        <f>VLOOKUP('Hide - Control'!C$3,'All practice data'!A:CA,A17+29,FALSE)</f>
        <v>1981.9429445600304</v>
      </c>
      <c r="P17" s="38">
        <f>VLOOKUP('Hide - Control'!$B$4,'All practice data'!B:BC,A17+2,FALSE)</f>
        <v>14061</v>
      </c>
      <c r="Q17" s="38">
        <f>VLOOKUP('Hide - Control'!$B$4,'All practice data'!B:BC,3,FALSE)</f>
        <v>543498</v>
      </c>
      <c r="R17" s="38">
        <f>100000*(P17*(1-1/(9*P17)-1.96/(3*SQRT(P17)))^3)/Q17</f>
        <v>2544.5417466636472</v>
      </c>
      <c r="S17" s="38">
        <f>100000*((P17+1)*(1-1/(9*(P17+1))+1.96/(3*SQRT(P17+1)))^3)/Q17</f>
        <v>2630.2523923133635</v>
      </c>
      <c r="T17" s="53" t="str">
        <f t="shared" si="19"/>
        <v>4091.025313</v>
      </c>
      <c r="U17" s="51" t="str">
        <f t="shared" si="20"/>
        <v>1133.989854</v>
      </c>
      <c r="V17" s="7"/>
      <c r="W17" s="27">
        <f t="shared" si="2"/>
        <v>1045.0741150000003</v>
      </c>
      <c r="X17" s="27" t="str">
        <f t="shared" si="3"/>
        <v>4091.025313</v>
      </c>
      <c r="Y17" s="27">
        <f t="shared" si="4"/>
        <v>1045.0741150000003</v>
      </c>
      <c r="Z17" s="27" t="str">
        <f t="shared" si="5"/>
        <v>4091.025313</v>
      </c>
      <c r="AA17" s="32">
        <f t="shared" si="6"/>
        <v>0.0291914522656773</v>
      </c>
      <c r="AB17" s="33">
        <f t="shared" si="7"/>
        <v>0.36019171538939404</v>
      </c>
      <c r="AC17" s="33">
        <v>0.5</v>
      </c>
      <c r="AD17" s="33">
        <f t="shared" si="8"/>
        <v>0.6136370852649491</v>
      </c>
      <c r="AE17" s="33">
        <f t="shared" si="9"/>
        <v>1</v>
      </c>
      <c r="AF17" s="33">
        <f t="shared" si="10"/>
        <v>-999</v>
      </c>
      <c r="AG17" s="33">
        <f t="shared" si="11"/>
        <v>0.30726311471041734</v>
      </c>
      <c r="AH17" s="33">
        <f t="shared" si="12"/>
        <v>-999</v>
      </c>
      <c r="AI17" s="34">
        <f t="shared" si="13"/>
        <v>0.30757841103140027</v>
      </c>
      <c r="AJ17" s="4">
        <v>13.462005546258133</v>
      </c>
      <c r="AK17" s="32">
        <f t="shared" si="14"/>
        <v>-999</v>
      </c>
      <c r="AL17" s="34">
        <f t="shared" si="15"/>
        <v>-999</v>
      </c>
      <c r="AY17" s="103" t="s">
        <v>347</v>
      </c>
      <c r="AZ17" s="103" t="s">
        <v>645</v>
      </c>
      <c r="BA17" s="103" t="s">
        <v>132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50</v>
      </c>
      <c r="E18" s="80">
        <f>IF(LEFT(VLOOKUP($B18,'Indicator chart'!$D$1:$J$36,5,FALSE),1)=" "," ",VLOOKUP($B18,'Indicator chart'!$D$1:$J$36,5,FALSE))</f>
        <v>1.1336</v>
      </c>
      <c r="F18" s="81">
        <f>IF(LEFT(VLOOKUP($B18,'Indicator chart'!$D$1:$J$36,6,FALSE),1)=" "," ",VLOOKUP($B18,'Indicator chart'!$D$1:$J$36,6,FALSE))</f>
        <v>0.8414</v>
      </c>
      <c r="G18" s="38">
        <f>IF(LEFT(VLOOKUP($B18,'Indicator chart'!$D$1:$J$36,7,FALSE),1)=" "," ",VLOOKUP($B18,'Indicator chart'!$D$1:$J$36,7,FALSE))</f>
        <v>1.4945</v>
      </c>
      <c r="H18" s="50">
        <f>IF(LEFT(F18,1)=" ",4,IF(AND(ABS(N18-E18)&gt;SQRT((E18-G18)^2+(N18-R18)^2),E18&lt;N18),1,IF(AND(ABS(N18-E18)&gt;SQRT((E18-F18)^2+(N18-S18)^2),E18&gt;N18),3,2)))</f>
        <v>2</v>
      </c>
      <c r="I18" s="300" t="s">
        <v>548</v>
      </c>
      <c r="J18" s="300"/>
      <c r="K18" s="300" t="s">
        <v>268</v>
      </c>
      <c r="L18" s="300"/>
      <c r="M18" s="300" t="s">
        <v>622</v>
      </c>
      <c r="N18" s="80">
        <v>1</v>
      </c>
      <c r="O18" s="80">
        <f>VLOOKUP('Hide - Control'!C$3,'All practice data'!A:CA,A18+29,FALSE)</f>
        <v>1</v>
      </c>
      <c r="P18" s="38">
        <f>VLOOKUP('Hide - Control'!$B$4,'All practice data'!B:BC,A18+2,FALSE)</f>
        <v>14061</v>
      </c>
      <c r="Q18" s="38">
        <f>VLOOKUP('Hide - Control'!$B$4,'All practice data'!B:BC,14,FALSE)</f>
        <v>14061</v>
      </c>
      <c r="R18" s="81">
        <v>1</v>
      </c>
      <c r="S18" s="38">
        <v>1</v>
      </c>
      <c r="T18" s="53" t="str">
        <f t="shared" si="19"/>
        <v>1.97</v>
      </c>
      <c r="U18" s="51" t="str">
        <f t="shared" si="20"/>
        <v>0.5036</v>
      </c>
      <c r="V18" s="7"/>
      <c r="W18" s="27">
        <f>IF((K18-I18)&gt;(M18-K18),I18,(K18-(M18-K18)))</f>
        <v>0.030000000000000027</v>
      </c>
      <c r="X18" s="27" t="str">
        <f t="shared" si="3"/>
        <v>1.97</v>
      </c>
      <c r="Y18" s="27">
        <f t="shared" si="4"/>
        <v>0.030000000000000027</v>
      </c>
      <c r="Z18" s="27" t="str">
        <f t="shared" si="5"/>
        <v>1.97</v>
      </c>
      <c r="AA18" s="32" t="s">
        <v>132</v>
      </c>
      <c r="AB18" s="33" t="s">
        <v>132</v>
      </c>
      <c r="AC18" s="33">
        <v>0.5</v>
      </c>
      <c r="AD18" s="33" t="s">
        <v>132</v>
      </c>
      <c r="AE18" s="33" t="s">
        <v>132</v>
      </c>
      <c r="AF18" s="33">
        <f t="shared" si="10"/>
        <v>-999</v>
      </c>
      <c r="AG18" s="33">
        <f t="shared" si="11"/>
        <v>0.5688659793814432</v>
      </c>
      <c r="AH18" s="33">
        <f t="shared" si="12"/>
        <v>-999</v>
      </c>
      <c r="AI18" s="34">
        <v>0.5</v>
      </c>
      <c r="AJ18" s="4">
        <v>14.538000971640056</v>
      </c>
      <c r="AK18" s="32">
        <f t="shared" si="14"/>
        <v>-999</v>
      </c>
      <c r="AL18" s="34">
        <f t="shared" si="15"/>
        <v>-999</v>
      </c>
      <c r="AY18" s="103" t="s">
        <v>353</v>
      </c>
      <c r="AZ18" s="103" t="s">
        <v>646</v>
      </c>
      <c r="BA18" s="103" t="s">
        <v>132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0.16</v>
      </c>
      <c r="F19" s="38">
        <f>IF(LEFT(VLOOKUP($B19,'Indicator chart'!$D$1:$J$36,6,FALSE),1)=" "," ",VLOOKUP($B19,'Indicator chart'!$D$1:$J$36,6,FALSE))</f>
        <v>0.08337321362087696</v>
      </c>
      <c r="G19" s="38">
        <f>IF(LEFT(VLOOKUP($B19,'Indicator chart'!$D$1:$J$36,7,FALSE),1)=" "," ",VLOOKUP($B19,'Indicator chart'!$D$1:$J$36,7,FALSE))</f>
        <v>0.28514480961765976</v>
      </c>
      <c r="H19" s="50">
        <f t="shared" si="0"/>
        <v>2</v>
      </c>
      <c r="I19" s="300" t="s">
        <v>520</v>
      </c>
      <c r="J19" s="300" t="s">
        <v>559</v>
      </c>
      <c r="K19" s="300" t="s">
        <v>579</v>
      </c>
      <c r="L19" s="300" t="s">
        <v>602</v>
      </c>
      <c r="M19" s="300" t="s">
        <v>623</v>
      </c>
      <c r="N19" s="80">
        <f>VLOOKUP('Hide - Control'!B$3,'All practice data'!A:CA,A19+29,FALSE)</f>
        <v>0.11983500462271532</v>
      </c>
      <c r="O19" s="80">
        <f>VLOOKUP('Hide - Control'!C$3,'All practice data'!A:CA,A19+29,FALSE)</f>
        <v>0.10567469035419712</v>
      </c>
      <c r="P19" s="38">
        <f>VLOOKUP('Hide - Control'!$B$4,'All practice data'!B:BC,A19+2,FALSE)</f>
        <v>1685</v>
      </c>
      <c r="Q19" s="38">
        <f>VLOOKUP('Hide - Control'!$B$4,'All practice data'!B:BC,15,FALSE)</f>
        <v>14061</v>
      </c>
      <c r="R19" s="38">
        <f>+((2*P19+1.96^2-1.96*SQRT(1.96^2+4*P19*(1-P19/Q19)))/(2*(Q19+1.96^2)))</f>
        <v>0.11457045420093134</v>
      </c>
      <c r="S19" s="38">
        <f>+((2*P19+1.96^2+1.96*SQRT(1.96^2+4*P19*(1-P19/Q19)))/(2*(Q19+1.96^2)))</f>
        <v>0.12530722774893152</v>
      </c>
      <c r="T19" s="53" t="str">
        <f t="shared" si="19"/>
        <v>0.229358</v>
      </c>
      <c r="U19" s="51" t="str">
        <f t="shared" si="20"/>
        <v>0.0302492</v>
      </c>
      <c r="V19" s="7"/>
      <c r="W19" s="27">
        <f t="shared" si="2"/>
        <v>0.015897997999999997</v>
      </c>
      <c r="X19" s="27" t="str">
        <f t="shared" si="3"/>
        <v>0.229358</v>
      </c>
      <c r="Y19" s="27">
        <f t="shared" si="4"/>
        <v>0.015897997999999997</v>
      </c>
      <c r="Z19" s="27" t="str">
        <f t="shared" si="5"/>
        <v>0.229358</v>
      </c>
      <c r="AA19" s="32">
        <f t="shared" si="6"/>
        <v>0.06723134013650016</v>
      </c>
      <c r="AB19" s="33">
        <f t="shared" si="7"/>
        <v>0.3689064755091682</v>
      </c>
      <c r="AC19" s="33">
        <v>0.5</v>
      </c>
      <c r="AD19" s="33">
        <f t="shared" si="8"/>
        <v>0.6032664892413896</v>
      </c>
      <c r="AE19" s="33">
        <f t="shared" si="9"/>
        <v>1</v>
      </c>
      <c r="AF19" s="33">
        <f t="shared" si="10"/>
        <v>-999</v>
      </c>
      <c r="AG19" s="33">
        <f t="shared" si="11"/>
        <v>0.6750773008987416</v>
      </c>
      <c r="AH19" s="33">
        <f t="shared" si="12"/>
        <v>-999</v>
      </c>
      <c r="AI19" s="34">
        <f t="shared" si="13"/>
        <v>0.42057852296936227</v>
      </c>
      <c r="AJ19" s="4">
        <v>15.61399639702198</v>
      </c>
      <c r="AK19" s="32">
        <f t="shared" si="14"/>
        <v>-999</v>
      </c>
      <c r="AL19" s="34">
        <f t="shared" si="15"/>
        <v>-999</v>
      </c>
      <c r="AY19" s="103" t="s">
        <v>354</v>
      </c>
      <c r="AZ19" s="103" t="s">
        <v>647</v>
      </c>
      <c r="BA19" s="103" t="s">
        <v>132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15</v>
      </c>
      <c r="E20" s="38">
        <f>IF(LEFT(VLOOKUP($B20,'Indicator chart'!$D$1:$J$36,5,FALSE),1)=" "," ",VLOOKUP($B20,'Indicator chart'!$D$1:$J$36,5,FALSE))</f>
        <v>0.5333333333333333</v>
      </c>
      <c r="F20" s="38">
        <f>IF(LEFT(VLOOKUP($B20,'Indicator chart'!$D$1:$J$36,6,FALSE),1)=" "," ",VLOOKUP($B20,'Indicator chart'!$D$1:$J$36,6,FALSE))</f>
        <v>0.3011663015105079</v>
      </c>
      <c r="G20" s="38">
        <f>IF(LEFT(VLOOKUP($B20,'Indicator chart'!$D$1:$J$36,7,FALSE),1)=" "," ",VLOOKUP($B20,'Indicator chart'!$D$1:$J$36,7,FALSE))</f>
        <v>0.7519077474025355</v>
      </c>
      <c r="H20" s="50">
        <f t="shared" si="0"/>
        <v>2</v>
      </c>
      <c r="I20" s="300" t="s">
        <v>521</v>
      </c>
      <c r="J20" s="300" t="s">
        <v>541</v>
      </c>
      <c r="K20" s="300" t="s">
        <v>580</v>
      </c>
      <c r="L20" s="300" t="s">
        <v>603</v>
      </c>
      <c r="M20" s="300" t="s">
        <v>534</v>
      </c>
      <c r="N20" s="80">
        <f>VLOOKUP('Hide - Control'!B$3,'All practice data'!A:CA,A20+29,FALSE)</f>
        <v>0.5066145520144317</v>
      </c>
      <c r="O20" s="80">
        <f>VLOOKUP('Hide - Control'!C$3,'All practice data'!A:CA,A20+29,FALSE)</f>
        <v>0.46478295325177904</v>
      </c>
      <c r="P20" s="38">
        <f>VLOOKUP('Hide - Control'!$B$4,'All practice data'!B:BC,A20+1,FALSE)</f>
        <v>1685</v>
      </c>
      <c r="Q20" s="38">
        <f>VLOOKUP('Hide - Control'!$B$4,'All practice data'!B:BC,A20+2,FALSE)</f>
        <v>3326</v>
      </c>
      <c r="R20" s="38">
        <f>+((2*P20+1.96^2-1.96*SQRT(1.96^2+4*P20*(1-P20/Q20)))/(2*(Q20+1.96^2)))</f>
        <v>0.4896254100638849</v>
      </c>
      <c r="S20" s="38">
        <f>+((2*P20+1.96^2+1.96*SQRT(1.96^2+4*P20*(1-P20/Q20)))/(2*(Q20+1.96^2)))</f>
        <v>0.5235884316996392</v>
      </c>
      <c r="T20" s="53" t="str">
        <f t="shared" si="19"/>
        <v>0.692308</v>
      </c>
      <c r="U20" s="51" t="str">
        <f t="shared" si="20"/>
        <v>0.148231</v>
      </c>
      <c r="V20" s="7"/>
      <c r="W20" s="27" t="str">
        <f t="shared" si="2"/>
        <v>0.148231</v>
      </c>
      <c r="X20" s="27">
        <f t="shared" si="3"/>
        <v>0.902014098</v>
      </c>
      <c r="Y20" s="27" t="str">
        <f t="shared" si="4"/>
        <v>0.148231</v>
      </c>
      <c r="Z20" s="27">
        <f t="shared" si="5"/>
        <v>0.902014098</v>
      </c>
      <c r="AA20" s="32">
        <f t="shared" si="6"/>
        <v>0</v>
      </c>
      <c r="AB20" s="33">
        <f t="shared" si="7"/>
        <v>0.38976462430575753</v>
      </c>
      <c r="AC20" s="33">
        <v>0.5</v>
      </c>
      <c r="AD20" s="33">
        <f t="shared" si="8"/>
        <v>0.5632538048763731</v>
      </c>
      <c r="AE20" s="33">
        <f t="shared" si="9"/>
        <v>0.7217951708436955</v>
      </c>
      <c r="AF20" s="33">
        <f t="shared" si="10"/>
        <v>-999</v>
      </c>
      <c r="AG20" s="33">
        <f t="shared" si="11"/>
        <v>0.510892767899836</v>
      </c>
      <c r="AH20" s="33">
        <f t="shared" si="12"/>
        <v>-999</v>
      </c>
      <c r="AI20" s="34">
        <f t="shared" si="13"/>
        <v>0.4199509833686654</v>
      </c>
      <c r="AJ20" s="4">
        <v>16.689991822403904</v>
      </c>
      <c r="AK20" s="32">
        <f t="shared" si="14"/>
        <v>-999</v>
      </c>
      <c r="AL20" s="34">
        <f t="shared" si="15"/>
        <v>-999</v>
      </c>
      <c r="AY20" s="103" t="s">
        <v>356</v>
      </c>
      <c r="AZ20" s="103" t="s">
        <v>648</v>
      </c>
      <c r="BA20" s="103" t="s">
        <v>132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396.19651347068145</v>
      </c>
      <c r="F21" s="38">
        <f>IF(LEFT(VLOOKUP($B21,'Indicator chart'!$D$1:$J$36,6,FALSE),1)=" "," ",VLOOKUP($B21,'Indicator chart'!$D$1:$J$36,6,FALSE))</f>
        <v>189.67433500529324</v>
      </c>
      <c r="G21" s="38">
        <f>IF(LEFT(VLOOKUP($B21,'Indicator chart'!$D$1:$J$36,7,FALSE),1)=" "," ",VLOOKUP($B21,'Indicator chart'!$D$1:$J$36,7,FALSE))</f>
        <v>728.6698444552503</v>
      </c>
      <c r="H21" s="50">
        <f t="shared" si="0"/>
        <v>2</v>
      </c>
      <c r="I21" s="300" t="s">
        <v>522</v>
      </c>
      <c r="J21" s="300" t="s">
        <v>560</v>
      </c>
      <c r="K21" s="300" t="s">
        <v>581</v>
      </c>
      <c r="L21" s="300" t="s">
        <v>604</v>
      </c>
      <c r="M21" s="300" t="s">
        <v>624</v>
      </c>
      <c r="N21" s="80">
        <f>VLOOKUP('Hide - Control'!B$3,'All practice data'!A:CA,A21+29,FALSE)</f>
        <v>430.1763759940239</v>
      </c>
      <c r="O21" s="80">
        <f>VLOOKUP('Hide - Control'!C$3,'All practice data'!A:CA,A21+29,FALSE)</f>
        <v>371.7205735004512</v>
      </c>
      <c r="P21" s="38">
        <f>VLOOKUP('Hide - Control'!$B$4,'All practice data'!B:BC,A21+2,FALSE)</f>
        <v>2338</v>
      </c>
      <c r="Q21" s="38">
        <f>VLOOKUP('Hide - Control'!$B$4,'All practice data'!B:BC,3,FALSE)</f>
        <v>543498</v>
      </c>
      <c r="R21" s="38">
        <f aca="true" t="shared" si="21" ref="R21:R27">100000*(P21*(1-1/(9*P21)-1.96/(3*SQRT(P21)))^3)/Q21</f>
        <v>412.91389678540975</v>
      </c>
      <c r="S21" s="38">
        <f aca="true" t="shared" si="22" ref="S21:S27">100000*((P21+1)*(1-1/(9*(P21+1))+1.96/(3*SQRT(P21+1)))^3)/Q21</f>
        <v>447.9751177436354</v>
      </c>
      <c r="T21" s="53" t="str">
        <f t="shared" si="19"/>
        <v>702.202362</v>
      </c>
      <c r="U21" s="51" t="str">
        <f t="shared" si="20"/>
        <v>91.7192</v>
      </c>
      <c r="V21" s="7"/>
      <c r="W21" s="27" t="str">
        <f t="shared" si="2"/>
        <v>91.7192</v>
      </c>
      <c r="X21" s="27">
        <f t="shared" si="3"/>
        <v>773.0673734</v>
      </c>
      <c r="Y21" s="27" t="str">
        <f t="shared" si="4"/>
        <v>91.7192</v>
      </c>
      <c r="Z21" s="27">
        <f t="shared" si="5"/>
        <v>773.0673734</v>
      </c>
      <c r="AA21" s="32">
        <f t="shared" si="6"/>
        <v>0</v>
      </c>
      <c r="AB21" s="33">
        <f t="shared" si="7"/>
        <v>0.38783674341028185</v>
      </c>
      <c r="AC21" s="33">
        <v>0.5</v>
      </c>
      <c r="AD21" s="33">
        <f t="shared" si="8"/>
        <v>0.6315323050662779</v>
      </c>
      <c r="AE21" s="33">
        <f t="shared" si="9"/>
        <v>0.895992953138223</v>
      </c>
      <c r="AF21" s="33">
        <f t="shared" si="10"/>
        <v>-999</v>
      </c>
      <c r="AG21" s="33">
        <f t="shared" si="11"/>
        <v>0.44687477762112027</v>
      </c>
      <c r="AH21" s="33">
        <f t="shared" si="12"/>
        <v>-999</v>
      </c>
      <c r="AI21" s="34">
        <f t="shared" si="13"/>
        <v>0.4109519690985808</v>
      </c>
      <c r="AJ21" s="4">
        <v>17.765987247785823</v>
      </c>
      <c r="AK21" s="32">
        <f t="shared" si="14"/>
        <v>-999</v>
      </c>
      <c r="AL21" s="34">
        <f t="shared" si="15"/>
        <v>-999</v>
      </c>
      <c r="AY21" s="103" t="s">
        <v>349</v>
      </c>
      <c r="AZ21" s="103" t="s">
        <v>649</v>
      </c>
      <c r="BA21" s="103" t="s">
        <v>132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237.71790808240888</v>
      </c>
      <c r="F22" s="38">
        <f>IF(LEFT(VLOOKUP($B22,'Indicator chart'!$D$1:$J$36,6,FALSE),1)=" "," ",VLOOKUP($B22,'Indicator chart'!$D$1:$J$36,6,FALSE))</f>
        <v>86.80430826797462</v>
      </c>
      <c r="G22" s="38">
        <f>IF(LEFT(VLOOKUP($B22,'Indicator chart'!$D$1:$J$36,7,FALSE),1)=" "," ",VLOOKUP($B22,'Indicator chart'!$D$1:$J$36,7,FALSE))</f>
        <v>517.4284971742377</v>
      </c>
      <c r="H22" s="50">
        <f t="shared" si="0"/>
        <v>2</v>
      </c>
      <c r="I22" s="300" t="s">
        <v>513</v>
      </c>
      <c r="J22" s="300" t="s">
        <v>561</v>
      </c>
      <c r="K22" s="300" t="s">
        <v>582</v>
      </c>
      <c r="L22" s="300" t="s">
        <v>605</v>
      </c>
      <c r="M22" s="300" t="s">
        <v>625</v>
      </c>
      <c r="N22" s="80">
        <f>VLOOKUP('Hide - Control'!B$3,'All practice data'!A:CA,A22+29,FALSE)</f>
        <v>464.5831263408513</v>
      </c>
      <c r="O22" s="80">
        <f>VLOOKUP('Hide - Control'!C$3,'All practice data'!A:CA,A22+29,FALSE)</f>
        <v>335.00369307827617</v>
      </c>
      <c r="P22" s="38">
        <f>VLOOKUP('Hide - Control'!$B$4,'All practice data'!B:BC,A22+2,FALSE)</f>
        <v>2525</v>
      </c>
      <c r="Q22" s="38">
        <f>VLOOKUP('Hide - Control'!$B$4,'All practice data'!B:BC,3,FALSE)</f>
        <v>543498</v>
      </c>
      <c r="R22" s="38">
        <f t="shared" si="21"/>
        <v>446.63669326590224</v>
      </c>
      <c r="S22" s="38">
        <f t="shared" si="22"/>
        <v>483.0656824686242</v>
      </c>
      <c r="T22" s="53" t="str">
        <f t="shared" si="19"/>
        <v>808.6253369</v>
      </c>
      <c r="U22" s="51" t="str">
        <f t="shared" si="20"/>
        <v>46.7199</v>
      </c>
      <c r="V22" s="7"/>
      <c r="W22" s="27" t="str">
        <f t="shared" si="2"/>
        <v>46.7199</v>
      </c>
      <c r="X22" s="27">
        <f t="shared" si="3"/>
        <v>839.6968655999999</v>
      </c>
      <c r="Y22" s="27" t="str">
        <f t="shared" si="4"/>
        <v>46.7199</v>
      </c>
      <c r="Z22" s="27">
        <f t="shared" si="5"/>
        <v>839.6968655999999</v>
      </c>
      <c r="AA22" s="32">
        <f t="shared" si="6"/>
        <v>0</v>
      </c>
      <c r="AB22" s="33">
        <f t="shared" si="7"/>
        <v>0.37466632120291193</v>
      </c>
      <c r="AC22" s="33">
        <v>0.5</v>
      </c>
      <c r="AD22" s="33">
        <f t="shared" si="8"/>
        <v>0.6495043521349922</v>
      </c>
      <c r="AE22" s="33">
        <f t="shared" si="9"/>
        <v>0.9608166062219854</v>
      </c>
      <c r="AF22" s="33">
        <f t="shared" si="10"/>
        <v>-999</v>
      </c>
      <c r="AG22" s="33">
        <f t="shared" si="11"/>
        <v>0.24086198763401875</v>
      </c>
      <c r="AH22" s="33">
        <f t="shared" si="12"/>
        <v>-999</v>
      </c>
      <c r="AI22" s="34">
        <f t="shared" si="13"/>
        <v>0.36354623852175644</v>
      </c>
      <c r="AJ22" s="4">
        <v>18.841982673167745</v>
      </c>
      <c r="AK22" s="32">
        <f t="shared" si="14"/>
        <v>-999</v>
      </c>
      <c r="AL22" s="34">
        <f t="shared" si="15"/>
        <v>-999</v>
      </c>
      <c r="AY22" s="103" t="s">
        <v>358</v>
      </c>
      <c r="AZ22" s="103" t="s">
        <v>650</v>
      </c>
      <c r="BA22" s="103" t="s">
        <v>132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514</v>
      </c>
      <c r="J23" s="300" t="s">
        <v>562</v>
      </c>
      <c r="K23" s="300" t="s">
        <v>583</v>
      </c>
      <c r="L23" s="300" t="s">
        <v>606</v>
      </c>
      <c r="M23" s="300" t="s">
        <v>626</v>
      </c>
      <c r="N23" s="80">
        <f>VLOOKUP('Hide - Control'!B$3,'All practice data'!A:CA,A23+29,FALSE)</f>
        <v>82.06101954377017</v>
      </c>
      <c r="O23" s="80">
        <f>VLOOKUP('Hide - Control'!C$3,'All practice data'!A:CA,A23+29,FALSE)</f>
        <v>77.58854188249504</v>
      </c>
      <c r="P23" s="38">
        <f>VLOOKUP('Hide - Control'!$B$4,'All practice data'!B:BC,A23+2,FALSE)</f>
        <v>446</v>
      </c>
      <c r="Q23" s="38">
        <f>VLOOKUP('Hide - Control'!$B$4,'All practice data'!B:BC,3,FALSE)</f>
        <v>543498</v>
      </c>
      <c r="R23" s="38">
        <f t="shared" si="21"/>
        <v>74.62064349175024</v>
      </c>
      <c r="S23" s="38">
        <f t="shared" si="22"/>
        <v>90.04239394785756</v>
      </c>
      <c r="T23" s="53" t="str">
        <f t="shared" si="19"/>
        <v>234.9716076</v>
      </c>
      <c r="U23" s="51" t="str">
        <f t="shared" si="20"/>
        <v>4.27442</v>
      </c>
      <c r="V23" s="7"/>
      <c r="W23" s="27">
        <f t="shared" si="2"/>
        <v>-94.21107803999999</v>
      </c>
      <c r="X23" s="27" t="str">
        <f t="shared" si="3"/>
        <v>234.9716076</v>
      </c>
      <c r="Y23" s="27">
        <f t="shared" si="4"/>
        <v>-94.21107803999999</v>
      </c>
      <c r="Z23" s="27" t="str">
        <f t="shared" si="5"/>
        <v>234.9716076</v>
      </c>
      <c r="AA23" s="32">
        <f t="shared" si="6"/>
        <v>0.2991818899846558</v>
      </c>
      <c r="AB23" s="33">
        <f t="shared" si="7"/>
        <v>0.41506195459326894</v>
      </c>
      <c r="AC23" s="33">
        <v>0.5</v>
      </c>
      <c r="AD23" s="33">
        <f t="shared" si="8"/>
        <v>0.589890446979221</v>
      </c>
      <c r="AE23" s="33">
        <f t="shared" si="9"/>
        <v>1</v>
      </c>
      <c r="AF23" s="33">
        <f t="shared" si="10"/>
        <v>-999</v>
      </c>
      <c r="AG23" s="33">
        <f t="shared" si="11"/>
        <v>-999</v>
      </c>
      <c r="AH23" s="33">
        <f t="shared" si="12"/>
        <v>-999</v>
      </c>
      <c r="AI23" s="34">
        <f t="shared" si="13"/>
        <v>0.5218974977024707</v>
      </c>
      <c r="AJ23" s="4">
        <v>19.917978098549675</v>
      </c>
      <c r="AK23" s="32">
        <f t="shared" si="14"/>
        <v>-999</v>
      </c>
      <c r="AL23" s="34">
        <f t="shared" si="15"/>
        <v>-999</v>
      </c>
      <c r="AY23" s="103" t="s">
        <v>346</v>
      </c>
      <c r="AZ23" s="103" t="s">
        <v>651</v>
      </c>
      <c r="BA23" s="103" t="s">
        <v>132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396.19651347068145</v>
      </c>
      <c r="F24" s="38">
        <f>IF(LEFT(VLOOKUP($B24,'Indicator chart'!$D$1:$J$36,6,FALSE),1)=" "," ",VLOOKUP($B24,'Indicator chart'!$D$1:$J$36,6,FALSE))</f>
        <v>189.67433500529324</v>
      </c>
      <c r="G24" s="38">
        <f>IF(LEFT(VLOOKUP($B24,'Indicator chart'!$D$1:$J$36,7,FALSE),1)=" "," ",VLOOKUP($B24,'Indicator chart'!$D$1:$J$36,7,FALSE))</f>
        <v>728.6698444552503</v>
      </c>
      <c r="H24" s="50">
        <f t="shared" si="0"/>
        <v>2</v>
      </c>
      <c r="I24" s="300" t="s">
        <v>515</v>
      </c>
      <c r="J24" s="300" t="s">
        <v>563</v>
      </c>
      <c r="K24" s="300" t="s">
        <v>584</v>
      </c>
      <c r="L24" s="300" t="s">
        <v>607</v>
      </c>
      <c r="M24" s="300" t="s">
        <v>627</v>
      </c>
      <c r="N24" s="80">
        <f>VLOOKUP('Hide - Control'!B$3,'All practice data'!A:CA,A24+29,FALSE)</f>
        <v>431.0963425808375</v>
      </c>
      <c r="O24" s="80">
        <f>VLOOKUP('Hide - Control'!C$3,'All practice data'!A:CA,A24+29,FALSE)</f>
        <v>348.7732030109763</v>
      </c>
      <c r="P24" s="38">
        <f>VLOOKUP('Hide - Control'!$B$4,'All practice data'!B:BC,A24+2,FALSE)</f>
        <v>2343</v>
      </c>
      <c r="Q24" s="38">
        <f>VLOOKUP('Hide - Control'!$B$4,'All practice data'!B:BC,3,FALSE)</f>
        <v>543498</v>
      </c>
      <c r="R24" s="38">
        <f t="shared" si="21"/>
        <v>413.81522713253787</v>
      </c>
      <c r="S24" s="38">
        <f t="shared" si="22"/>
        <v>448.91371662521505</v>
      </c>
      <c r="T24" s="53" t="str">
        <f t="shared" si="19"/>
        <v>955.7945042</v>
      </c>
      <c r="U24" s="51" t="str">
        <f t="shared" si="20"/>
        <v>51.2058</v>
      </c>
      <c r="V24" s="7"/>
      <c r="W24" s="27">
        <f t="shared" si="2"/>
        <v>-119.825831</v>
      </c>
      <c r="X24" s="27" t="str">
        <f t="shared" si="3"/>
        <v>955.7945042</v>
      </c>
      <c r="Y24" s="27">
        <f t="shared" si="4"/>
        <v>-119.825831</v>
      </c>
      <c r="Z24" s="27" t="str">
        <f t="shared" si="5"/>
        <v>955.7945042</v>
      </c>
      <c r="AA24" s="32">
        <f t="shared" si="6"/>
        <v>0.1590074354332456</v>
      </c>
      <c r="AB24" s="33">
        <f t="shared" si="7"/>
        <v>0.41197227181243795</v>
      </c>
      <c r="AC24" s="33">
        <v>0.5</v>
      </c>
      <c r="AD24" s="33">
        <f t="shared" si="8"/>
        <v>0.5876337106275267</v>
      </c>
      <c r="AE24" s="33">
        <f t="shared" si="9"/>
        <v>1</v>
      </c>
      <c r="AF24" s="33">
        <f t="shared" si="10"/>
        <v>-999</v>
      </c>
      <c r="AG24" s="33">
        <f t="shared" si="11"/>
        <v>0.47974394643137036</v>
      </c>
      <c r="AH24" s="33">
        <f t="shared" si="12"/>
        <v>-999</v>
      </c>
      <c r="AI24" s="34">
        <f t="shared" si="13"/>
        <v>0.43565468100214505</v>
      </c>
      <c r="AJ24" s="4">
        <v>20.99397352393159</v>
      </c>
      <c r="AK24" s="32">
        <f t="shared" si="14"/>
        <v>-999</v>
      </c>
      <c r="AL24" s="34">
        <f t="shared" si="15"/>
        <v>-999</v>
      </c>
      <c r="AY24" s="103" t="s">
        <v>334</v>
      </c>
      <c r="AZ24" s="103" t="s">
        <v>652</v>
      </c>
      <c r="BA24" s="103" t="s">
        <v>132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316.95721077654514</v>
      </c>
      <c r="F25" s="38">
        <f>IF(LEFT(VLOOKUP($B25,'Indicator chart'!$D$1:$J$36,6,FALSE),1)=" "," ",VLOOKUP($B25,'Indicator chart'!$D$1:$J$36,6,FALSE))</f>
        <v>136.47514119095538</v>
      </c>
      <c r="G25" s="38">
        <f>IF(LEFT(VLOOKUP($B25,'Indicator chart'!$D$1:$J$36,7,FALSE),1)=" "," ",VLOOKUP($B25,'Indicator chart'!$D$1:$J$36,7,FALSE))</f>
        <v>624.5704236125689</v>
      </c>
      <c r="H25" s="50">
        <f t="shared" si="0"/>
        <v>2</v>
      </c>
      <c r="I25" s="300" t="s">
        <v>549</v>
      </c>
      <c r="J25" s="300" t="s">
        <v>564</v>
      </c>
      <c r="K25" s="300" t="s">
        <v>585</v>
      </c>
      <c r="L25" s="300" t="s">
        <v>608</v>
      </c>
      <c r="M25" s="300" t="s">
        <v>628</v>
      </c>
      <c r="N25" s="80">
        <f>VLOOKUP('Hide - Control'!B$3,'All practice data'!A:CA,A25+29,FALSE)</f>
        <v>615.0896599435508</v>
      </c>
      <c r="O25" s="80">
        <f>VLOOKUP('Hide - Control'!C$3,'All practice data'!A:CA,A25+29,FALSE)</f>
        <v>623.2878522577265</v>
      </c>
      <c r="P25" s="38">
        <f>VLOOKUP('Hide - Control'!$B$4,'All practice data'!B:BC,A25+2,FALSE)</f>
        <v>3343</v>
      </c>
      <c r="Q25" s="38">
        <f>VLOOKUP('Hide - Control'!$B$4,'All practice data'!B:BC,3,FALSE)</f>
        <v>543498</v>
      </c>
      <c r="R25" s="38">
        <f t="shared" si="21"/>
        <v>594.413458998989</v>
      </c>
      <c r="S25" s="38">
        <f t="shared" si="22"/>
        <v>636.3015180058558</v>
      </c>
      <c r="T25" s="53" t="str">
        <f t="shared" si="19"/>
        <v>1272.762874</v>
      </c>
      <c r="U25" s="51" t="str">
        <f t="shared" si="20"/>
        <v>316.9572108</v>
      </c>
      <c r="V25" s="7"/>
      <c r="W25" s="27">
        <f t="shared" si="2"/>
        <v>-118.83465260000003</v>
      </c>
      <c r="X25" s="27" t="str">
        <f t="shared" si="3"/>
        <v>1272.762874</v>
      </c>
      <c r="Y25" s="27">
        <f t="shared" si="4"/>
        <v>-118.83465260000003</v>
      </c>
      <c r="Z25" s="27" t="str">
        <f t="shared" si="5"/>
        <v>1272.762874</v>
      </c>
      <c r="AA25" s="32">
        <f t="shared" si="6"/>
        <v>0.3131594121647672</v>
      </c>
      <c r="AB25" s="33">
        <f t="shared" si="7"/>
        <v>0.42796666436673436</v>
      </c>
      <c r="AC25" s="33">
        <v>0.5</v>
      </c>
      <c r="AD25" s="33">
        <f t="shared" si="8"/>
        <v>0.5869919732437098</v>
      </c>
      <c r="AE25" s="33">
        <f t="shared" si="9"/>
        <v>1</v>
      </c>
      <c r="AF25" s="33">
        <f t="shared" si="10"/>
        <v>-999</v>
      </c>
      <c r="AG25" s="33">
        <f t="shared" si="11"/>
        <v>0.3131594121479126</v>
      </c>
      <c r="AH25" s="33">
        <f t="shared" si="12"/>
        <v>-999</v>
      </c>
      <c r="AI25" s="34">
        <f t="shared" si="13"/>
        <v>0.5332881746857558</v>
      </c>
      <c r="AJ25" s="4">
        <v>22.06996894931352</v>
      </c>
      <c r="AK25" s="32">
        <f t="shared" si="14"/>
        <v>-999</v>
      </c>
      <c r="AL25" s="34">
        <f t="shared" si="15"/>
        <v>-999</v>
      </c>
      <c r="AY25" s="103" t="s">
        <v>359</v>
      </c>
      <c r="AZ25" s="103" t="s">
        <v>653</v>
      </c>
      <c r="BA25" s="103" t="s">
        <v>132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554.6751188589541</v>
      </c>
      <c r="F26" s="38">
        <f>IF(LEFT(VLOOKUP($B26,'Indicator chart'!$D$1:$J$36,6,FALSE),1)=" "," ",VLOOKUP($B26,'Indicator chart'!$D$1:$J$36,6,FALSE))</f>
        <v>302.9889322798812</v>
      </c>
      <c r="G26" s="38">
        <f>IF(LEFT(VLOOKUP($B26,'Indicator chart'!$D$1:$J$36,7,FALSE),1)=" "," ",VLOOKUP($B26,'Indicator chart'!$D$1:$J$36,7,FALSE))</f>
        <v>930.7125945888571</v>
      </c>
      <c r="H26" s="50">
        <f t="shared" si="0"/>
        <v>2</v>
      </c>
      <c r="I26" s="300" t="s">
        <v>525</v>
      </c>
      <c r="J26" s="300" t="s">
        <v>565</v>
      </c>
      <c r="K26" s="300" t="s">
        <v>586</v>
      </c>
      <c r="L26" s="300" t="s">
        <v>609</v>
      </c>
      <c r="M26" s="300" t="s">
        <v>629</v>
      </c>
      <c r="N26" s="80">
        <f>VLOOKUP('Hide - Control'!B$3,'All practice data'!A:CA,A26+29,FALSE)</f>
        <v>623.5533525422356</v>
      </c>
      <c r="O26" s="80">
        <f>VLOOKUP('Hide - Control'!C$3,'All practice data'!A:CA,A26+29,FALSE)</f>
        <v>432.5467854266958</v>
      </c>
      <c r="P26" s="38">
        <f>VLOOKUP('Hide - Control'!$B$4,'All practice data'!B:BC,A26+2,FALSE)</f>
        <v>3389</v>
      </c>
      <c r="Q26" s="38">
        <f>VLOOKUP('Hide - Control'!$B$4,'All practice data'!B:BC,3,FALSE)</f>
        <v>543498</v>
      </c>
      <c r="R26" s="38">
        <f t="shared" si="21"/>
        <v>602.7341827192735</v>
      </c>
      <c r="S26" s="38">
        <f t="shared" si="22"/>
        <v>644.90815840615</v>
      </c>
      <c r="T26" s="53" t="str">
        <f t="shared" si="19"/>
        <v>1212.938005</v>
      </c>
      <c r="U26" s="51" t="str">
        <f t="shared" si="20"/>
        <v>156.947</v>
      </c>
      <c r="V26" s="7"/>
      <c r="W26" s="27">
        <f t="shared" si="2"/>
        <v>-1.9330775999999332</v>
      </c>
      <c r="X26" s="27" t="str">
        <f t="shared" si="3"/>
        <v>1212.938005</v>
      </c>
      <c r="Y26" s="27">
        <f t="shared" si="4"/>
        <v>-1.9330775999999332</v>
      </c>
      <c r="Z26" s="27" t="str">
        <f t="shared" si="5"/>
        <v>1212.938005</v>
      </c>
      <c r="AA26" s="32">
        <f t="shared" si="6"/>
        <v>0.1307793722935388</v>
      </c>
      <c r="AB26" s="33">
        <f t="shared" si="7"/>
        <v>0.3900838581866497</v>
      </c>
      <c r="AC26" s="33">
        <v>0.5</v>
      </c>
      <c r="AD26" s="33">
        <f t="shared" si="8"/>
        <v>0.6217060434787568</v>
      </c>
      <c r="AE26" s="33">
        <f t="shared" si="9"/>
        <v>1</v>
      </c>
      <c r="AF26" s="33">
        <f t="shared" si="10"/>
        <v>-999</v>
      </c>
      <c r="AG26" s="33">
        <f t="shared" si="11"/>
        <v>0.4581623551922332</v>
      </c>
      <c r="AH26" s="33">
        <f t="shared" si="12"/>
        <v>-999</v>
      </c>
      <c r="AI26" s="34">
        <f t="shared" si="13"/>
        <v>0.35763454184525156</v>
      </c>
      <c r="AJ26" s="4">
        <v>23.145964374695435</v>
      </c>
      <c r="AK26" s="32">
        <f t="shared" si="14"/>
        <v>-999</v>
      </c>
      <c r="AL26" s="34">
        <f t="shared" si="15"/>
        <v>-999</v>
      </c>
      <c r="AY26" s="103" t="s">
        <v>351</v>
      </c>
      <c r="AZ26" s="103" t="s">
        <v>654</v>
      </c>
      <c r="BA26" s="103" t="s">
        <v>132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13</v>
      </c>
      <c r="E27" s="38">
        <f>IF(LEFT(VLOOKUP($B27,'Indicator chart'!$D$1:$J$36,5,FALSE),1)=" "," ",VLOOKUP($B27,'Indicator chart'!$D$1:$J$36,5,FALSE))</f>
        <v>515.0554675118859</v>
      </c>
      <c r="F27" s="38">
        <f>IF(LEFT(VLOOKUP($B27,'Indicator chart'!$D$1:$J$36,6,FALSE),1)=" "," ",VLOOKUP($B27,'Indicator chart'!$D$1:$J$36,6,FALSE))</f>
        <v>273.9760575778339</v>
      </c>
      <c r="G27" s="38">
        <f>IF(LEFT(VLOOKUP($B27,'Indicator chart'!$D$1:$J$36,7,FALSE),1)=" "," ",VLOOKUP($B27,'Indicator chart'!$D$1:$J$36,7,FALSE))</f>
        <v>880.8205400654666</v>
      </c>
      <c r="H27" s="50">
        <f t="shared" si="0"/>
        <v>1</v>
      </c>
      <c r="I27" s="300" t="s">
        <v>550</v>
      </c>
      <c r="J27" s="300" t="s">
        <v>566</v>
      </c>
      <c r="K27" s="300" t="s">
        <v>587</v>
      </c>
      <c r="L27" s="300" t="s">
        <v>610</v>
      </c>
      <c r="M27" s="300" t="s">
        <v>630</v>
      </c>
      <c r="N27" s="80">
        <f>VLOOKUP('Hide - Control'!B$3,'All practice data'!A:CA,A27+29,FALSE)</f>
        <v>1020.9789180456966</v>
      </c>
      <c r="O27" s="80">
        <f>VLOOKUP('Hide - Control'!C$3,'All practice data'!A:CA,A27+29,FALSE)</f>
        <v>1003.4847591501348</v>
      </c>
      <c r="P27" s="38">
        <f>VLOOKUP('Hide - Control'!$B$4,'All practice data'!B:BC,A27+2,FALSE)</f>
        <v>5549</v>
      </c>
      <c r="Q27" s="38">
        <f>VLOOKUP('Hide - Control'!$B$4,'All practice data'!B:BC,3,FALSE)</f>
        <v>543498</v>
      </c>
      <c r="R27" s="38">
        <f t="shared" si="21"/>
        <v>994.2899013850615</v>
      </c>
      <c r="S27" s="38">
        <f t="shared" si="22"/>
        <v>1048.2028984985338</v>
      </c>
      <c r="T27" s="53" t="str">
        <f t="shared" si="19"/>
        <v>1801.448992</v>
      </c>
      <c r="U27" s="51" t="str">
        <f t="shared" si="20"/>
        <v>464.4412192</v>
      </c>
      <c r="V27" s="7"/>
      <c r="W27" s="27">
        <f t="shared" si="2"/>
        <v>147.45767419999993</v>
      </c>
      <c r="X27" s="27" t="str">
        <f t="shared" si="3"/>
        <v>1801.448992</v>
      </c>
      <c r="Y27" s="27">
        <f t="shared" si="4"/>
        <v>147.45767419999993</v>
      </c>
      <c r="Z27" s="27" t="str">
        <f t="shared" si="5"/>
        <v>1801.448992</v>
      </c>
      <c r="AA27" s="32">
        <f t="shared" si="6"/>
        <v>0.1916476474747309</v>
      </c>
      <c r="AB27" s="33">
        <f t="shared" si="7"/>
        <v>0.4030544943166448</v>
      </c>
      <c r="AC27" s="33">
        <v>0.5</v>
      </c>
      <c r="AD27" s="33">
        <f t="shared" si="8"/>
        <v>0.6260141771343946</v>
      </c>
      <c r="AE27" s="33">
        <f t="shared" si="9"/>
        <v>1</v>
      </c>
      <c r="AF27" s="33">
        <f t="shared" si="10"/>
        <v>-999</v>
      </c>
      <c r="AG27" s="33">
        <f t="shared" si="11"/>
        <v>-999</v>
      </c>
      <c r="AH27" s="33">
        <f t="shared" si="12"/>
        <v>0.2222489255873686</v>
      </c>
      <c r="AI27" s="34">
        <f t="shared" si="13"/>
        <v>0.5175523448870033</v>
      </c>
      <c r="AJ27" s="4">
        <v>24.221959800077364</v>
      </c>
      <c r="AK27" s="32">
        <f t="shared" si="14"/>
        <v>0.2222489255873686</v>
      </c>
      <c r="AL27" s="34">
        <f t="shared" si="15"/>
        <v>-999</v>
      </c>
      <c r="AY27" s="103" t="s">
        <v>337</v>
      </c>
      <c r="AZ27" s="103" t="s">
        <v>655</v>
      </c>
      <c r="BA27" s="103" t="s">
        <v>132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11</v>
      </c>
      <c r="E28" s="38">
        <f>IF(LEFT(VLOOKUP($B28,'Indicator chart'!$D$1:$J$36,5,FALSE),1)=" "," ",VLOOKUP($B28,'Indicator chart'!$D$1:$J$36,5,FALSE))</f>
        <v>435.8161648177496</v>
      </c>
      <c r="F28" s="38">
        <f>IF(LEFT(VLOOKUP($B28,'Indicator chart'!$D$1:$J$36,6,FALSE),1)=" "," ",VLOOKUP($B28,'Indicator chart'!$D$1:$J$36,6,FALSE))</f>
        <v>217.25891834353348</v>
      </c>
      <c r="G28" s="38">
        <f>IF(LEFT(VLOOKUP($B28,'Indicator chart'!$D$1:$J$36,7,FALSE),1)=" "," ",VLOOKUP($B28,'Indicator chart'!$D$1:$J$36,7,FALSE))</f>
        <v>779.8498668547475</v>
      </c>
      <c r="H28" s="50">
        <f t="shared" si="0"/>
        <v>2</v>
      </c>
      <c r="I28" s="300" t="s">
        <v>528</v>
      </c>
      <c r="J28" s="300" t="s">
        <v>567</v>
      </c>
      <c r="K28" s="300" t="s">
        <v>588</v>
      </c>
      <c r="L28" s="300" t="s">
        <v>611</v>
      </c>
      <c r="M28" s="300" t="s">
        <v>631</v>
      </c>
      <c r="N28" s="80">
        <f>VLOOKUP('Hide - Control'!B$3,'All practice data'!A:CA,A28+29,FALSE)</f>
        <v>689.6069534754498</v>
      </c>
      <c r="O28" s="80">
        <f>VLOOKUP('Hide - Control'!C$3,'All practice data'!A:CA,A28+29,FALSE)</f>
        <v>586.9262672471904</v>
      </c>
      <c r="P28" s="38">
        <f>VLOOKUP('Hide - Control'!$B$4,'All practice data'!B:BC,A28+2,FALSE)</f>
        <v>3748</v>
      </c>
      <c r="Q28" s="38">
        <f>VLOOKUP('Hide - Control'!$B$4,'All practice data'!B:BC,3,FALSE)</f>
        <v>543498</v>
      </c>
      <c r="R28" s="38">
        <f>100000*(P28*(1-1/(9*P28)-1.96/(3*SQRT(P28)))^3)/Q28</f>
        <v>667.7037900179462</v>
      </c>
      <c r="S28" s="38">
        <f>100000*((P28+1)*(1-1/(9*(P28+1))+1.96/(3*SQRT(P28+1)))^3)/Q28</f>
        <v>712.045602017155</v>
      </c>
      <c r="T28" s="53" t="str">
        <f t="shared" si="19"/>
        <v>1688.555347</v>
      </c>
      <c r="U28" s="51" t="str">
        <f t="shared" si="20"/>
        <v>193.926</v>
      </c>
      <c r="V28" s="7"/>
      <c r="W28" s="27">
        <f t="shared" si="2"/>
        <v>-348.5671399999999</v>
      </c>
      <c r="X28" s="27" t="str">
        <f t="shared" si="3"/>
        <v>1688.555347</v>
      </c>
      <c r="Y28" s="27">
        <f t="shared" si="4"/>
        <v>-348.5671399999999</v>
      </c>
      <c r="Z28" s="27" t="str">
        <f t="shared" si="5"/>
        <v>1688.555347</v>
      </c>
      <c r="AA28" s="32">
        <f t="shared" si="6"/>
        <v>0.2663036432330148</v>
      </c>
      <c r="AB28" s="33">
        <f t="shared" si="7"/>
        <v>0.4458912599495545</v>
      </c>
      <c r="AC28" s="33">
        <v>0.5</v>
      </c>
      <c r="AD28" s="33">
        <f t="shared" si="8"/>
        <v>0.5616200763582263</v>
      </c>
      <c r="AE28" s="33">
        <f t="shared" si="9"/>
        <v>1</v>
      </c>
      <c r="AF28" s="33">
        <f t="shared" si="10"/>
        <v>-999</v>
      </c>
      <c r="AG28" s="33">
        <f t="shared" si="11"/>
        <v>0.38504474317245585</v>
      </c>
      <c r="AH28" s="33">
        <f t="shared" si="12"/>
        <v>-999</v>
      </c>
      <c r="AI28" s="34">
        <f t="shared" si="13"/>
        <v>0.4592229545435234</v>
      </c>
      <c r="AJ28" s="4">
        <v>25.297955225459287</v>
      </c>
      <c r="AK28" s="32">
        <f t="shared" si="14"/>
        <v>-999</v>
      </c>
      <c r="AL28" s="34">
        <f t="shared" si="15"/>
        <v>-999</v>
      </c>
      <c r="AY28" s="103" t="s">
        <v>360</v>
      </c>
      <c r="AZ28" s="103" t="s">
        <v>656</v>
      </c>
      <c r="BA28" s="103" t="s">
        <v>132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516</v>
      </c>
      <c r="J29" s="300" t="s">
        <v>568</v>
      </c>
      <c r="K29" s="300" t="s">
        <v>589</v>
      </c>
      <c r="L29" s="300" t="s">
        <v>530</v>
      </c>
      <c r="M29" s="300" t="s">
        <v>539</v>
      </c>
      <c r="N29" s="80">
        <f>VLOOKUP('Hide - Control'!B$3,'All practice data'!A:CA,A29+29,FALSE)</f>
        <v>0.23771580345285526</v>
      </c>
      <c r="O29" s="80">
        <f>VLOOKUP('Hide - Control'!C$3,'All practice data'!A:CA,A29+29,FALSE)</f>
        <v>0.2372068295675289</v>
      </c>
      <c r="P29" s="38">
        <f>VLOOKUP('Hide - Control'!$B$4,'All practice data'!B:BC,A29+2,FALSE)</f>
        <v>716</v>
      </c>
      <c r="Q29" s="38">
        <f>VLOOKUP('Hide - Control'!$B$4,'All practice data'!B:BC,26,FALSE)+VLOOKUP('Hide - Control'!$B$4,'All practice data'!B:BC,27,FALSE)+VLOOKUP('Hide - Control'!$B$4,'All practice data'!B:BC,28,FALSE)</f>
        <v>3012</v>
      </c>
      <c r="R29" s="38">
        <f>+((2*P29+1.96^2-1.96*SQRT(1.96^2+4*P29*(1-P29/Q29)))/(2*(Q29+1.96^2)))</f>
        <v>0.22285337830590624</v>
      </c>
      <c r="S29" s="38">
        <f>+((2*P29+1.96^2+1.96*SQRT(1.96^2+4*P29*(1-P29/Q29)))/(2*(Q29+1.96^2)))</f>
        <v>0.25324642746638626</v>
      </c>
      <c r="T29" s="53" t="str">
        <f t="shared" si="19"/>
        <v>0.521739</v>
      </c>
      <c r="U29" s="51" t="str">
        <f t="shared" si="20"/>
        <v>0.0350981</v>
      </c>
      <c r="V29" s="7"/>
      <c r="W29" s="27">
        <f t="shared" si="2"/>
        <v>-0.04230237999999997</v>
      </c>
      <c r="X29" s="27" t="str">
        <f t="shared" si="3"/>
        <v>0.521739</v>
      </c>
      <c r="Y29" s="27">
        <f t="shared" si="4"/>
        <v>-0.04230237999999997</v>
      </c>
      <c r="Z29" s="27" t="str">
        <f t="shared" si="5"/>
        <v>0.521739</v>
      </c>
      <c r="AA29" s="32">
        <f t="shared" si="6"/>
        <v>0.13722482559701554</v>
      </c>
      <c r="AB29" s="33">
        <f t="shared" si="7"/>
        <v>0.3967880955826326</v>
      </c>
      <c r="AC29" s="33">
        <v>0.5</v>
      </c>
      <c r="AD29" s="33">
        <f t="shared" si="8"/>
        <v>0.581547165918926</v>
      </c>
      <c r="AE29" s="33">
        <f t="shared" si="9"/>
        <v>1</v>
      </c>
      <c r="AF29" s="33">
        <f t="shared" si="10"/>
        <v>-999</v>
      </c>
      <c r="AG29" s="33">
        <f t="shared" si="11"/>
        <v>-999</v>
      </c>
      <c r="AH29" s="33">
        <f t="shared" si="12"/>
        <v>-999</v>
      </c>
      <c r="AI29" s="34">
        <f t="shared" si="13"/>
        <v>0.49554734719557086</v>
      </c>
      <c r="AJ29" s="4">
        <v>26.373950650841206</v>
      </c>
      <c r="AK29" s="32">
        <f t="shared" si="14"/>
        <v>-999</v>
      </c>
      <c r="AL29" s="34">
        <f t="shared" si="15"/>
        <v>-999</v>
      </c>
      <c r="AY29" s="103" t="s">
        <v>274</v>
      </c>
      <c r="AZ29" s="103" t="s">
        <v>657</v>
      </c>
      <c r="BA29" s="103" t="s">
        <v>132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517</v>
      </c>
      <c r="J30" s="300" t="s">
        <v>569</v>
      </c>
      <c r="K30" s="300" t="s">
        <v>590</v>
      </c>
      <c r="L30" s="300" t="s">
        <v>612</v>
      </c>
      <c r="M30" s="300" t="s">
        <v>268</v>
      </c>
      <c r="N30" s="80">
        <f>VLOOKUP('Hide - Control'!B$3,'All practice data'!A:CA,A30+29,FALSE)</f>
        <v>0.47775564409030546</v>
      </c>
      <c r="O30" s="80">
        <f>VLOOKUP('Hide - Control'!C$3,'All practice data'!A:CA,A30+29,FALSE)</f>
        <v>0.4919047132195072</v>
      </c>
      <c r="P30" s="38">
        <f>VLOOKUP('Hide - Control'!$B$4,'All practice data'!B:BC,A30+2,FALSE)</f>
        <v>1439</v>
      </c>
      <c r="Q30" s="38">
        <f>VLOOKUP('Hide - Control'!$B$4,'All practice data'!B:BC,26,FALSE)+VLOOKUP('Hide - Control'!$B$4,'All practice data'!B:BC,27,FALSE)+VLOOKUP('Hide - Control'!$B$4,'All practice data'!B:BC,28,FALSE)</f>
        <v>3012</v>
      </c>
      <c r="R30" s="38">
        <f>+((2*P30+1.96^2-1.96*SQRT(1.96^2+4*P30*(1-P30/Q30)))/(2*(Q30+1.96^2)))</f>
        <v>0.4599564092480422</v>
      </c>
      <c r="S30" s="38">
        <f>+((2*P30+1.96^2+1.96*SQRT(1.96^2+4*P30*(1-P30/Q30)))/(2*(Q30+1.96^2)))</f>
        <v>0.4956115489630256</v>
      </c>
      <c r="T30" s="53" t="str">
        <f t="shared" si="19"/>
        <v>1</v>
      </c>
      <c r="U30" s="51" t="str">
        <f t="shared" si="20"/>
        <v>0.178051</v>
      </c>
      <c r="V30" s="7"/>
      <c r="W30" s="27">
        <f t="shared" si="2"/>
        <v>-0.039230770000000026</v>
      </c>
      <c r="X30" s="27" t="str">
        <f t="shared" si="3"/>
        <v>1</v>
      </c>
      <c r="Y30" s="27">
        <f t="shared" si="4"/>
        <v>-0.039230770000000026</v>
      </c>
      <c r="Z30" s="27" t="str">
        <f t="shared" si="5"/>
        <v>1</v>
      </c>
      <c r="AA30" s="32">
        <f t="shared" si="6"/>
        <v>0.20907942323532241</v>
      </c>
      <c r="AB30" s="33">
        <f t="shared" si="7"/>
        <v>0.4399147525241194</v>
      </c>
      <c r="AC30" s="33">
        <v>0.5</v>
      </c>
      <c r="AD30" s="33">
        <f t="shared" si="8"/>
        <v>0.5637070186056942</v>
      </c>
      <c r="AE30" s="33">
        <f t="shared" si="9"/>
        <v>1</v>
      </c>
      <c r="AF30" s="33">
        <f t="shared" si="10"/>
        <v>-999</v>
      </c>
      <c r="AG30" s="33">
        <f t="shared" si="11"/>
        <v>-999</v>
      </c>
      <c r="AH30" s="33">
        <f t="shared" si="12"/>
        <v>-999</v>
      </c>
      <c r="AI30" s="34">
        <f t="shared" si="13"/>
        <v>0.511085216635288</v>
      </c>
      <c r="AJ30" s="4">
        <v>27.44994607622313</v>
      </c>
      <c r="AK30" s="32">
        <f t="shared" si="14"/>
        <v>-999</v>
      </c>
      <c r="AL30" s="34">
        <f t="shared" si="15"/>
        <v>-999</v>
      </c>
      <c r="AY30" s="103" t="s">
        <v>341</v>
      </c>
      <c r="AZ30" s="103" t="s">
        <v>658</v>
      </c>
      <c r="BA30" s="103" t="s">
        <v>132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518</v>
      </c>
      <c r="J31" s="300" t="s">
        <v>532</v>
      </c>
      <c r="K31" s="300" t="s">
        <v>591</v>
      </c>
      <c r="L31" s="300" t="s">
        <v>535</v>
      </c>
      <c r="M31" s="300" t="s">
        <v>632</v>
      </c>
      <c r="N31" s="80">
        <f>VLOOKUP('Hide - Control'!B$3,'All practice data'!A:CA,A31+29,FALSE)</f>
        <v>0.28452855245683933</v>
      </c>
      <c r="O31" s="80">
        <f>VLOOKUP('Hide - Control'!C$3,'All practice data'!A:CA,A31+29,FALSE)</f>
        <v>0.2708884572129639</v>
      </c>
      <c r="P31" s="38">
        <f>VLOOKUP('Hide - Control'!$B$4,'All practice data'!B:BC,A31+2,FALSE)</f>
        <v>857</v>
      </c>
      <c r="Q31" s="38">
        <f>VLOOKUP('Hide - Control'!$B$4,'All practice data'!B:BC,26,FALSE)+VLOOKUP('Hide - Control'!$B$4,'All practice data'!B:BC,27,FALSE)+VLOOKUP('Hide - Control'!$B$4,'All practice data'!B:BC,28,FALSE)</f>
        <v>3012</v>
      </c>
      <c r="R31" s="38">
        <f>+((2*P31+1.96^2-1.96*SQRT(1.96^2+4*P31*(1-P31/Q31)))/(2*(Q31+1.96^2)))</f>
        <v>0.26869753072033137</v>
      </c>
      <c r="S31" s="38">
        <f>+((2*P31+1.96^2+1.96*SQRT(1.96^2+4*P31*(1-P31/Q31)))/(2*(Q31+1.96^2)))</f>
        <v>0.3009085122495646</v>
      </c>
      <c r="T31" s="53" t="str">
        <f t="shared" si="19"/>
        <v>0.487179</v>
      </c>
      <c r="U31" s="51" t="str">
        <f t="shared" si="20"/>
        <v>0.0521808</v>
      </c>
      <c r="V31" s="7"/>
      <c r="W31" s="27" t="str">
        <f t="shared" si="2"/>
        <v>0.0521808</v>
      </c>
      <c r="X31" s="27">
        <f t="shared" si="3"/>
        <v>0.5055969779999999</v>
      </c>
      <c r="Y31" s="27" t="str">
        <f t="shared" si="4"/>
        <v>0.0521808</v>
      </c>
      <c r="Z31" s="27">
        <f t="shared" si="5"/>
        <v>0.5055969779999999</v>
      </c>
      <c r="AA31" s="32">
        <f t="shared" si="6"/>
        <v>0</v>
      </c>
      <c r="AB31" s="33">
        <f t="shared" si="7"/>
        <v>0.35751903409145674</v>
      </c>
      <c r="AC31" s="33">
        <v>0.5</v>
      </c>
      <c r="AD31" s="33">
        <f t="shared" si="8"/>
        <v>0.6394224049941156</v>
      </c>
      <c r="AE31" s="33">
        <f t="shared" si="9"/>
        <v>0.9593795305645227</v>
      </c>
      <c r="AF31" s="33">
        <f>IF(E31=" ",-999,IF(H31=4,(E31-$Y31)/($Z31-$Y31),-999))</f>
        <v>-999</v>
      </c>
      <c r="AG31" s="33">
        <f t="shared" si="11"/>
        <v>-999</v>
      </c>
      <c r="AH31" s="33">
        <f t="shared" si="12"/>
        <v>-999</v>
      </c>
      <c r="AI31" s="34">
        <f t="shared" si="13"/>
        <v>0.4823552132120084</v>
      </c>
      <c r="AJ31" s="4">
        <v>28.525941501605054</v>
      </c>
      <c r="AK31" s="32">
        <f t="shared" si="14"/>
        <v>-999</v>
      </c>
      <c r="AL31" s="34">
        <f t="shared" si="15"/>
        <v>-999</v>
      </c>
      <c r="AY31" s="103" t="s">
        <v>345</v>
      </c>
      <c r="AZ31" s="103" t="s">
        <v>659</v>
      </c>
      <c r="BA31" s="103" t="s">
        <v>132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355</v>
      </c>
      <c r="AZ32" s="103" t="s">
        <v>660</v>
      </c>
      <c r="BA32" s="103" t="s">
        <v>132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357</v>
      </c>
      <c r="AZ33" s="103" t="s">
        <v>661</v>
      </c>
      <c r="BA33" s="103" t="s">
        <v>132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333</v>
      </c>
      <c r="AZ34" s="103" t="s">
        <v>662</v>
      </c>
      <c r="BA34" s="103" t="s">
        <v>132</v>
      </c>
      <c r="BB34" s="298">
        <v>174182</v>
      </c>
      <c r="BE34" s="77"/>
      <c r="BF34" s="250"/>
    </row>
    <row r="35" spans="2:58" ht="12.75">
      <c r="B35" s="17" t="s">
        <v>41</v>
      </c>
      <c r="C35" s="18"/>
      <c r="H35" s="287" t="s">
        <v>269</v>
      </c>
      <c r="I35" s="288"/>
      <c r="Y35" s="43"/>
      <c r="Z35" s="44"/>
      <c r="AA35" s="44"/>
      <c r="AB35" s="43"/>
      <c r="AC35" s="43"/>
      <c r="AY35" s="103" t="s">
        <v>342</v>
      </c>
      <c r="AZ35" s="103" t="s">
        <v>663</v>
      </c>
      <c r="BA35" s="103" t="s">
        <v>132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343</v>
      </c>
      <c r="AZ36" s="103" t="s">
        <v>664</v>
      </c>
      <c r="BA36" s="103" t="s">
        <v>132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361</v>
      </c>
      <c r="AZ37" s="103" t="s">
        <v>665</v>
      </c>
      <c r="BA37" s="103" t="s">
        <v>132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340</v>
      </c>
      <c r="AZ38" s="103" t="s">
        <v>666</v>
      </c>
      <c r="BA38" s="103" t="s">
        <v>132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362</v>
      </c>
      <c r="AZ39" s="103" t="s">
        <v>667</v>
      </c>
      <c r="BA39" s="103" t="s">
        <v>132</v>
      </c>
      <c r="BB39" s="298">
        <v>240654</v>
      </c>
      <c r="BE39" s="70"/>
      <c r="BF39" s="238"/>
    </row>
    <row r="40" spans="1:58" ht="12.75">
      <c r="A40" s="3"/>
      <c r="B40" s="71"/>
      <c r="C40" s="3"/>
      <c r="T40" s="13"/>
      <c r="U40" s="2"/>
      <c r="W40" s="2"/>
      <c r="X40" s="10"/>
      <c r="Y40" s="44"/>
      <c r="Z40" s="44"/>
      <c r="AA40" s="44"/>
      <c r="AB40" s="44"/>
      <c r="AC40" s="44"/>
      <c r="AD40" s="2"/>
      <c r="AE40" s="2"/>
      <c r="AY40" s="103" t="s">
        <v>363</v>
      </c>
      <c r="AZ40" s="103" t="s">
        <v>668</v>
      </c>
      <c r="BA40" s="103" t="s">
        <v>132</v>
      </c>
      <c r="BB40" s="298">
        <v>231440</v>
      </c>
      <c r="BF40" s="249"/>
    </row>
    <row r="41" spans="1:58" ht="12.75">
      <c r="A41" s="3"/>
      <c r="B41" s="71"/>
      <c r="C41" s="3"/>
      <c r="T41" s="13"/>
      <c r="U41" s="2"/>
      <c r="W41" s="2"/>
      <c r="X41" s="10"/>
      <c r="Y41" s="44"/>
      <c r="Z41" s="44"/>
      <c r="AA41" s="44"/>
      <c r="AB41" s="44"/>
      <c r="AC41" s="44"/>
      <c r="AD41" s="2"/>
      <c r="AE41" s="2"/>
      <c r="AY41" s="103" t="s">
        <v>338</v>
      </c>
      <c r="AZ41" s="103" t="s">
        <v>669</v>
      </c>
      <c r="BA41" s="103" t="s">
        <v>132</v>
      </c>
      <c r="BB41" s="298">
        <v>102110</v>
      </c>
      <c r="BE41" s="70"/>
      <c r="BF41" s="238"/>
    </row>
    <row r="42" spans="1:58" ht="12.75">
      <c r="A42" s="3"/>
      <c r="B42" s="45"/>
      <c r="C42" s="3"/>
      <c r="T42" s="13"/>
      <c r="U42" s="2"/>
      <c r="W42" s="2"/>
      <c r="X42" s="10"/>
      <c r="Y42" s="44"/>
      <c r="Z42" s="44"/>
      <c r="AA42" s="44"/>
      <c r="AB42" s="44"/>
      <c r="AC42" s="44"/>
      <c r="AD42" s="2"/>
      <c r="AE42" s="2"/>
      <c r="AY42" s="103" t="s">
        <v>336</v>
      </c>
      <c r="AZ42" s="103" t="s">
        <v>670</v>
      </c>
      <c r="BA42" s="103" t="s">
        <v>132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335</v>
      </c>
      <c r="AZ43" s="103" t="s">
        <v>671</v>
      </c>
      <c r="BA43" s="103" t="s">
        <v>132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350</v>
      </c>
      <c r="AZ44" s="103" t="s">
        <v>672</v>
      </c>
      <c r="BA44" s="103" t="s">
        <v>132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364</v>
      </c>
      <c r="AZ45" s="103" t="s">
        <v>673</v>
      </c>
      <c r="BA45" s="103" t="s">
        <v>132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352</v>
      </c>
      <c r="AZ46" s="103" t="s">
        <v>674</v>
      </c>
      <c r="BA46" s="103" t="s">
        <v>132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456</v>
      </c>
      <c r="AZ47" s="103" t="s">
        <v>675</v>
      </c>
      <c r="BA47" s="103" t="s">
        <v>132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399</v>
      </c>
      <c r="AZ48" s="103" t="s">
        <v>676</v>
      </c>
      <c r="BA48" s="103" t="s">
        <v>132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469</v>
      </c>
      <c r="AZ49" s="103" t="s">
        <v>677</v>
      </c>
      <c r="BA49" s="103" t="s">
        <v>132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410</v>
      </c>
      <c r="AZ50" s="103" t="s">
        <v>678</v>
      </c>
      <c r="BA50" s="103" t="s">
        <v>132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433</v>
      </c>
      <c r="AZ51" s="103" t="s">
        <v>679</v>
      </c>
      <c r="BA51" s="103" t="s">
        <v>132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424</v>
      </c>
      <c r="AZ52" s="103" t="s">
        <v>680</v>
      </c>
      <c r="BA52" s="103" t="s">
        <v>132</v>
      </c>
      <c r="BB52" s="298">
        <v>201657</v>
      </c>
      <c r="BF52" s="249"/>
    </row>
    <row r="53" spans="1:58" ht="12.75">
      <c r="A53" s="3"/>
      <c r="B53" s="12"/>
      <c r="C53" s="3"/>
      <c r="I53" s="11"/>
      <c r="J53" s="11"/>
      <c r="K53" s="11"/>
      <c r="L53" s="11"/>
      <c r="S53" s="11"/>
      <c r="U53" s="2"/>
      <c r="X53" s="2"/>
      <c r="Y53" s="2"/>
      <c r="Z53" s="2"/>
      <c r="AA53" s="2"/>
      <c r="AB53" s="2"/>
      <c r="AY53" s="103" t="s">
        <v>458</v>
      </c>
      <c r="AZ53" s="103" t="s">
        <v>681</v>
      </c>
      <c r="BA53" s="103" t="s">
        <v>132</v>
      </c>
      <c r="BB53" s="298">
        <v>118636</v>
      </c>
      <c r="BF53" s="249"/>
    </row>
    <row r="54" spans="1:58" ht="12.75">
      <c r="A54" s="3"/>
      <c r="B54" s="12"/>
      <c r="C54" s="3"/>
      <c r="I54" s="11"/>
      <c r="J54" s="11"/>
      <c r="K54" s="11"/>
      <c r="L54" s="11"/>
      <c r="S54" s="11"/>
      <c r="U54" s="2"/>
      <c r="X54" s="2"/>
      <c r="Y54" s="2"/>
      <c r="Z54" s="2"/>
      <c r="AA54" s="2"/>
      <c r="AB54" s="2"/>
      <c r="AY54" s="103" t="s">
        <v>473</v>
      </c>
      <c r="AZ54" s="103" t="s">
        <v>682</v>
      </c>
      <c r="BA54" s="103" t="s">
        <v>132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436</v>
      </c>
      <c r="AZ55" s="103" t="s">
        <v>683</v>
      </c>
      <c r="BA55" s="103" t="s">
        <v>132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459</v>
      </c>
      <c r="AZ56" s="103" t="s">
        <v>684</v>
      </c>
      <c r="BA56" s="103" t="s">
        <v>132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460</v>
      </c>
      <c r="AZ57" s="103" t="s">
        <v>685</v>
      </c>
      <c r="BA57" s="103" t="s">
        <v>132</v>
      </c>
      <c r="BB57" s="298">
        <v>359415</v>
      </c>
      <c r="BF57" s="249"/>
    </row>
    <row r="58" spans="1:58" ht="12.75">
      <c r="A58" s="3"/>
      <c r="B58" s="12"/>
      <c r="C58" s="3"/>
      <c r="E58" s="2"/>
      <c r="F58" s="2"/>
      <c r="G58" s="2"/>
      <c r="I58" s="11"/>
      <c r="J58" s="11"/>
      <c r="K58" s="11"/>
      <c r="L58" s="11"/>
      <c r="S58" s="11"/>
      <c r="T58" s="2"/>
      <c r="U58" s="2"/>
      <c r="X58" s="2"/>
      <c r="Y58" s="2"/>
      <c r="Z58" s="2"/>
      <c r="AA58" s="2"/>
      <c r="AB58" s="2"/>
      <c r="AY58" s="103" t="s">
        <v>457</v>
      </c>
      <c r="AZ58" s="103" t="s">
        <v>686</v>
      </c>
      <c r="BA58" s="103" t="s">
        <v>132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455</v>
      </c>
      <c r="AZ59" s="103" t="s">
        <v>687</v>
      </c>
      <c r="BA59" s="103" t="s">
        <v>132</v>
      </c>
      <c r="BB59" s="298">
        <v>159597</v>
      </c>
      <c r="BE59" s="70"/>
      <c r="BF59" s="236"/>
    </row>
    <row r="60" spans="1:58" ht="12.75">
      <c r="A60" s="3"/>
      <c r="B60" s="12"/>
      <c r="C60" s="3"/>
      <c r="G60" s="2"/>
      <c r="I60" s="11"/>
      <c r="J60" s="11"/>
      <c r="K60" s="11"/>
      <c r="L60" s="11"/>
      <c r="S60" s="11"/>
      <c r="T60" s="2"/>
      <c r="U60" s="2"/>
      <c r="X60" s="2"/>
      <c r="Y60" s="2"/>
      <c r="Z60" s="2"/>
      <c r="AA60" s="2"/>
      <c r="AB60" s="2"/>
      <c r="AY60" s="103" t="s">
        <v>406</v>
      </c>
      <c r="AZ60" s="103" t="s">
        <v>688</v>
      </c>
      <c r="BA60" s="103" t="s">
        <v>132</v>
      </c>
      <c r="BB60" s="298">
        <v>290050</v>
      </c>
      <c r="BE60" s="70"/>
      <c r="BF60" s="236"/>
    </row>
    <row r="61" spans="1:58" ht="12.75">
      <c r="A61" s="3"/>
      <c r="B61" s="12"/>
      <c r="C61" s="3"/>
      <c r="G61" s="2"/>
      <c r="I61" s="11"/>
      <c r="J61" s="2"/>
      <c r="K61" s="2"/>
      <c r="L61" s="2"/>
      <c r="S61" s="2"/>
      <c r="T61" s="2"/>
      <c r="U61" s="2"/>
      <c r="X61" s="2"/>
      <c r="Y61" s="2"/>
      <c r="Z61" s="2"/>
      <c r="AA61" s="2"/>
      <c r="AB61" s="2"/>
      <c r="AY61" s="103" t="s">
        <v>366</v>
      </c>
      <c r="AZ61" s="103" t="s">
        <v>689</v>
      </c>
      <c r="BA61" s="103" t="s">
        <v>132</v>
      </c>
      <c r="BB61" s="298">
        <v>258661</v>
      </c>
      <c r="BE61" s="70"/>
      <c r="BF61" s="236"/>
    </row>
    <row r="62" spans="1:58" ht="12.75">
      <c r="A62" s="3"/>
      <c r="B62" s="12"/>
      <c r="C62" s="3"/>
      <c r="G62" s="2"/>
      <c r="I62" s="11"/>
      <c r="J62" s="2"/>
      <c r="K62" s="2"/>
      <c r="L62" s="2"/>
      <c r="S62" s="2"/>
      <c r="T62" s="2"/>
      <c r="U62" s="2"/>
      <c r="X62" s="2"/>
      <c r="Y62" s="2"/>
      <c r="Z62" s="2"/>
      <c r="AA62" s="2"/>
      <c r="AB62" s="2"/>
      <c r="AY62" s="103" t="s">
        <v>440</v>
      </c>
      <c r="AZ62" s="103" t="s">
        <v>690</v>
      </c>
      <c r="BA62" s="103" t="s">
        <v>132</v>
      </c>
      <c r="BB62" s="298">
        <v>166624</v>
      </c>
      <c r="BE62" s="70"/>
      <c r="BF62" s="236"/>
    </row>
    <row r="63" spans="1:58" ht="12.75">
      <c r="A63" s="3"/>
      <c r="B63" s="12"/>
      <c r="C63" s="3"/>
      <c r="G63" s="2"/>
      <c r="I63" s="11"/>
      <c r="J63" s="2"/>
      <c r="K63" s="2"/>
      <c r="L63" s="2"/>
      <c r="S63" s="2"/>
      <c r="T63" s="2"/>
      <c r="U63" s="2"/>
      <c r="V63" s="13"/>
      <c r="X63" s="2"/>
      <c r="Y63" s="2"/>
      <c r="Z63" s="2"/>
      <c r="AA63" s="2"/>
      <c r="AB63" s="2"/>
      <c r="AY63" s="103" t="s">
        <v>422</v>
      </c>
      <c r="AZ63" s="103" t="s">
        <v>691</v>
      </c>
      <c r="BA63" s="103" t="s">
        <v>132</v>
      </c>
      <c r="BB63" s="298">
        <v>185008</v>
      </c>
      <c r="BE63" s="70"/>
      <c r="BF63" s="236"/>
    </row>
    <row r="64" spans="1:58" ht="12.75">
      <c r="A64" s="3"/>
      <c r="B64" s="12"/>
      <c r="C64" s="3"/>
      <c r="I64" s="11"/>
      <c r="V64" s="3"/>
      <c r="AY64" s="103" t="s">
        <v>453</v>
      </c>
      <c r="AZ64" s="103" t="s">
        <v>692</v>
      </c>
      <c r="BA64" s="103" t="s">
        <v>132</v>
      </c>
      <c r="BB64" s="298">
        <v>166721</v>
      </c>
      <c r="BE64" s="70"/>
      <c r="BF64" s="238"/>
    </row>
    <row r="65" spans="1:58" ht="12.75">
      <c r="A65" s="3"/>
      <c r="B65" s="12"/>
      <c r="C65" s="3"/>
      <c r="AY65" s="103" t="s">
        <v>435</v>
      </c>
      <c r="AZ65" s="103" t="s">
        <v>693</v>
      </c>
      <c r="BA65" s="103" t="s">
        <v>132</v>
      </c>
      <c r="BB65" s="298">
        <v>254708</v>
      </c>
      <c r="BE65" s="70"/>
      <c r="BF65" s="238"/>
    </row>
    <row r="66" spans="1:58" ht="12.75">
      <c r="A66" s="3"/>
      <c r="B66" s="12"/>
      <c r="C66" s="3"/>
      <c r="E66" s="2"/>
      <c r="F66" s="2"/>
      <c r="G66" s="2"/>
      <c r="V66" s="2"/>
      <c r="AY66" s="103" t="s">
        <v>438</v>
      </c>
      <c r="AZ66" s="103" t="s">
        <v>694</v>
      </c>
      <c r="BA66" s="103" t="s">
        <v>132</v>
      </c>
      <c r="BB66" s="298">
        <v>118017</v>
      </c>
      <c r="BE66" s="70"/>
      <c r="BF66" s="236"/>
    </row>
    <row r="67" spans="1:58" ht="12.75">
      <c r="A67" s="3"/>
      <c r="B67" s="12"/>
      <c r="C67" s="3"/>
      <c r="AY67" s="103" t="s">
        <v>432</v>
      </c>
      <c r="AZ67" s="103" t="s">
        <v>695</v>
      </c>
      <c r="BA67" s="103" t="s">
        <v>132</v>
      </c>
      <c r="BB67" s="298">
        <v>565185</v>
      </c>
      <c r="BE67" s="70"/>
      <c r="BF67" s="236"/>
    </row>
    <row r="68" spans="1:58" ht="12.75">
      <c r="A68" s="3"/>
      <c r="B68" s="12"/>
      <c r="C68" s="3"/>
      <c r="AY68" s="103" t="s">
        <v>454</v>
      </c>
      <c r="AZ68" s="103" t="s">
        <v>696</v>
      </c>
      <c r="BA68" s="103" t="s">
        <v>132</v>
      </c>
      <c r="BB68" s="298">
        <v>339389</v>
      </c>
      <c r="BF68" s="249"/>
    </row>
    <row r="69" spans="1:58" ht="12.75">
      <c r="A69" s="3"/>
      <c r="B69" s="12"/>
      <c r="C69" s="3"/>
      <c r="AY69" s="103" t="s">
        <v>461</v>
      </c>
      <c r="AZ69" s="103" t="s">
        <v>697</v>
      </c>
      <c r="BA69" s="103" t="s">
        <v>132</v>
      </c>
      <c r="BB69" s="298">
        <v>352792</v>
      </c>
      <c r="BE69" s="70"/>
      <c r="BF69" s="238"/>
    </row>
    <row r="70" spans="1:58" ht="12.75">
      <c r="A70" s="3"/>
      <c r="B70" s="12"/>
      <c r="C70" s="3"/>
      <c r="AY70" s="103" t="s">
        <v>468</v>
      </c>
      <c r="AZ70" s="103" t="s">
        <v>698</v>
      </c>
      <c r="BA70" s="103" t="s">
        <v>132</v>
      </c>
      <c r="BB70" s="298">
        <v>241613</v>
      </c>
      <c r="BE70" s="70"/>
      <c r="BF70" s="236"/>
    </row>
    <row r="71" spans="1:58" ht="12.75">
      <c r="A71" s="3"/>
      <c r="B71" s="12"/>
      <c r="C71" s="3"/>
      <c r="AY71" s="103" t="s">
        <v>511</v>
      </c>
      <c r="AZ71" s="103" t="s">
        <v>699</v>
      </c>
      <c r="BA71" s="103" t="s">
        <v>132</v>
      </c>
      <c r="BB71" s="298">
        <v>67686</v>
      </c>
      <c r="BE71" s="70"/>
      <c r="BF71" s="236"/>
    </row>
    <row r="72" spans="1:58" ht="12.75">
      <c r="A72" s="3"/>
      <c r="B72" s="12"/>
      <c r="C72" s="3"/>
      <c r="AY72" s="103" t="s">
        <v>464</v>
      </c>
      <c r="AZ72" s="103" t="s">
        <v>700</v>
      </c>
      <c r="BA72" s="103" t="s">
        <v>132</v>
      </c>
      <c r="BB72" s="298">
        <v>314664</v>
      </c>
      <c r="BE72" s="247"/>
      <c r="BF72" s="236"/>
    </row>
    <row r="73" spans="1:58" ht="12.75">
      <c r="A73" s="3"/>
      <c r="B73" s="12"/>
      <c r="C73" s="3"/>
      <c r="AY73" s="103" t="s">
        <v>434</v>
      </c>
      <c r="AZ73" s="103" t="s">
        <v>701</v>
      </c>
      <c r="BA73" s="103" t="s">
        <v>132</v>
      </c>
      <c r="BB73" s="298">
        <v>97292</v>
      </c>
      <c r="BE73" s="70"/>
      <c r="BF73" s="236"/>
    </row>
    <row r="74" spans="1:58" ht="12.75">
      <c r="A74" s="3"/>
      <c r="B74" s="12"/>
      <c r="C74" s="3"/>
      <c r="AY74" s="103" t="s">
        <v>463</v>
      </c>
      <c r="AZ74" s="103" t="s">
        <v>702</v>
      </c>
      <c r="BA74" s="103" t="s">
        <v>132</v>
      </c>
      <c r="BB74" s="298">
        <v>102317</v>
      </c>
      <c r="BE74" s="70"/>
      <c r="BF74" s="238"/>
    </row>
    <row r="75" spans="1:58" ht="12.75">
      <c r="A75" s="3"/>
      <c r="B75" s="12"/>
      <c r="C75" s="3"/>
      <c r="AY75" s="103" t="s">
        <v>378</v>
      </c>
      <c r="AZ75" s="103" t="s">
        <v>703</v>
      </c>
      <c r="BA75" s="103" t="s">
        <v>132</v>
      </c>
      <c r="BB75" s="298">
        <v>371595</v>
      </c>
      <c r="BE75" s="70"/>
      <c r="BF75" s="238"/>
    </row>
    <row r="76" spans="1:58" ht="12.75">
      <c r="A76" s="3"/>
      <c r="B76" s="12"/>
      <c r="C76" s="3"/>
      <c r="AY76" s="103" t="s">
        <v>466</v>
      </c>
      <c r="AZ76" s="103" t="s">
        <v>704</v>
      </c>
      <c r="BA76" s="103" t="s">
        <v>132</v>
      </c>
      <c r="BB76" s="298">
        <v>226047</v>
      </c>
      <c r="BE76" s="70"/>
      <c r="BF76" s="238"/>
    </row>
    <row r="77" spans="1:58" ht="12.75">
      <c r="A77" s="3"/>
      <c r="B77" s="12"/>
      <c r="C77" s="3"/>
      <c r="AY77" s="103" t="s">
        <v>426</v>
      </c>
      <c r="AZ77" s="103" t="s">
        <v>705</v>
      </c>
      <c r="BA77" s="103" t="s">
        <v>132</v>
      </c>
      <c r="BB77" s="298">
        <v>183762</v>
      </c>
      <c r="BE77" s="70"/>
      <c r="BF77" s="246"/>
    </row>
    <row r="78" spans="1:58" ht="12.75">
      <c r="A78" s="3"/>
      <c r="B78" s="12"/>
      <c r="C78" s="3"/>
      <c r="AY78" s="103" t="s">
        <v>446</v>
      </c>
      <c r="AZ78" s="103" t="s">
        <v>706</v>
      </c>
      <c r="BA78" s="103" t="s">
        <v>132</v>
      </c>
      <c r="BB78" s="298">
        <v>265437</v>
      </c>
      <c r="BE78" s="70"/>
      <c r="BF78" s="236"/>
    </row>
    <row r="79" spans="1:58" ht="12.75">
      <c r="A79" s="3"/>
      <c r="B79" s="12"/>
      <c r="C79" s="3"/>
      <c r="AY79" s="103" t="s">
        <v>368</v>
      </c>
      <c r="AZ79" s="103" t="s">
        <v>707</v>
      </c>
      <c r="BA79" s="103" t="s">
        <v>132</v>
      </c>
      <c r="BB79" s="298">
        <v>628635</v>
      </c>
      <c r="BF79" s="236"/>
    </row>
    <row r="80" spans="1:58" ht="12.75">
      <c r="A80" s="3"/>
      <c r="B80" s="12"/>
      <c r="C80" s="3"/>
      <c r="AY80" s="103" t="s">
        <v>472</v>
      </c>
      <c r="AZ80" s="103" t="s">
        <v>708</v>
      </c>
      <c r="BA80" s="103" t="s">
        <v>132</v>
      </c>
      <c r="BB80" s="298">
        <v>128014</v>
      </c>
      <c r="BF80" s="249"/>
    </row>
    <row r="81" spans="1:58" ht="12.75">
      <c r="A81" s="3"/>
      <c r="B81" s="12"/>
      <c r="C81" s="3"/>
      <c r="AY81" s="103" t="s">
        <v>462</v>
      </c>
      <c r="AZ81" s="103" t="s">
        <v>709</v>
      </c>
      <c r="BA81" s="103" t="s">
        <v>132</v>
      </c>
      <c r="BB81" s="298">
        <v>262238</v>
      </c>
      <c r="BF81" s="249"/>
    </row>
    <row r="82" spans="1:58" ht="12.75">
      <c r="A82" s="3"/>
      <c r="B82" s="12"/>
      <c r="C82" s="3"/>
      <c r="AY82" s="103" t="s">
        <v>471</v>
      </c>
      <c r="AZ82" s="103" t="s">
        <v>710</v>
      </c>
      <c r="BA82" s="103" t="s">
        <v>132</v>
      </c>
      <c r="BB82" s="298">
        <v>342743</v>
      </c>
      <c r="BF82" s="249"/>
    </row>
    <row r="83" spans="1:58" ht="12.75">
      <c r="A83" s="3"/>
      <c r="B83" s="12"/>
      <c r="C83" s="3"/>
      <c r="AY83" s="103" t="s">
        <v>367</v>
      </c>
      <c r="AZ83" s="103" t="s">
        <v>711</v>
      </c>
      <c r="BA83" s="103" t="s">
        <v>132</v>
      </c>
      <c r="BB83" s="298">
        <v>144732</v>
      </c>
      <c r="BE83" s="70"/>
      <c r="BF83" s="238"/>
    </row>
    <row r="84" spans="1:58" ht="12.75">
      <c r="A84" s="3"/>
      <c r="B84" s="12"/>
      <c r="C84" s="3"/>
      <c r="AY84" s="103" t="s">
        <v>470</v>
      </c>
      <c r="AZ84" s="103" t="s">
        <v>712</v>
      </c>
      <c r="BA84" s="103" t="s">
        <v>132</v>
      </c>
      <c r="BB84" s="298">
        <v>93461</v>
      </c>
      <c r="BE84" s="70"/>
      <c r="BF84" s="238"/>
    </row>
    <row r="85" spans="1:58" ht="12.75">
      <c r="A85" s="3"/>
      <c r="B85" s="12"/>
      <c r="C85" s="3"/>
      <c r="AY85" s="103" t="s">
        <v>465</v>
      </c>
      <c r="AZ85" s="103" t="s">
        <v>713</v>
      </c>
      <c r="BA85" s="103" t="s">
        <v>132</v>
      </c>
      <c r="BB85" s="298">
        <v>121763</v>
      </c>
      <c r="BE85" s="70"/>
      <c r="BF85" s="238"/>
    </row>
    <row r="86" spans="1:58" ht="12.75">
      <c r="A86" s="3"/>
      <c r="B86" s="12"/>
      <c r="C86" s="3"/>
      <c r="AY86" s="103" t="s">
        <v>418</v>
      </c>
      <c r="AZ86" s="103" t="s">
        <v>714</v>
      </c>
      <c r="BA86" s="103" t="s">
        <v>132</v>
      </c>
      <c r="BB86" s="298">
        <v>129209</v>
      </c>
      <c r="BE86" s="70"/>
      <c r="BF86" s="246"/>
    </row>
    <row r="87" spans="1:58" ht="12.75">
      <c r="A87" s="3"/>
      <c r="B87" s="12"/>
      <c r="C87" s="3"/>
      <c r="AY87" s="103" t="s">
        <v>421</v>
      </c>
      <c r="AZ87" s="103" t="s">
        <v>715</v>
      </c>
      <c r="BA87" s="103" t="s">
        <v>132</v>
      </c>
      <c r="BB87" s="298">
        <v>522776</v>
      </c>
      <c r="BE87" s="70"/>
      <c r="BF87" s="246"/>
    </row>
    <row r="88" spans="1:58" ht="12.75">
      <c r="A88" s="3"/>
      <c r="B88" s="12"/>
      <c r="C88" s="3"/>
      <c r="AY88" s="103" t="s">
        <v>389</v>
      </c>
      <c r="AZ88" s="103" t="s">
        <v>716</v>
      </c>
      <c r="BA88" s="103" t="s">
        <v>132</v>
      </c>
      <c r="BB88" s="298">
        <v>368905</v>
      </c>
      <c r="BE88" s="70"/>
      <c r="BF88" s="238"/>
    </row>
    <row r="89" spans="1:58" ht="12.75">
      <c r="A89" s="3"/>
      <c r="B89" s="12"/>
      <c r="C89" s="3"/>
      <c r="AY89" s="103" t="s">
        <v>315</v>
      </c>
      <c r="AZ89" s="103" t="s">
        <v>717</v>
      </c>
      <c r="BA89" s="103" t="s">
        <v>132</v>
      </c>
      <c r="BB89" s="298">
        <v>239319</v>
      </c>
      <c r="BE89" s="70"/>
      <c r="BF89" s="238"/>
    </row>
    <row r="90" spans="1:58" ht="12.75">
      <c r="A90" s="3"/>
      <c r="B90" s="12"/>
      <c r="C90" s="3"/>
      <c r="AY90" s="103" t="s">
        <v>318</v>
      </c>
      <c r="AZ90" s="103" t="s">
        <v>718</v>
      </c>
      <c r="BA90" s="103" t="s">
        <v>132</v>
      </c>
      <c r="BB90" s="298">
        <v>131791</v>
      </c>
      <c r="BE90" s="70"/>
      <c r="BF90" s="238"/>
    </row>
    <row r="91" spans="1:58" ht="12.75">
      <c r="A91" s="3"/>
      <c r="B91" s="12"/>
      <c r="C91" s="3"/>
      <c r="AY91" s="103" t="s">
        <v>326</v>
      </c>
      <c r="AZ91" s="103" t="s">
        <v>719</v>
      </c>
      <c r="BA91" s="103" t="s">
        <v>132</v>
      </c>
      <c r="BB91" s="298">
        <v>461070</v>
      </c>
      <c r="BE91" s="244"/>
      <c r="BF91" s="246"/>
    </row>
    <row r="92" spans="1:58" ht="12.75">
      <c r="A92" s="3"/>
      <c r="B92" s="12"/>
      <c r="C92" s="3"/>
      <c r="AY92" s="103" t="s">
        <v>330</v>
      </c>
      <c r="AZ92" s="103" t="s">
        <v>720</v>
      </c>
      <c r="BA92" s="103" t="s">
        <v>132</v>
      </c>
      <c r="BB92" s="298">
        <v>312763</v>
      </c>
      <c r="BE92" s="244"/>
      <c r="BF92" s="246"/>
    </row>
    <row r="93" spans="1:58" ht="12.75">
      <c r="A93" s="3"/>
      <c r="B93" s="12"/>
      <c r="C93" s="3"/>
      <c r="AY93" s="103" t="s">
        <v>323</v>
      </c>
      <c r="AZ93" s="103" t="s">
        <v>721</v>
      </c>
      <c r="BA93" s="103" t="s">
        <v>132</v>
      </c>
      <c r="BB93" s="298">
        <v>133795</v>
      </c>
      <c r="BF93" s="249"/>
    </row>
    <row r="94" spans="1:58" ht="12.75">
      <c r="A94" s="3"/>
      <c r="B94" s="12"/>
      <c r="C94" s="3"/>
      <c r="AY94" s="103" t="s">
        <v>312</v>
      </c>
      <c r="AZ94" s="103" t="s">
        <v>722</v>
      </c>
      <c r="BA94" s="103" t="s">
        <v>132</v>
      </c>
      <c r="BB94" s="298">
        <v>181868</v>
      </c>
      <c r="BE94" s="70"/>
      <c r="BF94" s="238"/>
    </row>
    <row r="95" spans="1:58" ht="12.75">
      <c r="A95" s="3"/>
      <c r="B95" s="12"/>
      <c r="C95" s="3"/>
      <c r="AY95" s="103" t="s">
        <v>320</v>
      </c>
      <c r="AZ95" s="103" t="s">
        <v>723</v>
      </c>
      <c r="BA95" s="103" t="s">
        <v>132</v>
      </c>
      <c r="BB95" s="298">
        <v>204306</v>
      </c>
      <c r="BE95" s="244"/>
      <c r="BF95" s="246"/>
    </row>
    <row r="96" spans="1:58" ht="12.75">
      <c r="A96" s="3"/>
      <c r="B96" s="12"/>
      <c r="C96" s="3"/>
      <c r="AY96" s="103" t="s">
        <v>324</v>
      </c>
      <c r="AZ96" s="103" t="s">
        <v>724</v>
      </c>
      <c r="BA96" s="103" t="s">
        <v>132</v>
      </c>
      <c r="BB96" s="298">
        <v>183653</v>
      </c>
      <c r="BE96" s="240"/>
      <c r="BF96" s="235"/>
    </row>
    <row r="97" spans="1:58" ht="12.75">
      <c r="A97" s="3"/>
      <c r="B97" s="12"/>
      <c r="C97" s="3"/>
      <c r="AY97" s="103" t="s">
        <v>311</v>
      </c>
      <c r="AZ97" s="103" t="s">
        <v>725</v>
      </c>
      <c r="BA97" s="103" t="s">
        <v>132</v>
      </c>
      <c r="BB97" s="298">
        <v>171390</v>
      </c>
      <c r="BE97" s="240"/>
      <c r="BF97" s="235"/>
    </row>
    <row r="98" spans="1:58" ht="12.75">
      <c r="A98" s="3"/>
      <c r="B98" s="12"/>
      <c r="C98" s="3"/>
      <c r="AY98" s="103" t="s">
        <v>328</v>
      </c>
      <c r="AZ98" s="103" t="s">
        <v>726</v>
      </c>
      <c r="BA98" s="103" t="s">
        <v>132</v>
      </c>
      <c r="BB98" s="298">
        <v>530073</v>
      </c>
      <c r="BE98" s="245"/>
      <c r="BF98" s="238"/>
    </row>
    <row r="99" spans="1:58" ht="12.75">
      <c r="A99" s="3"/>
      <c r="B99" s="12"/>
      <c r="C99" s="3"/>
      <c r="AY99" s="103" t="s">
        <v>317</v>
      </c>
      <c r="AZ99" s="103" t="s">
        <v>727</v>
      </c>
      <c r="BA99" s="103" t="s">
        <v>132</v>
      </c>
      <c r="BB99" s="298">
        <v>296370</v>
      </c>
      <c r="BE99" s="70"/>
      <c r="BF99" s="246"/>
    </row>
    <row r="100" spans="1:58" ht="12.75">
      <c r="A100" s="3"/>
      <c r="B100" s="12"/>
      <c r="C100" s="3"/>
      <c r="AY100" s="103" t="s">
        <v>329</v>
      </c>
      <c r="AZ100" s="103" t="s">
        <v>728</v>
      </c>
      <c r="BA100" s="103" t="s">
        <v>132</v>
      </c>
      <c r="BB100" s="298">
        <v>235280</v>
      </c>
      <c r="BE100" s="70"/>
      <c r="BF100" s="246"/>
    </row>
    <row r="101" spans="51:58" ht="12.75">
      <c r="AY101" s="103" t="s">
        <v>321</v>
      </c>
      <c r="AZ101" s="103" t="s">
        <v>729</v>
      </c>
      <c r="BA101" s="103" t="s">
        <v>132</v>
      </c>
      <c r="BB101" s="298">
        <v>208299</v>
      </c>
      <c r="BE101" s="234"/>
      <c r="BF101" s="235"/>
    </row>
    <row r="102" spans="51:58" ht="12.75">
      <c r="AY102" s="103" t="s">
        <v>325</v>
      </c>
      <c r="AZ102" s="103" t="s">
        <v>730</v>
      </c>
      <c r="BA102" s="103" t="s">
        <v>132</v>
      </c>
      <c r="BB102" s="298">
        <v>271512</v>
      </c>
      <c r="BE102" s="234"/>
      <c r="BF102" s="235"/>
    </row>
    <row r="103" spans="51:58" ht="12.75">
      <c r="AY103" s="103" t="s">
        <v>313</v>
      </c>
      <c r="AZ103" s="103" t="s">
        <v>731</v>
      </c>
      <c r="BA103" s="103" t="s">
        <v>132</v>
      </c>
      <c r="BB103" s="298">
        <v>292433</v>
      </c>
      <c r="BE103" s="70"/>
      <c r="BF103" s="236"/>
    </row>
    <row r="104" spans="51:58" ht="12.75">
      <c r="AY104" s="103" t="s">
        <v>322</v>
      </c>
      <c r="AZ104" s="103" t="s">
        <v>732</v>
      </c>
      <c r="BA104" s="103" t="s">
        <v>132</v>
      </c>
      <c r="BB104" s="298">
        <v>144593</v>
      </c>
      <c r="BF104" s="249"/>
    </row>
    <row r="105" spans="51:58" ht="12.75">
      <c r="AY105" s="103" t="s">
        <v>319</v>
      </c>
      <c r="AZ105" s="103" t="s">
        <v>733</v>
      </c>
      <c r="BA105" s="103" t="s">
        <v>132</v>
      </c>
      <c r="BB105" s="298">
        <v>278090</v>
      </c>
      <c r="BE105" s="234"/>
      <c r="BF105" s="235"/>
    </row>
    <row r="106" spans="51:58" ht="12.75">
      <c r="AY106" s="103" t="s">
        <v>316</v>
      </c>
      <c r="AZ106" s="103" t="s">
        <v>734</v>
      </c>
      <c r="BA106" s="103" t="s">
        <v>132</v>
      </c>
      <c r="BB106" s="298">
        <v>172024</v>
      </c>
      <c r="BF106" s="249"/>
    </row>
    <row r="107" spans="51:58" ht="12.75">
      <c r="AY107" s="103" t="s">
        <v>331</v>
      </c>
      <c r="AZ107" s="103" t="s">
        <v>735</v>
      </c>
      <c r="BA107" s="103" t="s">
        <v>132</v>
      </c>
      <c r="BB107" s="298">
        <v>268758</v>
      </c>
      <c r="BF107" s="249"/>
    </row>
    <row r="108" spans="51:58" ht="12.75">
      <c r="AY108" s="103" t="s">
        <v>332</v>
      </c>
      <c r="AZ108" s="103" t="s">
        <v>736</v>
      </c>
      <c r="BA108" s="103" t="s">
        <v>132</v>
      </c>
      <c r="BB108" s="298">
        <v>260354</v>
      </c>
      <c r="BE108" s="70"/>
      <c r="BF108" s="236"/>
    </row>
    <row r="109" spans="51:58" ht="12.75">
      <c r="AY109" s="103" t="s">
        <v>314</v>
      </c>
      <c r="AZ109" s="103" t="s">
        <v>737</v>
      </c>
      <c r="BA109" s="103" t="s">
        <v>132</v>
      </c>
      <c r="BB109" s="298">
        <v>112154</v>
      </c>
      <c r="BE109" s="234"/>
      <c r="BF109" s="235"/>
    </row>
    <row r="110" spans="51:58" ht="12.75">
      <c r="AY110" s="103" t="s">
        <v>390</v>
      </c>
      <c r="AZ110" s="103" t="s">
        <v>738</v>
      </c>
      <c r="BA110" s="103" t="s">
        <v>132</v>
      </c>
      <c r="BB110" s="298">
        <v>430680</v>
      </c>
      <c r="BE110" s="70"/>
      <c r="BF110" s="246"/>
    </row>
    <row r="111" spans="51:58" ht="12.75">
      <c r="AY111" s="103" t="s">
        <v>383</v>
      </c>
      <c r="AZ111" s="103" t="s">
        <v>739</v>
      </c>
      <c r="BA111" s="103" t="s">
        <v>132</v>
      </c>
      <c r="BB111" s="298">
        <v>861759</v>
      </c>
      <c r="BE111" s="70"/>
      <c r="BF111" s="236"/>
    </row>
    <row r="112" spans="51:58" ht="12.75">
      <c r="AY112" s="103" t="s">
        <v>474</v>
      </c>
      <c r="AZ112" s="103" t="s">
        <v>740</v>
      </c>
      <c r="BA112" s="103" t="s">
        <v>132</v>
      </c>
      <c r="BB112" s="298">
        <v>563052</v>
      </c>
      <c r="BE112" s="247"/>
      <c r="BF112" s="246"/>
    </row>
    <row r="113" spans="51:58" ht="12.75">
      <c r="AY113" s="103" t="s">
        <v>420</v>
      </c>
      <c r="AZ113" s="103" t="s">
        <v>741</v>
      </c>
      <c r="BA113" s="103" t="s">
        <v>132</v>
      </c>
      <c r="BB113" s="298">
        <v>387143</v>
      </c>
      <c r="BE113" s="70"/>
      <c r="BF113" s="238"/>
    </row>
    <row r="114" spans="51:58" ht="12.75">
      <c r="AY114" s="103" t="s">
        <v>380</v>
      </c>
      <c r="AZ114" s="103" t="s">
        <v>742</v>
      </c>
      <c r="BA114" s="103" t="s">
        <v>132</v>
      </c>
      <c r="BB114" s="298">
        <v>230830</v>
      </c>
      <c r="BF114" s="238"/>
    </row>
    <row r="115" spans="51:58" ht="12.75">
      <c r="AY115" s="103" t="s">
        <v>413</v>
      </c>
      <c r="AZ115" s="103" t="s">
        <v>743</v>
      </c>
      <c r="BA115" s="103" t="s">
        <v>132</v>
      </c>
      <c r="BB115" s="298">
        <v>597224</v>
      </c>
      <c r="BE115" s="245"/>
      <c r="BF115" s="238"/>
    </row>
    <row r="116" spans="51:58" ht="12.75">
      <c r="AY116" s="103" t="s">
        <v>428</v>
      </c>
      <c r="AZ116" s="103" t="s">
        <v>744</v>
      </c>
      <c r="BA116" s="103" t="s">
        <v>132</v>
      </c>
      <c r="BB116" s="298">
        <v>213020</v>
      </c>
      <c r="BE116" s="70"/>
      <c r="BF116" s="236"/>
    </row>
    <row r="117" spans="51:58" ht="12.75">
      <c r="AY117" s="103" t="s">
        <v>393</v>
      </c>
      <c r="AZ117" s="103" t="s">
        <v>745</v>
      </c>
      <c r="BA117" s="103" t="s">
        <v>132</v>
      </c>
      <c r="BB117" s="298">
        <v>379032</v>
      </c>
      <c r="BE117" s="234"/>
      <c r="BF117" s="235"/>
    </row>
    <row r="118" spans="51:58" ht="12.75">
      <c r="AY118" s="103" t="s">
        <v>402</v>
      </c>
      <c r="AZ118" s="103" t="s">
        <v>746</v>
      </c>
      <c r="BA118" s="103" t="s">
        <v>132</v>
      </c>
      <c r="BB118" s="298">
        <v>327531</v>
      </c>
      <c r="BE118" s="70"/>
      <c r="BF118" s="236"/>
    </row>
    <row r="119" spans="51:58" ht="12.75">
      <c r="AY119" s="103" t="s">
        <v>475</v>
      </c>
      <c r="AZ119" s="103" t="s">
        <v>747</v>
      </c>
      <c r="BA119" s="103" t="s">
        <v>132</v>
      </c>
      <c r="BB119" s="298">
        <v>167483</v>
      </c>
      <c r="BE119" s="70"/>
      <c r="BF119" s="236"/>
    </row>
    <row r="120" spans="51:58" ht="12.75">
      <c r="AY120" s="103" t="s">
        <v>477</v>
      </c>
      <c r="AZ120" s="103" t="s">
        <v>748</v>
      </c>
      <c r="BA120" s="103" t="s">
        <v>132</v>
      </c>
      <c r="BB120" s="298">
        <v>204270</v>
      </c>
      <c r="BE120" s="70"/>
      <c r="BF120" s="236"/>
    </row>
    <row r="121" spans="51:58" ht="12.75">
      <c r="AY121" s="103" t="s">
        <v>476</v>
      </c>
      <c r="AZ121" s="103" t="s">
        <v>749</v>
      </c>
      <c r="BA121" s="103" t="s">
        <v>132</v>
      </c>
      <c r="BB121" s="298">
        <v>220178</v>
      </c>
      <c r="BE121" s="234"/>
      <c r="BF121" s="235"/>
    </row>
    <row r="122" spans="51:58" ht="12.75">
      <c r="AY122" s="103" t="s">
        <v>369</v>
      </c>
      <c r="AZ122" s="103" t="s">
        <v>750</v>
      </c>
      <c r="BA122" s="103" t="s">
        <v>132</v>
      </c>
      <c r="BB122" s="298">
        <v>151526</v>
      </c>
      <c r="BE122" s="70"/>
      <c r="BF122" s="246"/>
    </row>
    <row r="123" spans="51:58" ht="12.75">
      <c r="AY123" s="103" t="s">
        <v>392</v>
      </c>
      <c r="AZ123" s="103" t="s">
        <v>751</v>
      </c>
      <c r="BA123" s="103" t="s">
        <v>132</v>
      </c>
      <c r="BB123" s="298">
        <v>291230</v>
      </c>
      <c r="BF123" s="249"/>
    </row>
    <row r="124" spans="51:58" ht="12.75">
      <c r="AY124" s="103" t="s">
        <v>394</v>
      </c>
      <c r="AZ124" s="103" t="s">
        <v>752</v>
      </c>
      <c r="BA124" s="103" t="s">
        <v>132</v>
      </c>
      <c r="BB124" s="298">
        <v>164506</v>
      </c>
      <c r="BF124" s="249"/>
    </row>
    <row r="125" spans="51:58" ht="12.75">
      <c r="AY125" s="103" t="s">
        <v>403</v>
      </c>
      <c r="AZ125" s="103" t="s">
        <v>753</v>
      </c>
      <c r="BA125" s="103" t="s">
        <v>132</v>
      </c>
      <c r="BB125" s="298">
        <v>235721</v>
      </c>
      <c r="BE125" s="70"/>
      <c r="BF125" s="246"/>
    </row>
    <row r="126" spans="51:58" ht="12.75">
      <c r="AY126" s="103" t="s">
        <v>416</v>
      </c>
      <c r="AZ126" s="103" t="s">
        <v>754</v>
      </c>
      <c r="BA126" s="103" t="s">
        <v>132</v>
      </c>
      <c r="BB126" s="298">
        <v>201601</v>
      </c>
      <c r="BE126" s="70"/>
      <c r="BF126" s="236"/>
    </row>
    <row r="127" spans="51:58" ht="12.75">
      <c r="AY127" s="103" t="s">
        <v>377</v>
      </c>
      <c r="AZ127" s="103" t="s">
        <v>755</v>
      </c>
      <c r="BA127" s="103" t="s">
        <v>132</v>
      </c>
      <c r="BB127" s="298">
        <v>376153</v>
      </c>
      <c r="BF127" s="249"/>
    </row>
    <row r="128" spans="51:58" ht="12.75">
      <c r="AY128" s="103" t="s">
        <v>487</v>
      </c>
      <c r="AZ128" s="103" t="s">
        <v>756</v>
      </c>
      <c r="BA128" s="103" t="s">
        <v>132</v>
      </c>
      <c r="BB128" s="298">
        <v>228448</v>
      </c>
      <c r="BE128" s="247"/>
      <c r="BF128" s="246"/>
    </row>
    <row r="129" spans="51:58" ht="12.75">
      <c r="AY129" s="103" t="s">
        <v>386</v>
      </c>
      <c r="AZ129" s="103" t="s">
        <v>757</v>
      </c>
      <c r="BA129" s="103" t="s">
        <v>132</v>
      </c>
      <c r="BB129" s="298">
        <v>328780</v>
      </c>
      <c r="BE129" s="70"/>
      <c r="BF129" s="246"/>
    </row>
    <row r="130" spans="51:58" ht="12.75">
      <c r="AY130" s="103" t="s">
        <v>488</v>
      </c>
      <c r="AZ130" s="103" t="s">
        <v>758</v>
      </c>
      <c r="BA130" s="103" t="s">
        <v>132</v>
      </c>
      <c r="BB130" s="298">
        <v>314214</v>
      </c>
      <c r="BE130" s="70"/>
      <c r="BF130" s="246"/>
    </row>
    <row r="131" spans="51:58" ht="12.75">
      <c r="AY131" s="103" t="s">
        <v>479</v>
      </c>
      <c r="AZ131" s="103" t="s">
        <v>759</v>
      </c>
      <c r="BA131" s="103" t="s">
        <v>132</v>
      </c>
      <c r="BB131" s="298">
        <v>253416</v>
      </c>
      <c r="BE131" s="244"/>
      <c r="BF131" s="246"/>
    </row>
    <row r="132" spans="51:58" ht="12.75">
      <c r="AY132" s="103" t="s">
        <v>398</v>
      </c>
      <c r="AZ132" s="103" t="s">
        <v>760</v>
      </c>
      <c r="BA132" s="103" t="s">
        <v>132</v>
      </c>
      <c r="BB132" s="298">
        <v>285838</v>
      </c>
      <c r="BE132" s="244"/>
      <c r="BF132" s="246"/>
    </row>
    <row r="133" spans="51:58" ht="12.75">
      <c r="AY133" s="103" t="s">
        <v>497</v>
      </c>
      <c r="AZ133" s="103" t="s">
        <v>761</v>
      </c>
      <c r="BA133" s="103" t="s">
        <v>132</v>
      </c>
      <c r="BB133" s="298">
        <v>379319</v>
      </c>
      <c r="BE133" s="244"/>
      <c r="BF133" s="248"/>
    </row>
    <row r="134" spans="51:58" ht="12.75">
      <c r="AY134" s="103" t="s">
        <v>415</v>
      </c>
      <c r="AZ134" s="103" t="s">
        <v>762</v>
      </c>
      <c r="BA134" s="103" t="s">
        <v>132</v>
      </c>
      <c r="BB134" s="298">
        <v>386580</v>
      </c>
      <c r="BE134" s="240"/>
      <c r="BF134" s="235"/>
    </row>
    <row r="135" spans="51:58" ht="12.75">
      <c r="AY135" s="103" t="s">
        <v>370</v>
      </c>
      <c r="AZ135" s="103" t="s">
        <v>763</v>
      </c>
      <c r="BA135" t="s">
        <v>132</v>
      </c>
      <c r="BB135" s="298">
        <v>287939</v>
      </c>
      <c r="BE135" s="247"/>
      <c r="BF135" s="246"/>
    </row>
    <row r="136" spans="51:58" ht="12.75">
      <c r="AY136" s="103" t="s">
        <v>439</v>
      </c>
      <c r="AZ136" s="103" t="s">
        <v>764</v>
      </c>
      <c r="BA136" s="103" t="s">
        <v>132</v>
      </c>
      <c r="BB136" s="298">
        <v>278666</v>
      </c>
      <c r="BE136" s="234"/>
      <c r="BF136" s="235"/>
    </row>
    <row r="137" spans="51:58" ht="12.75">
      <c r="AY137" s="103" t="s">
        <v>427</v>
      </c>
      <c r="AZ137" s="103" t="s">
        <v>765</v>
      </c>
      <c r="BA137" s="103" t="s">
        <v>132</v>
      </c>
      <c r="BB137" s="298">
        <v>274754</v>
      </c>
      <c r="BF137" s="249"/>
    </row>
    <row r="138" spans="51:58" ht="12.75">
      <c r="AY138" s="103" t="s">
        <v>447</v>
      </c>
      <c r="AZ138" s="103" t="s">
        <v>766</v>
      </c>
      <c r="BA138" s="103" t="s">
        <v>132</v>
      </c>
      <c r="BB138" s="298">
        <v>194613</v>
      </c>
      <c r="BE138" s="70"/>
      <c r="BF138" s="236"/>
    </row>
    <row r="139" spans="51:58" ht="12.75">
      <c r="AY139" s="103" t="s">
        <v>419</v>
      </c>
      <c r="AZ139" s="103" t="s">
        <v>767</v>
      </c>
      <c r="BA139" s="103" t="s">
        <v>132</v>
      </c>
      <c r="BB139" s="298">
        <v>260695</v>
      </c>
      <c r="BE139" s="234"/>
      <c r="BF139" s="235"/>
    </row>
    <row r="140" spans="51:58" ht="12.75">
      <c r="AY140" s="103" t="s">
        <v>478</v>
      </c>
      <c r="AZ140" s="103" t="s">
        <v>768</v>
      </c>
      <c r="BA140" s="103" t="s">
        <v>132</v>
      </c>
      <c r="BB140" s="298">
        <v>224682</v>
      </c>
      <c r="BE140" s="70"/>
      <c r="BF140" s="236"/>
    </row>
    <row r="141" spans="51:58" ht="12.75">
      <c r="AY141" s="103" t="s">
        <v>381</v>
      </c>
      <c r="AZ141" s="103" t="s">
        <v>769</v>
      </c>
      <c r="BA141" s="103" t="s">
        <v>132</v>
      </c>
      <c r="BB141" s="298">
        <v>256079</v>
      </c>
      <c r="BE141" s="70"/>
      <c r="BF141" s="236"/>
    </row>
    <row r="142" spans="51:58" ht="12.75">
      <c r="AY142" s="103" t="s">
        <v>397</v>
      </c>
      <c r="AZ142" s="103" t="s">
        <v>770</v>
      </c>
      <c r="BA142" s="103" t="s">
        <v>132</v>
      </c>
      <c r="BB142" s="298">
        <v>280503</v>
      </c>
      <c r="BE142" s="70"/>
      <c r="BF142" s="238"/>
    </row>
    <row r="143" spans="51:58" ht="12.75">
      <c r="AY143" s="103" t="s">
        <v>409</v>
      </c>
      <c r="AZ143" s="103" t="s">
        <v>771</v>
      </c>
      <c r="BA143" s="103" t="s">
        <v>132</v>
      </c>
      <c r="BB143" s="298">
        <v>219251</v>
      </c>
      <c r="BE143" s="70"/>
      <c r="BF143" s="246"/>
    </row>
    <row r="144" spans="51:58" ht="12.75">
      <c r="AY144" s="103" t="s">
        <v>429</v>
      </c>
      <c r="AZ144" s="103" t="s">
        <v>772</v>
      </c>
      <c r="BA144" s="103" t="s">
        <v>132</v>
      </c>
      <c r="BB144" s="298">
        <v>187383</v>
      </c>
      <c r="BE144" s="70"/>
      <c r="BF144" s="238"/>
    </row>
    <row r="145" spans="51:58" ht="12.75">
      <c r="AY145" s="103" t="s">
        <v>365</v>
      </c>
      <c r="AZ145" s="103" t="s">
        <v>773</v>
      </c>
      <c r="BA145" s="103" t="s">
        <v>132</v>
      </c>
      <c r="BB145" s="298">
        <v>374678</v>
      </c>
      <c r="BE145" s="245"/>
      <c r="BF145" s="246"/>
    </row>
    <row r="146" spans="51:58" ht="12.75">
      <c r="AY146" s="103" t="s">
        <v>489</v>
      </c>
      <c r="AZ146" s="103" t="s">
        <v>774</v>
      </c>
      <c r="BA146" s="103" t="s">
        <v>132</v>
      </c>
      <c r="BB146" s="298">
        <v>299563</v>
      </c>
      <c r="BF146" s="249"/>
    </row>
    <row r="147" spans="51:58" ht="12.75">
      <c r="AY147" s="103" t="s">
        <v>388</v>
      </c>
      <c r="AZ147" s="103" t="s">
        <v>775</v>
      </c>
      <c r="BA147" s="103" t="s">
        <v>132</v>
      </c>
      <c r="BB147" s="298">
        <v>368016</v>
      </c>
      <c r="BF147" s="249"/>
    </row>
    <row r="148" spans="51:58" ht="12.75">
      <c r="AY148" s="103" t="s">
        <v>375</v>
      </c>
      <c r="AZ148" s="103" t="s">
        <v>776</v>
      </c>
      <c r="BA148" s="103" t="s">
        <v>132</v>
      </c>
      <c r="BB148" s="298">
        <v>287529</v>
      </c>
      <c r="BF148" s="249"/>
    </row>
    <row r="149" spans="51:58" ht="12.75">
      <c r="AY149" s="103" t="s">
        <v>414</v>
      </c>
      <c r="AZ149" s="103" t="s">
        <v>777</v>
      </c>
      <c r="BA149" s="103" t="s">
        <v>132</v>
      </c>
      <c r="BB149" s="298">
        <v>197994</v>
      </c>
      <c r="BE149" s="245"/>
      <c r="BF149" s="246"/>
    </row>
    <row r="150" spans="51:58" ht="12.75">
      <c r="AY150" s="103" t="s">
        <v>401</v>
      </c>
      <c r="AZ150" s="103" t="s">
        <v>778</v>
      </c>
      <c r="BA150" s="103" t="s">
        <v>132</v>
      </c>
      <c r="BB150" s="298">
        <v>327517</v>
      </c>
      <c r="BF150" s="249"/>
    </row>
    <row r="151" spans="51:58" ht="12.75">
      <c r="AY151" s="103" t="s">
        <v>498</v>
      </c>
      <c r="AZ151" s="103" t="s">
        <v>779</v>
      </c>
      <c r="BA151" s="103" t="s">
        <v>132</v>
      </c>
      <c r="BB151" s="298">
        <v>209261</v>
      </c>
      <c r="BF151" s="249"/>
    </row>
    <row r="152" spans="51:58" ht="12.75">
      <c r="AY152" s="103" t="s">
        <v>499</v>
      </c>
      <c r="AZ152" s="103" t="s">
        <v>780</v>
      </c>
      <c r="BA152" s="103" t="s">
        <v>132</v>
      </c>
      <c r="BB152" s="298">
        <v>184345</v>
      </c>
      <c r="BE152" s="247"/>
      <c r="BF152" s="236"/>
    </row>
    <row r="153" spans="51:58" ht="12.75">
      <c r="AY153" s="103" t="s">
        <v>387</v>
      </c>
      <c r="AZ153" s="103" t="s">
        <v>781</v>
      </c>
      <c r="BA153" s="103" t="s">
        <v>132</v>
      </c>
      <c r="BB153" s="298">
        <v>278239</v>
      </c>
      <c r="BF153" s="249"/>
    </row>
    <row r="154" spans="51:58" ht="12.75">
      <c r="AY154" s="103" t="s">
        <v>376</v>
      </c>
      <c r="AZ154" s="103" t="s">
        <v>782</v>
      </c>
      <c r="BA154" s="103" t="s">
        <v>132</v>
      </c>
      <c r="BB154" s="298">
        <v>293890</v>
      </c>
      <c r="BE154" s="234"/>
      <c r="BF154" s="235"/>
    </row>
    <row r="155" spans="51:58" ht="12.75">
      <c r="AY155" s="103" t="s">
        <v>411</v>
      </c>
      <c r="AZ155" s="103" t="s">
        <v>783</v>
      </c>
      <c r="BA155" s="103" t="s">
        <v>132</v>
      </c>
      <c r="BB155" s="298">
        <v>350283</v>
      </c>
      <c r="BE155" s="70"/>
      <c r="BF155" s="236"/>
    </row>
    <row r="156" spans="51:58" ht="12.75">
      <c r="AY156" s="103" t="s">
        <v>385</v>
      </c>
      <c r="AZ156" s="103" t="s">
        <v>784</v>
      </c>
      <c r="BA156" s="103" t="s">
        <v>132</v>
      </c>
      <c r="BB156" s="298">
        <v>219681</v>
      </c>
      <c r="BF156" s="249"/>
    </row>
    <row r="157" spans="51:58" ht="12.75">
      <c r="AY157" s="103" t="s">
        <v>404</v>
      </c>
      <c r="AZ157" s="103" t="s">
        <v>785</v>
      </c>
      <c r="BA157" s="103" t="s">
        <v>132</v>
      </c>
      <c r="BB157" s="298">
        <v>191568</v>
      </c>
      <c r="BF157" s="249"/>
    </row>
    <row r="158" spans="51:58" ht="12.75">
      <c r="AY158" s="103" t="s">
        <v>486</v>
      </c>
      <c r="AZ158" s="103" t="s">
        <v>786</v>
      </c>
      <c r="BA158" s="103" t="s">
        <v>132</v>
      </c>
      <c r="BB158" s="298">
        <v>123049</v>
      </c>
      <c r="BF158" s="249"/>
    </row>
    <row r="159" spans="51:58" ht="12.75">
      <c r="AY159" s="103" t="s">
        <v>373</v>
      </c>
      <c r="AZ159" s="103" t="s">
        <v>787</v>
      </c>
      <c r="BA159" s="103" t="s">
        <v>132</v>
      </c>
      <c r="BB159" s="298">
        <v>300515</v>
      </c>
      <c r="BF159" s="249"/>
    </row>
    <row r="160" spans="51:58" ht="12.75">
      <c r="AY160" s="103" t="s">
        <v>483</v>
      </c>
      <c r="AZ160" s="103" t="s">
        <v>788</v>
      </c>
      <c r="BA160" s="103" t="s">
        <v>132</v>
      </c>
      <c r="BB160" s="298">
        <v>212778</v>
      </c>
      <c r="BE160" s="70"/>
      <c r="BF160" s="236"/>
    </row>
    <row r="161" spans="51:58" ht="12.75">
      <c r="AY161" s="103" t="s">
        <v>374</v>
      </c>
      <c r="AZ161" s="103" t="s">
        <v>789</v>
      </c>
      <c r="BA161" s="103" t="s">
        <v>132</v>
      </c>
      <c r="BB161" s="298">
        <v>185366</v>
      </c>
      <c r="BE161" s="70"/>
      <c r="BF161" s="238"/>
    </row>
    <row r="162" spans="51:58" ht="12.75">
      <c r="AY162" s="103" t="s">
        <v>495</v>
      </c>
      <c r="AZ162" s="103" t="s">
        <v>790</v>
      </c>
      <c r="BA162" s="103" t="s">
        <v>132</v>
      </c>
      <c r="BB162" s="298">
        <v>486131</v>
      </c>
      <c r="BE162" s="234"/>
      <c r="BF162" s="235"/>
    </row>
    <row r="163" spans="51:58" ht="12.75">
      <c r="AY163" s="103" t="s">
        <v>396</v>
      </c>
      <c r="AZ163" s="103" t="s">
        <v>791</v>
      </c>
      <c r="BA163" s="103" t="s">
        <v>132</v>
      </c>
      <c r="BB163" s="298">
        <v>123717</v>
      </c>
      <c r="BE163" s="70"/>
      <c r="BF163" s="236"/>
    </row>
    <row r="164" spans="51:58" ht="12.75">
      <c r="AY164" s="103" t="s">
        <v>445</v>
      </c>
      <c r="AZ164" s="103" t="s">
        <v>792</v>
      </c>
      <c r="BA164" s="103" t="s">
        <v>132</v>
      </c>
      <c r="BB164" s="298">
        <v>246419</v>
      </c>
      <c r="BE164" s="245"/>
      <c r="BF164" s="238"/>
    </row>
    <row r="165" spans="51:58" ht="12.75">
      <c r="AY165" s="103" t="s">
        <v>490</v>
      </c>
      <c r="AZ165" s="103" t="s">
        <v>793</v>
      </c>
      <c r="BA165" s="103" t="s">
        <v>132</v>
      </c>
      <c r="BB165" s="298">
        <v>168051</v>
      </c>
      <c r="BF165" s="249"/>
    </row>
    <row r="166" spans="51:58" ht="12.75">
      <c r="AY166" s="103" t="s">
        <v>491</v>
      </c>
      <c r="AZ166" s="103" t="s">
        <v>794</v>
      </c>
      <c r="BA166" s="103" t="s">
        <v>132</v>
      </c>
      <c r="BB166" s="298">
        <v>212679</v>
      </c>
      <c r="BE166" s="70"/>
      <c r="BF166" s="246"/>
    </row>
    <row r="167" spans="51:58" ht="12.75">
      <c r="AY167" s="103" t="s">
        <v>481</v>
      </c>
      <c r="AZ167" s="103" t="s">
        <v>795</v>
      </c>
      <c r="BA167" s="103" t="s">
        <v>132</v>
      </c>
      <c r="BB167" s="298">
        <v>182204</v>
      </c>
      <c r="BF167" s="249"/>
    </row>
    <row r="168" spans="51:58" ht="12.75">
      <c r="AY168" s="103" t="s">
        <v>384</v>
      </c>
      <c r="AZ168" s="103" t="s">
        <v>796</v>
      </c>
      <c r="BA168" s="103" t="s">
        <v>132</v>
      </c>
      <c r="BB168" s="298">
        <v>275970</v>
      </c>
      <c r="BE168" s="234"/>
      <c r="BF168" s="235"/>
    </row>
    <row r="169" spans="51:58" ht="12.75">
      <c r="AY169" s="103" t="s">
        <v>496</v>
      </c>
      <c r="AZ169" s="103" t="s">
        <v>797</v>
      </c>
      <c r="BA169" s="103" t="s">
        <v>132</v>
      </c>
      <c r="BB169" s="298">
        <v>224363</v>
      </c>
      <c r="BE169" s="234"/>
      <c r="BF169" s="235"/>
    </row>
    <row r="170" spans="51:58" ht="12.75">
      <c r="AY170" s="103" t="s">
        <v>441</v>
      </c>
      <c r="AZ170" s="103" t="s">
        <v>798</v>
      </c>
      <c r="BA170" s="103" t="s">
        <v>132</v>
      </c>
      <c r="BB170" s="298">
        <v>349206</v>
      </c>
      <c r="BE170" s="70"/>
      <c r="BF170" s="238"/>
    </row>
    <row r="171" spans="51:58" ht="12.75">
      <c r="AY171" s="103" t="s">
        <v>482</v>
      </c>
      <c r="AZ171" s="103" t="s">
        <v>799</v>
      </c>
      <c r="BA171" s="103" t="s">
        <v>132</v>
      </c>
      <c r="BB171" s="298">
        <v>199887</v>
      </c>
      <c r="BE171" s="70"/>
      <c r="BF171" s="236"/>
    </row>
    <row r="172" spans="51:58" ht="12.75">
      <c r="AY172" s="103" t="s">
        <v>493</v>
      </c>
      <c r="AZ172" s="103" t="s">
        <v>800</v>
      </c>
      <c r="BA172" s="103" t="s">
        <v>132</v>
      </c>
      <c r="BB172" s="298">
        <v>90403</v>
      </c>
      <c r="BE172" s="70"/>
      <c r="BF172" s="238"/>
    </row>
    <row r="173" spans="51:58" ht="12.75">
      <c r="AY173" s="103" t="s">
        <v>408</v>
      </c>
      <c r="AZ173" s="103" t="s">
        <v>801</v>
      </c>
      <c r="BA173" s="103" t="s">
        <v>132</v>
      </c>
      <c r="BB173" s="298">
        <v>108078</v>
      </c>
      <c r="BE173" s="70"/>
      <c r="BF173" s="236"/>
    </row>
    <row r="174" spans="51:58" ht="12.75">
      <c r="AY174" s="103" t="s">
        <v>485</v>
      </c>
      <c r="AZ174" s="103" t="s">
        <v>802</v>
      </c>
      <c r="BA174" s="103" t="s">
        <v>132</v>
      </c>
      <c r="BB174" s="298">
        <v>136220</v>
      </c>
      <c r="BF174" s="249"/>
    </row>
    <row r="175" spans="51:58" ht="12.75">
      <c r="AY175" s="103" t="s">
        <v>508</v>
      </c>
      <c r="AZ175" s="103" t="s">
        <v>803</v>
      </c>
      <c r="BA175" s="103" t="s">
        <v>132</v>
      </c>
      <c r="BB175" s="298">
        <v>136117</v>
      </c>
      <c r="BF175" s="249"/>
    </row>
    <row r="176" spans="51:58" ht="12.75">
      <c r="AY176" s="103" t="s">
        <v>372</v>
      </c>
      <c r="AZ176" s="103" t="s">
        <v>804</v>
      </c>
      <c r="BA176" s="103" t="s">
        <v>132</v>
      </c>
      <c r="BB176" s="298">
        <v>298584</v>
      </c>
      <c r="BE176" s="234"/>
      <c r="BF176" s="235"/>
    </row>
    <row r="177" spans="51:58" ht="12.75">
      <c r="AY177" s="103" t="s">
        <v>505</v>
      </c>
      <c r="AZ177" s="103" t="s">
        <v>805</v>
      </c>
      <c r="BA177" s="103" t="s">
        <v>132</v>
      </c>
      <c r="BB177" s="298">
        <v>213947</v>
      </c>
      <c r="BE177" s="234"/>
      <c r="BF177" s="235"/>
    </row>
    <row r="178" spans="51:58" ht="12.75">
      <c r="AY178" s="103" t="s">
        <v>503</v>
      </c>
      <c r="AZ178" s="103" t="s">
        <v>806</v>
      </c>
      <c r="BA178" s="103" t="s">
        <v>132</v>
      </c>
      <c r="BB178" s="298">
        <v>199679</v>
      </c>
      <c r="BE178" s="70"/>
      <c r="BF178" s="238"/>
    </row>
    <row r="179" spans="51:58" ht="12.75">
      <c r="AY179" s="103" t="s">
        <v>507</v>
      </c>
      <c r="AZ179" s="103" t="s">
        <v>807</v>
      </c>
      <c r="BA179" s="103" t="s">
        <v>224</v>
      </c>
      <c r="BB179" s="298">
        <v>140954</v>
      </c>
      <c r="BF179" s="249"/>
    </row>
    <row r="180" spans="51:58" ht="12.75">
      <c r="AY180" s="103" t="s">
        <v>506</v>
      </c>
      <c r="AZ180" s="103" t="s">
        <v>808</v>
      </c>
      <c r="BA180" s="103" t="s">
        <v>132</v>
      </c>
      <c r="BB180" s="298">
        <v>113978</v>
      </c>
      <c r="BE180" s="244"/>
      <c r="BF180" s="246"/>
    </row>
    <row r="181" spans="51:58" ht="12.75">
      <c r="AY181" s="103" t="s">
        <v>510</v>
      </c>
      <c r="AZ181" s="103" t="s">
        <v>809</v>
      </c>
      <c r="BA181" s="103" t="s">
        <v>132</v>
      </c>
      <c r="BB181" s="298">
        <v>107019</v>
      </c>
      <c r="BF181" s="249"/>
    </row>
    <row r="182" spans="51:58" ht="12.75">
      <c r="AY182" s="103" t="s">
        <v>512</v>
      </c>
      <c r="AZ182" s="103" t="s">
        <v>810</v>
      </c>
      <c r="BA182" s="103" t="s">
        <v>224</v>
      </c>
      <c r="BB182" s="298">
        <v>681439</v>
      </c>
      <c r="BF182" s="249"/>
    </row>
    <row r="183" spans="51:58" ht="12.75">
      <c r="AY183" s="103" t="s">
        <v>431</v>
      </c>
      <c r="AZ183" s="103" t="s">
        <v>811</v>
      </c>
      <c r="BA183" s="103" t="s">
        <v>132</v>
      </c>
      <c r="BB183" s="298">
        <v>216450</v>
      </c>
      <c r="BE183" s="70"/>
      <c r="BF183" s="238"/>
    </row>
    <row r="184" spans="51:58" ht="12.75">
      <c r="AY184" s="103" t="s">
        <v>391</v>
      </c>
      <c r="AZ184" s="103" t="s">
        <v>812</v>
      </c>
      <c r="BA184" s="103" t="s">
        <v>132</v>
      </c>
      <c r="BB184" s="298">
        <v>143386</v>
      </c>
      <c r="BE184" s="70"/>
      <c r="BF184" s="238"/>
    </row>
    <row r="185" spans="51:58" ht="12.75">
      <c r="AY185" s="103" t="s">
        <v>417</v>
      </c>
      <c r="AZ185" s="103" t="s">
        <v>813</v>
      </c>
      <c r="BA185" s="103" t="s">
        <v>132</v>
      </c>
      <c r="BB185" s="298">
        <v>203460</v>
      </c>
      <c r="BF185" s="249"/>
    </row>
    <row r="186" spans="51:58" ht="12.75">
      <c r="AY186" s="103" t="s">
        <v>430</v>
      </c>
      <c r="AZ186" s="103" t="s">
        <v>814</v>
      </c>
      <c r="BA186" s="103" t="s">
        <v>132</v>
      </c>
      <c r="BB186" s="298">
        <v>121932</v>
      </c>
      <c r="BF186" s="249"/>
    </row>
    <row r="187" spans="51:58" ht="12.75">
      <c r="AY187" s="103" t="s">
        <v>502</v>
      </c>
      <c r="AZ187" s="103" t="s">
        <v>815</v>
      </c>
      <c r="BA187" s="103" t="s">
        <v>132</v>
      </c>
      <c r="BB187" s="298">
        <v>265148</v>
      </c>
      <c r="BE187" s="234"/>
      <c r="BF187" s="235"/>
    </row>
    <row r="188" spans="51:58" ht="12.75">
      <c r="AY188" s="103" t="s">
        <v>423</v>
      </c>
      <c r="AZ188" s="103" t="s">
        <v>816</v>
      </c>
      <c r="BA188" s="103" t="s">
        <v>132</v>
      </c>
      <c r="BB188" s="298">
        <v>198019</v>
      </c>
      <c r="BF188" s="238"/>
    </row>
    <row r="189" spans="51:58" ht="12.75">
      <c r="AY189" s="103" t="s">
        <v>504</v>
      </c>
      <c r="AZ189" s="103" t="s">
        <v>817</v>
      </c>
      <c r="BA189" s="103" t="s">
        <v>132</v>
      </c>
      <c r="BB189" s="298">
        <v>539951</v>
      </c>
      <c r="BF189" s="238"/>
    </row>
    <row r="190" spans="51:58" ht="12.75">
      <c r="AY190" s="103" t="s">
        <v>400</v>
      </c>
      <c r="AZ190" s="103" t="s">
        <v>818</v>
      </c>
      <c r="BA190" s="103" t="s">
        <v>132</v>
      </c>
      <c r="BB190" s="298">
        <v>150550</v>
      </c>
      <c r="BE190" s="234"/>
      <c r="BF190" s="235"/>
    </row>
    <row r="191" spans="51:58" ht="12.75">
      <c r="AY191" s="103" t="s">
        <v>509</v>
      </c>
      <c r="AZ191" s="103" t="s">
        <v>819</v>
      </c>
      <c r="BA191" s="103" t="s">
        <v>132</v>
      </c>
      <c r="BB191" s="298">
        <v>154220</v>
      </c>
      <c r="BE191" s="70"/>
      <c r="BF191" s="236"/>
    </row>
    <row r="192" spans="51:58" ht="12.75">
      <c r="AY192" s="103" t="s">
        <v>275</v>
      </c>
      <c r="AZ192" s="103" t="s">
        <v>820</v>
      </c>
      <c r="BA192" s="103" t="s">
        <v>132</v>
      </c>
      <c r="BB192" s="298">
        <v>197124</v>
      </c>
      <c r="BE192" s="70"/>
      <c r="BF192" s="236"/>
    </row>
    <row r="193" spans="51:58" ht="12.75">
      <c r="AY193" s="103" t="s">
        <v>276</v>
      </c>
      <c r="AZ193" s="103" t="s">
        <v>821</v>
      </c>
      <c r="BA193" s="103" t="s">
        <v>132</v>
      </c>
      <c r="BB193" s="298">
        <v>475661</v>
      </c>
      <c r="BE193" s="70"/>
      <c r="BF193" s="236"/>
    </row>
    <row r="194" spans="51:58" ht="12.75">
      <c r="AY194" s="103" t="s">
        <v>500</v>
      </c>
      <c r="AZ194" s="103" t="s">
        <v>822</v>
      </c>
      <c r="BA194" s="103" t="s">
        <v>132</v>
      </c>
      <c r="BB194" s="298">
        <v>760798</v>
      </c>
      <c r="BE194" s="70"/>
      <c r="BF194" s="236"/>
    </row>
    <row r="195" spans="51:58" ht="12.75">
      <c r="AY195" s="103" t="s">
        <v>282</v>
      </c>
      <c r="AZ195" s="103" t="s">
        <v>823</v>
      </c>
      <c r="BA195" s="103" t="s">
        <v>132</v>
      </c>
      <c r="BB195" s="298">
        <v>614551</v>
      </c>
      <c r="BE195" s="70"/>
      <c r="BF195" s="236"/>
    </row>
    <row r="196" spans="51:58" ht="12.75">
      <c r="AY196" s="103" t="s">
        <v>279</v>
      </c>
      <c r="AZ196" s="103" t="s">
        <v>824</v>
      </c>
      <c r="BA196" s="103" t="s">
        <v>132</v>
      </c>
      <c r="BB196" s="298">
        <v>555618</v>
      </c>
      <c r="BE196" s="70"/>
      <c r="BF196" s="236"/>
    </row>
    <row r="197" spans="51:58" ht="12.75">
      <c r="AY197" s="103" t="s">
        <v>277</v>
      </c>
      <c r="AZ197" s="103" t="s">
        <v>825</v>
      </c>
      <c r="BA197" s="103" t="s">
        <v>132</v>
      </c>
      <c r="BB197" s="298">
        <v>209917</v>
      </c>
      <c r="BE197" s="70"/>
      <c r="BF197" s="236"/>
    </row>
    <row r="198" spans="51:58" ht="12.75">
      <c r="AY198" s="103" t="s">
        <v>284</v>
      </c>
      <c r="AZ198" s="103" t="s">
        <v>826</v>
      </c>
      <c r="BA198" s="103" t="s">
        <v>132</v>
      </c>
      <c r="BB198" s="298">
        <v>543498</v>
      </c>
      <c r="BF198" s="249"/>
    </row>
    <row r="199" spans="51:58" ht="12.75">
      <c r="AY199" s="103" t="s">
        <v>278</v>
      </c>
      <c r="AZ199" s="103" t="s">
        <v>827</v>
      </c>
      <c r="BA199" s="103" t="s">
        <v>132</v>
      </c>
      <c r="BB199" s="298">
        <v>256061</v>
      </c>
      <c r="BE199" s="70"/>
      <c r="BF199" s="238"/>
    </row>
    <row r="200" spans="51:58" ht="12.75">
      <c r="AY200" s="103" t="s">
        <v>371</v>
      </c>
      <c r="AZ200" s="103" t="s">
        <v>828</v>
      </c>
      <c r="BA200" s="103" t="s">
        <v>224</v>
      </c>
      <c r="BB200" s="298">
        <v>221360</v>
      </c>
      <c r="BE200" s="70"/>
      <c r="BF200" s="236"/>
    </row>
    <row r="201" spans="51:58" ht="12.75">
      <c r="AY201" s="103" t="s">
        <v>344</v>
      </c>
      <c r="AZ201" s="103" t="s">
        <v>829</v>
      </c>
      <c r="BA201" s="103" t="s">
        <v>132</v>
      </c>
      <c r="BB201" s="298">
        <v>331160</v>
      </c>
      <c r="BF201" s="249"/>
    </row>
    <row r="202" spans="51:58" ht="12.75">
      <c r="AY202" s="103" t="s">
        <v>327</v>
      </c>
      <c r="AZ202" s="103" t="s">
        <v>830</v>
      </c>
      <c r="BA202" s="103" t="s">
        <v>132</v>
      </c>
      <c r="BB202" s="298">
        <v>723927</v>
      </c>
      <c r="BF202" s="249"/>
    </row>
    <row r="203" spans="51:58" ht="12.75">
      <c r="AY203" s="103" t="s">
        <v>339</v>
      </c>
      <c r="AZ203" s="103" t="s">
        <v>831</v>
      </c>
      <c r="BA203" s="103" t="s">
        <v>132</v>
      </c>
      <c r="BB203" s="298">
        <v>492711</v>
      </c>
      <c r="BF203" s="249"/>
    </row>
    <row r="204" spans="51:58" ht="12.75">
      <c r="AY204" s="103" t="s">
        <v>442</v>
      </c>
      <c r="AZ204" s="103" t="s">
        <v>832</v>
      </c>
      <c r="BA204" s="103" t="s">
        <v>132</v>
      </c>
      <c r="BB204" s="298">
        <v>214926</v>
      </c>
      <c r="BF204" s="249"/>
    </row>
    <row r="205" spans="51:58" ht="12.75">
      <c r="AY205" s="103" t="s">
        <v>467</v>
      </c>
      <c r="AZ205" s="103" t="s">
        <v>833</v>
      </c>
      <c r="BA205" s="103" t="s">
        <v>132</v>
      </c>
      <c r="BB205" s="298">
        <v>156440</v>
      </c>
      <c r="BE205" s="70"/>
      <c r="BF205" s="236"/>
    </row>
    <row r="206" spans="51:58" ht="12.75">
      <c r="AY206" s="103" t="s">
        <v>395</v>
      </c>
      <c r="AZ206" s="103" t="s">
        <v>834</v>
      </c>
      <c r="BA206" s="103" t="s">
        <v>132</v>
      </c>
      <c r="BB206" s="298">
        <v>262252</v>
      </c>
      <c r="BE206" s="70"/>
      <c r="BF206" s="237"/>
    </row>
    <row r="207" spans="51:58" ht="12.75">
      <c r="AY207" s="103" t="s">
        <v>407</v>
      </c>
      <c r="AZ207" s="103" t="s">
        <v>835</v>
      </c>
      <c r="BA207" s="103" t="s">
        <v>132</v>
      </c>
      <c r="BB207" s="298">
        <v>177806</v>
      </c>
      <c r="BE207" s="234"/>
      <c r="BF207" s="239"/>
    </row>
    <row r="208" spans="51:58" ht="12.75">
      <c r="AY208" s="103" t="s">
        <v>425</v>
      </c>
      <c r="AZ208" s="103" t="s">
        <v>836</v>
      </c>
      <c r="BA208" s="103" t="s">
        <v>132</v>
      </c>
      <c r="BB208" s="298">
        <v>184659</v>
      </c>
      <c r="BE208" s="234"/>
      <c r="BF208" s="239"/>
    </row>
    <row r="209" spans="51:58" ht="12.75">
      <c r="AY209" s="103" t="s">
        <v>492</v>
      </c>
      <c r="AZ209" s="103" t="s">
        <v>837</v>
      </c>
      <c r="BA209" s="103" t="s">
        <v>132</v>
      </c>
      <c r="BB209" s="298">
        <v>289448</v>
      </c>
      <c r="BE209" s="234"/>
      <c r="BF209" s="239"/>
    </row>
    <row r="210" spans="51:58" ht="12.75">
      <c r="AY210" s="103" t="s">
        <v>484</v>
      </c>
      <c r="AZ210" s="103" t="s">
        <v>838</v>
      </c>
      <c r="BA210" s="103" t="s">
        <v>132</v>
      </c>
      <c r="BB210" s="298">
        <v>466241</v>
      </c>
      <c r="BE210" s="234"/>
      <c r="BF210" s="239"/>
    </row>
    <row r="211" spans="51:58" ht="12.75">
      <c r="AY211" s="103" t="s">
        <v>480</v>
      </c>
      <c r="AZ211" s="103" t="s">
        <v>839</v>
      </c>
      <c r="BA211" s="103" t="s">
        <v>132</v>
      </c>
      <c r="BB211" s="298">
        <v>164555</v>
      </c>
      <c r="BE211" s="234"/>
      <c r="BF211" s="239"/>
    </row>
    <row r="212" spans="51:58" ht="12.75">
      <c r="AY212" s="103" t="s">
        <v>494</v>
      </c>
      <c r="AZ212" s="103" t="s">
        <v>840</v>
      </c>
      <c r="BA212" s="103" t="s">
        <v>132</v>
      </c>
      <c r="BB212" s="298">
        <v>216963</v>
      </c>
      <c r="BE212" s="234"/>
      <c r="BF212" s="239"/>
    </row>
    <row r="213" spans="51:58" ht="12.75">
      <c r="AY213" s="103" t="s">
        <v>501</v>
      </c>
      <c r="AZ213" s="103" t="s">
        <v>841</v>
      </c>
      <c r="BA213" s="103" t="s">
        <v>132</v>
      </c>
      <c r="BB213" s="298">
        <v>447767</v>
      </c>
      <c r="BE213" s="234"/>
      <c r="BF213" s="235"/>
    </row>
    <row r="214" spans="51:58" ht="12.75">
      <c r="AY214" s="103" t="s">
        <v>280</v>
      </c>
      <c r="AZ214" s="103" t="s">
        <v>842</v>
      </c>
      <c r="BA214" s="103" t="s">
        <v>132</v>
      </c>
      <c r="BB214" s="298">
        <v>901403</v>
      </c>
      <c r="BE214" s="234"/>
      <c r="BF214" s="235"/>
    </row>
    <row r="215" spans="51:58" ht="12.75">
      <c r="AY215" s="103" t="s">
        <v>281</v>
      </c>
      <c r="AZ215" s="103" t="s">
        <v>843</v>
      </c>
      <c r="BA215" s="103" t="s">
        <v>132</v>
      </c>
      <c r="BB215" s="298">
        <v>274473</v>
      </c>
      <c r="BE215" s="234"/>
      <c r="BF215" s="235"/>
    </row>
    <row r="216" spans="51:58" ht="12.75">
      <c r="AY216" s="103" t="s">
        <v>24</v>
      </c>
      <c r="AZ216" s="103" t="s">
        <v>24</v>
      </c>
      <c r="BA216" s="103" t="s">
        <v>132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INDEX(A5:A80,A4)</f>
        <v>(Y00189) ABBEY MANOR MEDICAL PRACTICE</v>
      </c>
      <c r="B3" s="56" t="s">
        <v>826</v>
      </c>
      <c r="C3" s="56" t="s">
        <v>24</v>
      </c>
    </row>
    <row r="4" spans="1:2" ht="12.75">
      <c r="A4" s="76">
        <v>1</v>
      </c>
      <c r="B4" s="78" t="s">
        <v>284</v>
      </c>
    </row>
    <row r="5" ht="12.75">
      <c r="A5" s="277" t="s">
        <v>264</v>
      </c>
    </row>
    <row r="6" ht="12.75">
      <c r="A6" s="277" t="s">
        <v>252</v>
      </c>
    </row>
    <row r="7" ht="12.75">
      <c r="A7" s="277" t="s">
        <v>236</v>
      </c>
    </row>
    <row r="8" ht="12.75">
      <c r="A8" s="277" t="s">
        <v>300</v>
      </c>
    </row>
    <row r="9" ht="12.75">
      <c r="A9" s="277" t="s">
        <v>231</v>
      </c>
    </row>
    <row r="10" ht="12.75">
      <c r="A10" s="277" t="s">
        <v>257</v>
      </c>
    </row>
    <row r="11" ht="12.75">
      <c r="A11" s="277" t="s">
        <v>256</v>
      </c>
    </row>
    <row r="12" ht="12.75">
      <c r="A12" s="277" t="s">
        <v>232</v>
      </c>
    </row>
    <row r="13" ht="12.75">
      <c r="A13" s="277" t="s">
        <v>234</v>
      </c>
    </row>
    <row r="14" ht="12.75">
      <c r="A14" s="277" t="s">
        <v>229</v>
      </c>
    </row>
    <row r="15" ht="12.75">
      <c r="A15" s="277" t="s">
        <v>287</v>
      </c>
    </row>
    <row r="16" ht="12.75">
      <c r="A16" s="277" t="s">
        <v>310</v>
      </c>
    </row>
    <row r="17" ht="12.75">
      <c r="A17" s="277" t="s">
        <v>290</v>
      </c>
    </row>
    <row r="18" ht="12.75">
      <c r="A18" s="277" t="s">
        <v>237</v>
      </c>
    </row>
    <row r="19" ht="12.75">
      <c r="A19" s="277" t="s">
        <v>260</v>
      </c>
    </row>
    <row r="20" ht="12.75">
      <c r="A20" s="277" t="s">
        <v>285</v>
      </c>
    </row>
    <row r="21" ht="12.75">
      <c r="A21" s="277" t="s">
        <v>286</v>
      </c>
    </row>
    <row r="22" ht="12.75">
      <c r="A22" s="277" t="s">
        <v>412</v>
      </c>
    </row>
    <row r="23" ht="12.75">
      <c r="A23" s="277" t="s">
        <v>871</v>
      </c>
    </row>
    <row r="24" ht="12.75">
      <c r="A24" s="277" t="s">
        <v>869</v>
      </c>
    </row>
    <row r="25" ht="12.75">
      <c r="A25" s="277" t="s">
        <v>872</v>
      </c>
    </row>
    <row r="26" ht="12.75">
      <c r="A26" s="277" t="s">
        <v>870</v>
      </c>
    </row>
    <row r="27" ht="12.75">
      <c r="A27" s="277" t="s">
        <v>873</v>
      </c>
    </row>
    <row r="28" ht="12.75">
      <c r="A28" s="277" t="s">
        <v>255</v>
      </c>
    </row>
    <row r="29" ht="12.75">
      <c r="A29" s="277" t="s">
        <v>240</v>
      </c>
    </row>
    <row r="30" ht="12.75">
      <c r="A30" s="277" t="s">
        <v>297</v>
      </c>
    </row>
    <row r="31" ht="12.75">
      <c r="A31" s="277" t="s">
        <v>226</v>
      </c>
    </row>
    <row r="32" ht="12.75">
      <c r="A32" s="277" t="s">
        <v>283</v>
      </c>
    </row>
    <row r="33" ht="12.75">
      <c r="A33" s="277" t="s">
        <v>227</v>
      </c>
    </row>
    <row r="34" ht="12.75">
      <c r="A34" s="277" t="s">
        <v>247</v>
      </c>
    </row>
    <row r="35" ht="12.75">
      <c r="A35" s="277" t="s">
        <v>251</v>
      </c>
    </row>
    <row r="36" ht="12.75">
      <c r="A36" s="277" t="s">
        <v>294</v>
      </c>
    </row>
    <row r="37" ht="12.75">
      <c r="A37" s="277" t="s">
        <v>235</v>
      </c>
    </row>
    <row r="38" ht="12.75">
      <c r="A38" s="277" t="s">
        <v>291</v>
      </c>
    </row>
    <row r="39" ht="12.75">
      <c r="A39" s="277" t="s">
        <v>228</v>
      </c>
    </row>
    <row r="40" ht="12.75">
      <c r="A40" s="277" t="s">
        <v>308</v>
      </c>
    </row>
    <row r="41" ht="12.75">
      <c r="A41" s="277" t="s">
        <v>243</v>
      </c>
    </row>
    <row r="42" ht="12.75">
      <c r="A42" s="277" t="s">
        <v>248</v>
      </c>
    </row>
    <row r="43" ht="12.75">
      <c r="A43" s="277" t="s">
        <v>254</v>
      </c>
    </row>
    <row r="44" ht="12.75">
      <c r="A44" s="277" t="s">
        <v>246</v>
      </c>
    </row>
    <row r="45" ht="12.75">
      <c r="A45" s="277" t="s">
        <v>238</v>
      </c>
    </row>
    <row r="46" ht="12.75">
      <c r="A46" s="277" t="s">
        <v>302</v>
      </c>
    </row>
    <row r="47" ht="12.75">
      <c r="A47" s="277" t="s">
        <v>443</v>
      </c>
    </row>
    <row r="48" ht="12.75">
      <c r="A48" s="277" t="s">
        <v>241</v>
      </c>
    </row>
    <row r="49" ht="12.75">
      <c r="A49" s="277" t="s">
        <v>253</v>
      </c>
    </row>
    <row r="50" ht="12.75">
      <c r="A50" s="277" t="s">
        <v>299</v>
      </c>
    </row>
    <row r="51" ht="12.75">
      <c r="A51" s="277" t="s">
        <v>306</v>
      </c>
    </row>
    <row r="52" ht="12.75">
      <c r="A52" s="277" t="s">
        <v>261</v>
      </c>
    </row>
    <row r="53" ht="12.75">
      <c r="A53" s="277" t="s">
        <v>307</v>
      </c>
    </row>
    <row r="54" ht="12.75">
      <c r="A54" s="277" t="s">
        <v>233</v>
      </c>
    </row>
    <row r="55" ht="12.75">
      <c r="A55" s="277" t="s">
        <v>259</v>
      </c>
    </row>
    <row r="56" ht="12.75">
      <c r="A56" s="277" t="s">
        <v>289</v>
      </c>
    </row>
    <row r="57" ht="12.75">
      <c r="A57" s="277" t="s">
        <v>230</v>
      </c>
    </row>
    <row r="58" ht="12.75">
      <c r="A58" s="277" t="s">
        <v>293</v>
      </c>
    </row>
    <row r="59" ht="12.75">
      <c r="A59" s="277" t="s">
        <v>245</v>
      </c>
    </row>
    <row r="60" ht="12.75">
      <c r="A60" s="277" t="s">
        <v>249</v>
      </c>
    </row>
    <row r="61" ht="12.75">
      <c r="A61" s="277" t="s">
        <v>304</v>
      </c>
    </row>
    <row r="62" ht="12.75">
      <c r="A62" s="277" t="s">
        <v>258</v>
      </c>
    </row>
    <row r="63" ht="12.75">
      <c r="A63" s="277" t="s">
        <v>296</v>
      </c>
    </row>
    <row r="64" ht="12.75">
      <c r="A64" s="277" t="s">
        <v>292</v>
      </c>
    </row>
    <row r="65" ht="12.75">
      <c r="A65" s="277" t="s">
        <v>305</v>
      </c>
    </row>
    <row r="66" ht="12.75">
      <c r="A66" s="277" t="s">
        <v>244</v>
      </c>
    </row>
    <row r="67" ht="12.75">
      <c r="A67" s="277" t="s">
        <v>309</v>
      </c>
    </row>
    <row r="68" ht="12.75">
      <c r="A68" s="277" t="s">
        <v>298</v>
      </c>
    </row>
    <row r="69" ht="12.75">
      <c r="A69" s="277" t="s">
        <v>301</v>
      </c>
    </row>
    <row r="70" ht="12.75">
      <c r="A70" s="277" t="s">
        <v>303</v>
      </c>
    </row>
    <row r="71" ht="12.75">
      <c r="A71" s="277" t="s">
        <v>875</v>
      </c>
    </row>
    <row r="72" ht="12.75">
      <c r="A72" s="277" t="s">
        <v>874</v>
      </c>
    </row>
    <row r="73" ht="12.75">
      <c r="A73" s="277" t="s">
        <v>263</v>
      </c>
    </row>
    <row r="74" ht="12.75">
      <c r="A74" s="277" t="s">
        <v>262</v>
      </c>
    </row>
    <row r="75" ht="12.75">
      <c r="A75" s="277" t="s">
        <v>250</v>
      </c>
    </row>
    <row r="76" ht="12.75">
      <c r="A76" s="277" t="s">
        <v>239</v>
      </c>
    </row>
    <row r="77" ht="12.75">
      <c r="A77" s="277" t="s">
        <v>225</v>
      </c>
    </row>
    <row r="78" ht="12.75">
      <c r="A78" s="277" t="s">
        <v>288</v>
      </c>
    </row>
    <row r="79" ht="12.75">
      <c r="A79" s="277" t="s">
        <v>295</v>
      </c>
    </row>
    <row r="80" ht="12.75">
      <c r="A80" s="277" t="s">
        <v>242</v>
      </c>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